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Default Extension="vml" ContentType="application/vnd.openxmlformats-officedocument.vmlDrawing"/>
  <Default Extension="jpg" ContentType="image/jpg"/>
  <Default Extension="tiff" ContentType="image/tiff"/>
  <Default Extension="jpeg" ContentType="image/jpeg"/>
  <Default Extension="png" ContentType="image/png"/>
  <Default Extension="bmp" ContentType="image/bmp"/>
  <Default Extension="gif" ContentType="image/gif"/>
  <Default Extension="svg" ContentType="image/svg+xml"/>
  <Default Extension="emf" ContentType="image/x-emf"/>
  <Default Extension="wmf" ContentType="image/x-wmf"/>
  <Override PartName="/xl/workbook.xml" ContentType="application/vnd.openxmlformats-officedocument.spreadsheetml.sheet.main+xml"/>
  <Override PartName="/xl/styles.xml" ContentType="application/vnd.openxmlformats-officedocument.spreadsheetml.styles+xml"/>
  <Override PartName="/xl/worksheets/sheet1.xml" ContentType="application/vnd.openxmlformats-officedocument.spreadsheetml.worksheet+xml"/>
  <Override PartName="/xl/worksheets/sheet2.xml" ContentType="application/vnd.openxmlformats-officedocument.spreadsheetml.worksheet+xml"/>
  <Override PartName="/xl/comments1.xml" ContentType="application/vnd.openxmlformats-officedocument.spreadsheetml.comments+xml"/>
  <Override PartName="/xl/drawings/drawing1.xml" ContentType="application/vnd.openxmlformats-officedocument.drawing+xml"/>
  <Override PartName="/xl/worksheets/sheet3.xml" ContentType="application/vnd.openxmlformats-officedocument.spreadsheetml.worksheet+xml"/>
  <Override PartName="/xl/drawings/drawing2.xml" ContentType="application/vnd.openxmlformats-officedocument.drawing+xml"/>
  <Override PartName="/xl/worksheets/sheet4.xml" ContentType="application/vnd.openxmlformats-officedocument.spreadsheetml.worksheet+xml"/>
  <Override PartName="/xl/drawings/drawing3.xml" ContentType="application/vnd.openxmlformats-officedocument.drawing+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22.xml" ContentType="application/vnd.openxmlformats-officedocument.spreadsheetml.worksheet+xml"/>
  <Override PartName="/xl/worksheets/sheet23.xml" ContentType="application/vnd.openxmlformats-officedocument.spreadsheetml.worksheet+xml"/>
  <Override PartName="/xl/worksheets/sheet24.xml" ContentType="application/vnd.openxmlformats-officedocument.spreadsheetml.worksheet+xml"/>
  <Override PartName="/xl/worksheets/sheet25.xml" ContentType="application/vnd.openxmlformats-officedocument.spreadsheetml.worksheet+xml"/>
  <Override PartName="/xl/worksheets/sheet26.xml" ContentType="application/vnd.openxmlformats-officedocument.spreadsheetml.worksheet+xml"/>
  <Override PartName="/xl/worksheets/sheet27.xml" ContentType="application/vnd.openxmlformats-officedocument.spreadsheetml.worksheet+xml"/>
  <Override PartName="/xl/worksheets/sheet28.xml" ContentType="application/vnd.openxmlformats-officedocument.spreadsheetml.worksheet+xml"/>
  <Override PartName="/xl/worksheets/sheet29.xml" ContentType="application/vnd.openxmlformats-officedocument.spreadsheetml.worksheet+xml"/>
  <Override PartName="/xl/worksheets/sheet30.xml" ContentType="application/vnd.openxmlformats-officedocument.spreadsheetml.worksheet+xml"/>
  <Override PartName="/xl/worksheets/sheet31.xml" ContentType="application/vnd.openxmlformats-officedocument.spreadsheetml.worksheet+xml"/>
  <Override PartName="/xl/worksheets/sheet32.xml" ContentType="application/vnd.openxmlformats-officedocument.spreadsheetml.worksheet+xml"/>
  <Override PartName="/xl/worksheets/sheet33.xml" ContentType="application/vnd.openxmlformats-officedocument.spreadsheetml.worksheet+xml"/>
  <Override PartName="/xl/worksheets/sheet34.xml" ContentType="application/vnd.openxmlformats-officedocument.spreadsheetml.worksheet+xml"/>
  <Override PartName="/xl/worksheets/sheet35.xml" ContentType="application/vnd.openxmlformats-officedocument.spreadsheetml.worksheet+xml"/>
  <Override PartName="/xl/drawings/drawing4.xml" ContentType="application/vnd.openxmlformats-officedocument.drawing+xml"/>
  <Override PartName="/xl/worksheets/sheet36.xml" ContentType="application/vnd.openxmlformats-officedocument.spreadsheetml.worksheet+xml"/>
  <Override PartName="/xl/drawings/drawing5.xml" ContentType="application/vnd.openxmlformats-officedocument.drawing+xml"/>
  <Override PartName="/xl/worksheets/sheet37.xml" ContentType="application/vnd.openxmlformats-officedocument.spreadsheetml.worksheet+xml"/>
  <Override PartName="/xl/worksheets/sheet38.xml" ContentType="application/vnd.openxmlformats-officedocument.spreadsheetml.worksheet+xml"/>
  <Override PartName="/xl/worksheets/sheet39.xml" ContentType="application/vnd.openxmlformats-officedocument.spreadsheetml.worksheet+xml"/>
  <Override PartName="/xl/worksheets/sheet40.xml" ContentType="application/vnd.openxmlformats-officedocument.spreadsheetml.worksheet+xml"/>
  <Override PartName="/xl/worksheets/sheet41.xml" ContentType="application/vnd.openxmlformats-officedocument.spreadsheetml.worksheet+xml"/>
  <Override PartName="/xl/worksheets/sheet42.xml" ContentType="application/vnd.openxmlformats-officedocument.spreadsheetml.worksheet+xml"/>
  <Override PartName="/xl/worksheets/sheet43.xml" ContentType="application/vnd.openxmlformats-officedocument.spreadsheetml.worksheet+xml"/>
  <Override PartName="/xl/worksheets/sheet44.xml" ContentType="application/vnd.openxmlformats-officedocument.spreadsheetml.worksheet+xml"/>
  <Override PartName="/xl/worksheets/sheet45.xml" ContentType="application/vnd.openxmlformats-officedocument.spreadsheetml.worksheet+xml"/>
  <Override PartName="/xl/worksheets/sheet46.xml" ContentType="application/vnd.openxmlformats-officedocument.spreadsheetml.worksheet+xml"/>
  <Override PartName="/xl/worksheets/sheet47.xml" ContentType="application/vnd.openxmlformats-officedocument.spreadsheetml.worksheet+xml"/>
  <Override PartName="/xl/drawings/drawing6.xml" ContentType="application/vnd.openxmlformats-officedocument.drawing+xml"/>
  <Override PartName="/xl/worksheets/sheet48.xml" ContentType="application/vnd.openxmlformats-officedocument.spreadsheetml.worksheet+xml"/>
  <Override PartName="/xl/drawings/drawing7.xml" ContentType="application/vnd.openxmlformats-officedocument.drawing+xml"/>
  <Override PartName="/xl/worksheets/sheet49.xml" ContentType="application/vnd.openxmlformats-officedocument.spreadsheetml.worksheet+xml"/>
  <Override PartName="/xl/drawings/drawing8.xml" ContentType="application/vnd.openxmlformats-officedocument.drawing+xml"/>
  <Override PartName="/xl/worksheets/sheet50.xml" ContentType="application/vnd.openxmlformats-officedocument.spreadsheetml.worksheet+xml"/>
  <Override PartName="/xl/worksheets/sheet51.xml" ContentType="application/vnd.openxmlformats-officedocument.spreadsheetml.worksheet+xml"/>
  <Override PartName="/xl/comments2.xml" ContentType="application/vnd.openxmlformats-officedocument.spreadsheetml.comments+xml"/>
  <Override PartName="/xl/worksheets/sheet52.xml" ContentType="application/vnd.openxmlformats-officedocument.spreadsheetml.worksheet+xml"/>
  <Override PartName="/xl/worksheets/sheet53.xml" ContentType="application/vnd.openxmlformats-officedocument.spreadsheetml.worksheet+xml"/>
  <Override PartName="/xl/worksheets/sheet54.xml" ContentType="application/vnd.openxmlformats-officedocument.spreadsheetml.worksheet+xml"/>
  <Override PartName="/xl/worksheets/sheet55.xml" ContentType="application/vnd.openxmlformats-officedocument.spreadsheetml.worksheet+xml"/>
  <Override PartName="/xl/worksheets/sheet56.xml" ContentType="application/vnd.openxmlformats-officedocument.spreadsheetml.worksheet+xml"/>
  <Override PartName="/xl/worksheets/sheet57.xml" ContentType="application/vnd.openxmlformats-officedocument.spreadsheetml.worksheet+xml"/>
  <Override PartName="/xl/worksheets/sheet58.xml" ContentType="application/vnd.openxmlformats-officedocument.spreadsheetml.worksheet+xml"/>
  <Override PartName="/xl/worksheets/sheet59.xml" ContentType="application/vnd.openxmlformats-officedocument.spreadsheetml.worksheet+xml"/>
  <Override PartName="/xl/worksheets/sheet60.xml" ContentType="application/vnd.openxmlformats-officedocument.spreadsheetml.worksheet+xml"/>
  <Override PartName="/xl/worksheets/sheet61.xml" ContentType="application/vnd.openxmlformats-officedocument.spreadsheetml.worksheet+xml"/>
  <Override PartName="/xl/worksheets/sheet62.xml" ContentType="application/vnd.openxmlformats-officedocument.spreadsheetml.worksheet+xml"/>
  <Override PartName="/xl/worksheets/sheet63.xml" ContentType="application/vnd.openxmlformats-officedocument.spreadsheetml.worksheet+xml"/>
  <Override PartName="/xl/comments3.xml" ContentType="application/vnd.openxmlformats-officedocument.spreadsheetml.comments+xml"/>
  <Override PartName="/xl/worksheets/sheet64.xml" ContentType="application/vnd.openxmlformats-officedocument.spreadsheetml.worksheet+xml"/>
  <Override PartName="/xl/worksheets/sheet65.xml" ContentType="application/vnd.openxmlformats-officedocument.spreadsheetml.worksheet+xml"/>
  <Override PartName="/xl/worksheets/sheet66.xml" ContentType="application/vnd.openxmlformats-officedocument.spreadsheetml.worksheet+xml"/>
  <Override PartName="/xl/worksheets/sheet67.xml" ContentType="application/vnd.openxmlformats-officedocument.spreadsheetml.worksheet+xml"/>
  <Override PartName="/xl/worksheets/sheet68.xml" ContentType="application/vnd.openxmlformats-officedocument.spreadsheetml.worksheet+xml"/>
  <Override PartName="/xl/worksheets/sheet69.xml" ContentType="application/vnd.openxmlformats-officedocument.spreadsheetml.worksheet+xml"/>
  <Override PartName="/xl/worksheets/sheet70.xml" ContentType="application/vnd.openxmlformats-officedocument.spreadsheetml.worksheet+xml"/>
  <Override PartName="/xl/worksheets/sheet71.xml" ContentType="application/vnd.openxmlformats-officedocument.spreadsheetml.worksheet+xml"/>
  <Override PartName="/xl/worksheets/sheet72.xml" ContentType="application/vnd.openxmlformats-officedocument.spreadsheetml.worksheet+xml"/>
  <Override PartName="/xl/worksheets/sheet73.xml" ContentType="application/vnd.openxmlformats-officedocument.spreadsheetml.worksheet+xml"/>
  <Override PartName="/xl/worksheets/sheet74.xml" ContentType="application/vnd.openxmlformats-officedocument.spreadsheetml.worksheet+xml"/>
  <Override PartName="/xl/worksheets/sheet75.xml" ContentType="application/vnd.openxmlformats-officedocument.spreadsheetml.worksheet+xml"/>
  <Override PartName="/xl/worksheets/sheet76.xml" ContentType="application/vnd.openxmlformats-officedocument.spreadsheetml.worksheet+xml"/>
  <Override PartName="/xl/worksheets/sheet77.xml" ContentType="application/vnd.openxmlformats-officedocument.spreadsheetml.worksheet+xml"/>
  <Override PartName="/xl/worksheets/sheet78.xml" ContentType="application/vnd.openxmlformats-officedocument.spreadsheetml.worksheet+xml"/>
  <Override PartName="/xl/worksheets/sheet79.xml" ContentType="application/vnd.openxmlformats-officedocument.spreadsheetml.worksheet+xml"/>
  <Override PartName="/xl/worksheets/sheet80.xml" ContentType="application/vnd.openxmlformats-officedocument.spreadsheetml.worksheet+xml"/>
  <Override PartName="/xl/worksheets/sheet81.xml" ContentType="application/vnd.openxmlformats-officedocument.spreadsheetml.worksheet+xml"/>
  <Override PartName="/xl/worksheets/sheet82.xml" ContentType="application/vnd.openxmlformats-officedocument.spreadsheetml.worksheet+xml"/>
  <Override PartName="/xl/worksheets/sheet83.xml" ContentType="application/vnd.openxmlformats-officedocument.spreadsheetml.worksheet+xml"/>
  <Override PartName="/xl/worksheets/sheet84.xml" ContentType="application/vnd.openxmlformats-officedocument.spreadsheetml.worksheet+xml"/>
  <Override PartName="/xl/worksheets/sheet85.xml" ContentType="application/vnd.openxmlformats-officedocument.spreadsheetml.worksheet+xml"/>
  <Override PartName="/xl/worksheets/sheet86.xml" ContentType="application/vnd.openxmlformats-officedocument.spreadsheetml.worksheet+xml"/>
  <Override PartName="/xl/worksheets/sheet87.xml" ContentType="application/vnd.openxmlformats-officedocument.spreadsheetml.worksheet+xml"/>
  <Override PartName="/xl/worksheets/sheet88.xml" ContentType="application/vnd.openxmlformats-officedocument.spreadsheetml.worksheet+xml"/>
  <Override PartName="/xl/worksheets/sheet89.xml" ContentType="application/vnd.openxmlformats-officedocument.spreadsheetml.worksheet+xml"/>
  <Override PartName="/xl/sharedStrings.xml" ContentType="application/vnd.openxmlformats-officedocument.spreadsheetml.sharedStrings+xml"/>
  <Override PartName="/xl/theme/theme1.xml" ContentType="application/vnd.openxmlformats-officedocument.theme+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2" Type="http://schemas.openxmlformats.org/package/2006/relationships/metadata/core-properties" Target="docProps/core.xml"/><Relationship Id="rId3" Type="http://schemas.openxmlformats.org/officeDocument/2006/relationships/extended-properties" Target="docProps/app.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bookViews>
    <workbookView tabRatio="852" firstSheet="1" activeTab="18"/>
  </bookViews>
  <sheets>
    <sheet name="Инструкция" sheetId="1" r:id="rId2"/>
    <sheet name="Титульный" sheetId="2" r:id="rId3"/>
    <sheet name="Список территорий" sheetId="3" r:id="rId4"/>
    <sheet name="Дифференциация" sheetId="4" state="hidden" r:id="rId5"/>
    <sheet name="Перечень тарифов" sheetId="5" r:id="rId6"/>
    <sheet name="Дифференциация тариф показатель" sheetId="6" state="hidden" r:id="rId7"/>
    <sheet name="Общая информация об организации" sheetId="7" state="hidden" r:id="rId8"/>
    <sheet name="Общая информация по ВД" sheetId="8" state="hidden" r:id="rId9"/>
    <sheet name="Виды объектов" sheetId="9" state="hidden" r:id="rId10"/>
    <sheet name="Сведения по территориям" sheetId="10" state="hidden" r:id="rId11"/>
    <sheet name="ТС. Т-ТЭ | &gt;=25МВт" sheetId="11" r:id="rId12"/>
    <sheet name="ТС. Т-ТЭ | ТСО" sheetId="12" r:id="rId13"/>
    <sheet name="ТС. Т-ТЭ | предел" sheetId="13" state="hidden" r:id="rId14"/>
    <sheet name="ТС. Т-ТЭ | индикат" sheetId="14" state="hidden" r:id="rId15"/>
    <sheet name="ТС. Резерв мощности" sheetId="15" r:id="rId16"/>
    <sheet name="ТС. Т-ТН" sheetId="16" r:id="rId17"/>
    <sheet name="ТС. Т-передача ТЭ" sheetId="17" state="hidden" r:id="rId18"/>
    <sheet name="ТС. Т-передача ТН" sheetId="18" state="hidden" r:id="rId19"/>
    <sheet name="ТС. Т-гор.вода" sheetId="19" r:id="rId20"/>
    <sheet name="ТС. Т-подкл" sheetId="20" state="hidden" r:id="rId21"/>
    <sheet name="ХВС. Т-пит" sheetId="21" state="hidden" r:id="rId22"/>
    <sheet name="ХВС. Т-тех" sheetId="22" state="hidden" r:id="rId23"/>
    <sheet name="ХВС. Т-транс" sheetId="23" state="hidden" r:id="rId24"/>
    <sheet name="ХВС. Т-подвоз" sheetId="24" state="hidden" r:id="rId25"/>
    <sheet name="ТС. Т-подкл(инд)" sheetId="25" state="hidden" r:id="rId26"/>
    <sheet name="ХВС. Т-подкл" sheetId="26" state="hidden" r:id="rId27"/>
    <sheet name="ВО. Т-во" sheetId="27" state="hidden" r:id="rId28"/>
    <sheet name="ВО. Т-транс" sheetId="28" state="hidden" r:id="rId29"/>
    <sheet name="ВО. Т-подкл" sheetId="29" state="hidden" r:id="rId30"/>
    <sheet name="ГВС. Т-гор.вода" sheetId="30" state="hidden" r:id="rId31"/>
    <sheet name="ГВС. Т-транс" sheetId="31" state="hidden" r:id="rId32"/>
    <sheet name="ГВС. Т-подкл" sheetId="32" state="hidden" r:id="rId33"/>
    <sheet name="Показатели ФХД" sheetId="33" state="hidden" r:id="rId34"/>
    <sheet name="Показатели ФХД &gt;20%" sheetId="34" state="hidden" r:id="rId35"/>
    <sheet name="Показатели ОТЭП" sheetId="35" state="hidden" r:id="rId36"/>
    <sheet name="Стандарты качества" sheetId="36" state="hidden" r:id="rId37"/>
    <sheet name="ТКО. Показатели ФХД" sheetId="37" state="hidden" r:id="rId38"/>
    <sheet name="ТКО. Транс. Показатели ФХД" sheetId="38" state="hidden" r:id="rId39"/>
    <sheet name="Показатели КНЭ" sheetId="39" state="hidden" r:id="rId40"/>
    <sheet name="Ограничения" sheetId="40" state="hidden" r:id="rId41"/>
    <sheet name="ИП" sheetId="41" state="hidden" r:id="rId42"/>
    <sheet name="ИП. Детализация" sheetId="42" state="hidden" r:id="rId43"/>
    <sheet name="ИП. Финансовый план" sheetId="43" state="hidden" r:id="rId44"/>
    <sheet name="ИП. КНЭ" sheetId="44" state="hidden" r:id="rId45"/>
    <sheet name="ТП" sheetId="45" state="hidden" r:id="rId46"/>
    <sheet name="Договоры" sheetId="46" state="hidden" r:id="rId47"/>
    <sheet name="Порядок ТП" sheetId="47" r:id="rId48"/>
    <sheet name="Предложение" sheetId="48" state="hidden" r:id="rId49"/>
    <sheet name="Сведения о закупках" sheetId="49" state="hidden" r:id="rId50"/>
    <sheet name="Потребительские характеристики" sheetId="50" state="hidden" r:id="rId51"/>
    <sheet name="TEHSHEET" sheetId="51" state="hidden" r:id="rId52"/>
    <sheet name="Орган регулирования" sheetId="52" state="hidden" r:id="rId53"/>
    <sheet name="Перечень организаций" sheetId="53" state="hidden" r:id="rId54"/>
    <sheet name="Дела об установлении тарифов" sheetId="54" state="hidden" r:id="rId55"/>
    <sheet name="Дела об утверждении ПУЦ" sheetId="55" state="hidden" r:id="rId56"/>
    <sheet name="Привлечение к ответственности" sheetId="56" state="hidden" r:id="rId57"/>
    <sheet name="ЭД" sheetId="57" state="hidden" r:id="rId58"/>
    <sheet name="Сведения об изменении" sheetId="58" r:id="rId59"/>
    <sheet name="Комментарии" sheetId="59" r:id="rId60"/>
    <sheet name="Проверка" sheetId="60" state="hidden" r:id="rId61"/>
    <sheet name="et_union_hor" sheetId="61" state="hidden" r:id="rId62"/>
    <sheet name="DATA_FORMS" sheetId="62" state="hidden" r:id="rId63"/>
    <sheet name="DATA_NPA" sheetId="63" state="hidden" r:id="rId64"/>
    <sheet name="Т-ТЭ | потр" sheetId="64" state="hidden" r:id="rId65"/>
    <sheet name="modMainProcedures" sheetId="65" state="hidden" r:id="rId66"/>
    <sheet name="modB_FHD" sheetId="66" state="hidden" r:id="rId67"/>
    <sheet name="modB_FHD20" sheetId="67" state="hidden" r:id="rId68"/>
    <sheet name="modB_KNE" sheetId="68" state="hidden" r:id="rId69"/>
    <sheet name="modIP_MAIN" sheetId="69" state="hidden" r:id="rId70"/>
    <sheet name="modIP_QRE" sheetId="70" state="hidden" r:id="rId71"/>
    <sheet name="modIP_DETAILED" sheetId="71" state="hidden" r:id="rId72"/>
    <sheet name="et_union_vert" sheetId="72" state="hidden" r:id="rId73"/>
    <sheet name="Легенда" sheetId="73" state="hidden" r:id="rId74"/>
    <sheet name="modfrmListIP" sheetId="74" state="hidden" r:id="rId75"/>
    <sheet name="modfrmActivity" sheetId="75" state="hidden" r:id="rId76"/>
    <sheet name="REESTR_ORG" sheetId="76" state="hidden" r:id="rId77"/>
    <sheet name="REESTR_MO" sheetId="77" state="hidden" r:id="rId78"/>
    <sheet name="REESTR_IP" sheetId="78" state="hidden" r:id="rId79"/>
    <sheet name="REESTR_OBJ_INFR" sheetId="79" state="hidden" r:id="rId80"/>
    <sheet name="REESTR_DS" sheetId="80" state="hidden" r:id="rId81"/>
    <sheet name="REESTR_VT" sheetId="81" state="hidden" r:id="rId82"/>
    <sheet name="REESTR_VED" sheetId="82" state="hidden" r:id="rId83"/>
    <sheet name="REESTR_MO_FILTER" sheetId="83" state="hidden" r:id="rId84"/>
    <sheet name="REESTR_LINK" sheetId="84" state="hidden" r:id="rId85"/>
    <sheet name="modSheetMain" sheetId="85" state="hidden" r:id="rId86"/>
    <sheet name="modfrmReportMode" sheetId="86" state="hidden" r:id="rId87"/>
    <sheet name="modfrmReestrObj" sheetId="87" state="hidden" r:id="rId88"/>
    <sheet name="AllSheetsInThisWorkbook" sheetId="88" state="hidden" r:id="rId89"/>
    <sheet name="modInfo" sheetId="89" state="hidden" r:id="rId90"/>
  </sheets>
  <definedNames>
    <definedName name="anscount">1</definedName>
    <definedName name="B_FHD_CHECK_INDEX_1">'Показатели ФХД'!$L$66</definedName>
    <definedName name="B_FHD_CHECK_INDEX_2">'Показатели ФХД'!$L$68</definedName>
    <definedName name="B_FHD_COSTS_INDEX_1">'Показатели ФХД'!$H$65:$J$65</definedName>
    <definedName name="B_FHD_COSTS_INDEX_2">'Показатели ФХД'!$H$67:$J$67</definedName>
    <definedName name="B_FHD_DATA_TOP80_ACTIVITY">'Показатели ФХД'!$H$81:$J$81</definedName>
    <definedName name="B_FHD_diff_1">'Показатели ФХД'!$I$25:$I$27</definedName>
    <definedName name="B_FHD_FLAG_DIFFERENTIATION">'Показатели ФХД'!$H$24:$J$24</definedName>
    <definedName name="B_FHD_FLAG_INDEX_1">'Показатели ФХД'!$H$66:$J$66</definedName>
    <definedName name="B_FHD_FLAG_INDEX_2">'Показатели ФХД'!$H$68:$J$68</definedName>
    <definedName name="B_FHD_TKO_DATA_TOP80_ACTIVITY">'ТКО. Показатели ФХД'!$H$43:$J$43</definedName>
    <definedName name="B_FHD_TKO_diff_1">'ТКО. Показатели ФХД'!$I$10:$I$12</definedName>
    <definedName name="B_FHD_TKO_FLAG_DIFFERENTIATION">'ТКО. Показатели ФХД'!$H$9:$J$9</definedName>
    <definedName name="B_FHD_TKO_TRANS_DATA_TOP80_ACTIVITY">'ТКО. Транс. Показатели ФХД'!$H$35:$J$35</definedName>
    <definedName name="B_FHD_TKO_TRANS_diff_1">'ТКО. Транс. Показатели ФХД'!$I$10:$I$12</definedName>
    <definedName name="B_FHD_TKO_TRANS_FLAG_DIFFERENTIATION">'ТКО. Транс. Показатели ФХД'!$H$9:$J$9</definedName>
    <definedName name="B_FHD20_ADD_HL_2_COLUMN_MARKER">'Показатели ФХД &gt;20%'!$G$8</definedName>
    <definedName name="B_FHD20_ADD_HL_3_COLUMN_MARKER">'Показатели ФХД &gt;20%'!$J$8</definedName>
    <definedName name="B_FHD20_ADD_HL_4_COLUMN_MARKER">'Показатели ФХД &gt;20%'!$N$8</definedName>
    <definedName name="B_FHD20_ALL_DATA">'Показатели ФХД &gt;20%'!$D$13:$S$23</definedName>
    <definedName name="B_FHD20_COSTS_OPS_diff_1">'Показатели ФХД &gt;20%'!$Q$17</definedName>
    <definedName name="B_FHD20_COSTS_PH_diff_1">'Показатели ФХД &gt;20%'!$Q$20</definedName>
    <definedName name="B_FHD20_DEL_HL_2_COLUMN_MARKER">'Показатели ФХД &gt;20%'!$E$8</definedName>
    <definedName name="B_FHD20_DEL_HL_3_COLUMN_MARKER">'Показатели ФХД &gt;20%'!$H$8</definedName>
    <definedName name="B_FHD20_DEL_HL_4_COLUMN_MARKER">'Показатели ФХД &gt;20%'!$L$8</definedName>
    <definedName name="B_FHD20_diff_1">'Показатели ФХД &gt;20%'!$H$14:$R$16</definedName>
    <definedName name="B_FHD20_FLAG_FHD">'Показатели ФХД &gt;20%'!$V$11:$V$23</definedName>
    <definedName name="B_FHD20_NUMBER_COLUMN_MARKER">'Показатели ФХД &gt;20%'!$D$8</definedName>
    <definedName name="B_FHD20_PART_COLUMN_MARKER">'Показатели ФХД &gt;20%'!$R$8</definedName>
    <definedName name="B_KNE_diff_1">'Показатели КНЭ'!$I$7:$J$9</definedName>
    <definedName name="B_OTEP_diff_1">'Показатели ОТЭП'!$L$10:$L$12</definedName>
    <definedName name="B_OTEP_FLAG_DIFFERENTIATION">'Показатели ОТЭП'!$L$9:$O$9</definedName>
    <definedName name="B_OTEP_HEAT_DATA_TOP80_ACTIVITY">'Показатели ОТЭП'!$L$15:$O$15</definedName>
    <definedName name="BLOCK_BALANCE_INDICATORS">Титульный!$50:$60</definedName>
    <definedName name="BLOCK_BALANCE_TKO_FLAG_TRANS">Титульный!$61:$62</definedName>
    <definedName name="BLOCK_CONNECTION_STATE">Титульный!$48:$49</definedName>
    <definedName name="BLOCK_DIFF_CS">Титульный!$40:$41</definedName>
    <definedName name="BLOCK_DIFFERENTIATION_NOT_TKO">Дифференциация!$J:$M</definedName>
    <definedName name="BLOCK_FIRST_TARIFF">Титульный!$20:$24</definedName>
    <definedName name="BLOCK_FIRST_TARIFF_OREG_PUBL">Титульный!$23:$24</definedName>
    <definedName name="BLOCK_IP_DETAILED_FACT_IST_FIN">'ИП. Детализация'!$AD:$AE</definedName>
    <definedName name="BLOCK_IP_DETAILED_FACT_PERIOD_EVENT">'ИП. Детализация'!$AI:$AK</definedName>
    <definedName name="BLOCK_MAIN_INFO_HEAT">'Общая информация об организации'!$19:$24</definedName>
    <definedName name="BLOCK_MAIN_INFO_NOT_TKO">'Общая информация об организации'!$46:$49</definedName>
    <definedName name="BLOCK_MAIN_INFO_OBJECT_COLDVSNA">'Общая информация по ВД'!$X:$Z</definedName>
    <definedName name="BLOCK_MAIN_INFO_OBJECT_COMM_COLDVSNA">'Общая информация по ВД'!$AG:$AG</definedName>
    <definedName name="BLOCK_MAIN_INFO_OBJECT_COMM_HEAT">'Общая информация по ВД'!$AE:$AE</definedName>
    <definedName name="BLOCK_MAIN_INFO_OBJECT_COMM_HOTVSNA">'Общая информация по ВД'!$AH:$AH</definedName>
    <definedName name="BLOCK_MAIN_INFO_OBJECT_COMM_VOTV">'Общая информация по ВД'!$AF:$AF</definedName>
    <definedName name="BLOCK_MAIN_INFO_OBJECT_HEAT">'Общая информация по ВД'!$H:$R</definedName>
    <definedName name="BLOCK_MAIN_INFO_OBJECT_HOTVSNA">'Общая информация по ВД'!$AB:$AC</definedName>
    <definedName name="BLOCK_MAIN_INFO_OBJECT_VOTV">'Общая информация по ВД'!$T:$V</definedName>
    <definedName name="BLOCK_NOT_ROIV_INDICATORS_1">Титульный!$37:$37</definedName>
    <definedName name="BLOCK_NOT_ROIV_INDICATORS_2">Титульный!$38:$39</definedName>
    <definedName name="BLOCK_NOT_ROIV_INDICATORS_3">Титульный!$63:$65</definedName>
    <definedName name="BLOCK_NOTE_P_TARIFF_A">'ТС. Т-ТЭ | &gt;=25МВт'!$180:$182</definedName>
    <definedName name="BLOCK_NOTE_P_TARIFF_A_COLDVSNA">'ХВС. Т-пит'!$54:$55</definedName>
    <definedName name="BLOCK_NOTE_P_TARIFF_A_HOTVSNA">'ГВС. Т-гор.вода'!$55:$56</definedName>
    <definedName name="BLOCK_NOTE_P_TARIFF_A_VOTV">'ВО. Т-во'!$54:$55</definedName>
    <definedName name="BLOCK_NOTE_P_TARIFF_B">'ТС. Т-ТЭ | ТСО'!$112:$114</definedName>
    <definedName name="BLOCK_NOTE_P_TARIFF_B_COLDVSNA">'ХВС. Т-тех'!$54:$55</definedName>
    <definedName name="BLOCK_NOTE_P_TARIFF_B_HOTVSNA">'ГВС. Т-транс'!$55:$56</definedName>
    <definedName name="BLOCK_NOTE_P_TARIFF_B_VOTV">'ВО. Т-транс'!$54:$55</definedName>
    <definedName name="BLOCK_NOTE_P_TARIFF_C">'ТС. Т-ТН'!$96:$99</definedName>
    <definedName name="BLOCK_NOTE_P_TARIFF_C_COLDVSNA">'ХВС. Т-транс'!$54:$55</definedName>
    <definedName name="BLOCK_NOTE_P_TARIFF_C_HOTVSNA">'ГВС. Т-подкл'!$64:$65</definedName>
    <definedName name="BLOCK_NOTE_P_TARIFF_C_VOTV">'ВО. Т-подкл'!$64:$65</definedName>
    <definedName name="BLOCK_NOTE_P_TARIFF_D">'ТС. Т-гор.вода'!$146:$148</definedName>
    <definedName name="BLOCK_NOTE_P_TARIFF_D_COLDVSNA">'ХВС. Т-подвоз'!$54:$55</definedName>
    <definedName name="BLOCK_NOTE_P_TARIFF_E_COLDVSNA">'ХВС. Т-подкл'!$64:$65</definedName>
    <definedName name="BLOCK_NOTE_P_TARIFF_E1">'ТС. Т-передача ТЭ'!$58:$61</definedName>
    <definedName name="BLOCK_NOTE_P_TARIFF_E2">'ТС. Т-передача ТН'!$58:$61</definedName>
    <definedName name="BLOCK_NOTE_P_TARIFF_F">'ТС. Резерв мощности'!$82:$84</definedName>
    <definedName name="BLOCK_NOTE_P_TARIFF_G">'ТС. Т-подкл'!$63:$65</definedName>
    <definedName name="BLOCK_NOTE_P_TARIFF_H">'ТС. Т-подкл(инд)'!$60:$62</definedName>
    <definedName name="BLOCK_NOTE_P_TARIFF_I">'ТС. Т-ТЭ | предел'!$58:$60</definedName>
    <definedName name="BLOCK_NOTE_P_TARIFF_I_1">'ТС. Т-ТЭ | индикат'!$58:$60</definedName>
    <definedName name="BLOCK_NOTE_R_TARIFF_A">'ТС. Т-ТЭ | &gt;=25МВт'!$183:$186</definedName>
    <definedName name="BLOCK_NOTE_R_TARIFF_A_COLDVSNA">'ХВС. Т-пит'!$56:$57</definedName>
    <definedName name="BLOCK_NOTE_R_TARIFF_A_HOTVSNA">'ГВС. Т-гор.вода'!$57:$58</definedName>
    <definedName name="BLOCK_NOTE_R_TARIFF_A_VOTV">'ВО. Т-во'!$56:$57</definedName>
    <definedName name="BLOCK_NOTE_R_TARIFF_B">'ТС. Т-ТЭ | ТСО'!$115:$118</definedName>
    <definedName name="BLOCK_NOTE_R_TARIFF_B_COLDVSNA">'ХВС. Т-тех'!$56:$57</definedName>
    <definedName name="BLOCK_NOTE_R_TARIFF_B_HOTVSNA">'ГВС. Т-транс'!$57:$58</definedName>
    <definedName name="BLOCK_NOTE_R_TARIFF_B_VOTV">'ВО. Т-транс'!$56:$57</definedName>
    <definedName name="BLOCK_NOTE_R_TARIFF_C">'ТС. Т-ТН'!$100:$103</definedName>
    <definedName name="BLOCK_NOTE_R_TARIFF_C_COLDVSNA">'ХВС. Т-транс'!$56:$57</definedName>
    <definedName name="BLOCK_NOTE_R_TARIFF_C_HOTVSNA">'ГВС. Т-подкл'!$66:$67</definedName>
    <definedName name="BLOCK_NOTE_R_TARIFF_C_VOTV">'ВО. Т-подкл'!$66:$67</definedName>
    <definedName name="BLOCK_NOTE_R_TARIFF_D">'ТС. Т-гор.вода'!$149:$151</definedName>
    <definedName name="BLOCK_NOTE_R_TARIFF_D_COLDVSNA">'ХВС. Т-подвоз'!$56:$57</definedName>
    <definedName name="BLOCK_NOTE_R_TARIFF_E_COLDVSNA">'ХВС. Т-подкл'!$66:$67</definedName>
    <definedName name="BLOCK_NOTE_R_TARIFF_E1">'ТС. Т-передача ТЭ'!$62:$65</definedName>
    <definedName name="BLOCK_NOTE_R_TARIFF_E2">'ТС. Т-передача ТН'!$62:$65</definedName>
    <definedName name="BLOCK_NOTE_R_TARIFF_F">'ТС. Резерв мощности'!$85:$88</definedName>
    <definedName name="BLOCK_NOTE_R_TARIFF_G">'ТС. Т-подкл'!$66:$68</definedName>
    <definedName name="BLOCK_NOTE_R_TARIFF_H">'ТС. Т-подкл(инд)'!$63:$65</definedName>
    <definedName name="BLOCK_NOTE_R_TARIFF_I">'ТС. Т-ТЭ | предел'!$61:$64</definedName>
    <definedName name="BLOCK_NOTE_R_TARIFF_I_1">'ТС. Т-ТЭ | индикат'!$61:$64</definedName>
    <definedName name="BLOCK_PERIOD_DATA">Титульный!$13:$13</definedName>
    <definedName name="BLOCK_PERIOD_QUARTER">Титульный!$15:$15</definedName>
    <definedName name="BLOCK_PERIOD_TWO_DATA">Титульный!$11:$12</definedName>
    <definedName name="BLOCK_PERIOD_YEAR">Титульный!$14:$14</definedName>
    <definedName name="BLOCK_POK_FHD_COLDVSNA_P1">'Показатели ФХД'!$82:$90</definedName>
    <definedName name="BLOCK_POK_FHD_COLDVSNA_P2">'Показатели ФХД'!$115:$119</definedName>
    <definedName name="BLOCK_POK_FHD_HEAT_ONLY_REG_ORG_P1">'Показатели ФХД'!$56:$57</definedName>
    <definedName name="BLOCK_POK_FHD_HEAT_ONLY_REG_ORG_P2">'Показатели ФХД'!$80:$131</definedName>
    <definedName name="BLOCK_POK_FHD_HEAT_P1">'Показатели ФХД'!$33:$40</definedName>
    <definedName name="BLOCK_POK_FHD_HEAT_P2">'Показатели ФХД'!$72:$72</definedName>
    <definedName name="BLOCK_POK_FHD_HEAT_P3">'Показатели ФХД'!$99:$111</definedName>
    <definedName name="BLOCK_POK_FHD_HEAT_P4">'Показатели ФХД'!$113:$113</definedName>
    <definedName name="BLOCK_POK_FHD_HEAT_P5">'Показатели ФХД'!$120:$130</definedName>
    <definedName name="BLOCK_POK_FHD_HEAT_P6">'Показатели ФХД'!$47:$47</definedName>
    <definedName name="BLOCK_POK_FHD_HOTVSNA_P1">'Показатели ФХД'!$41:$43</definedName>
    <definedName name="BLOCK_POK_FHD_HOTVSNA_P2">'Показатели ФХД'!$91:$95</definedName>
    <definedName name="BLOCK_POK_FHD_NOT_HEAT_P1">'Показатели ФХД'!$67:$68</definedName>
    <definedName name="BLOCK_POK_FHD_NOT_HEAT_P2">'Показатели ФХД'!$80:$80</definedName>
    <definedName name="BLOCK_POK_FHD_NOT_HOTVSNA">'Показатели ФХД'!$48:$48</definedName>
    <definedName name="BLOCK_POK_FHD_VOTV_P1">'Показатели ФХД'!$96:$98</definedName>
    <definedName name="BLOCK_POK_FHD_VSNA">'Показатели ФХД'!$114:$114</definedName>
    <definedName name="BLOCK_POK_FHD20_NOT_HEAT">'Показатели ФХД &gt;20%'!$20:$22</definedName>
    <definedName name="BLOCK_POK_KNE_COLDVSNA">'Показатели КНЭ'!$37:$63</definedName>
    <definedName name="BLOCK_POK_KNE_HEAT">'Показатели КНЭ'!$13:$35</definedName>
    <definedName name="BLOCK_POK_KNE_HOTVSNA">'Показатели КНЭ'!$65:$75</definedName>
    <definedName name="BLOCK_POK_KNE_VOTV">'Показатели КНЭ'!$77:$100</definedName>
    <definedName name="BLOCK_PRICE_INDICATORS_HEAT">Титульный!$42:$47</definedName>
    <definedName name="BLOCK_PRICE_INDICATORS_LEVEL">Титульный!$43:$44</definedName>
    <definedName name="BLOCK_PRICE_IST_TE">'Перечень тарифов'!$S:$V</definedName>
    <definedName name="BLOCK_PRICE_REQUEST">Титульный!$20:$24</definedName>
    <definedName name="BLOCK_PT_COLDVSNA">'Перечень тарифов'!$164:$188</definedName>
    <definedName name="BLOCK_PT_HEAT">'Перечень тарифов'!$13:$162</definedName>
    <definedName name="BLOCK_PT_HEAT_NOT_R">'Перечень тарифов'!$148:$152</definedName>
    <definedName name="BLOCK_PT_HEAT_NOT_R_TMP">'Перечень тарифов'!$143:$147</definedName>
    <definedName name="BLOCK_PT_HEAT_PHEAT">'Перечень тарифов'!$72:$76</definedName>
    <definedName name="BLOCK_PT_HEAT_PHEAT_HIDDEN_FORMULAS">'Перечень тарифов'!$Z$72:$AQ$72</definedName>
    <definedName name="BLOCK_PT_HEAT_RHEAT">'Перечень тарифов'!$52:$71</definedName>
    <definedName name="BLOCK_PT_HEAT_RHEAT_HIDDEN_FORMULAS">'Перечень тарифов'!$Z$52:$AQ$52</definedName>
    <definedName name="BLOCK_PT_HOTVSNA">'Перечень тарифов'!$190:$204</definedName>
    <definedName name="BLOCK_PT_VOTV">'Перечень тарифов'!$206:$220</definedName>
    <definedName name="BLOCK_TABLE_P_TARIFF_A">'ТС. Т-ТЭ | &gt;=25МВт'!$28:$32</definedName>
    <definedName name="BLOCK_TABLE_P_TARIFF_A_COLDVSNA">'ХВС. Т-пит'!$26:$30</definedName>
    <definedName name="BLOCK_TABLE_P_TARIFF_A_HOTVSNA">'ГВС. Т-гор.вода'!$26:$30</definedName>
    <definedName name="BLOCK_TABLE_P_TARIFF_A_VOTV">'ВО. Т-во'!$26:$30</definedName>
    <definedName name="BLOCK_TABLE_P_TARIFF_B">'ТС. Т-ТЭ | ТСО'!$28:$32</definedName>
    <definedName name="BLOCK_TABLE_P_TARIFF_B_COLDVSNA">'ХВС. Т-тех'!$26:$30</definedName>
    <definedName name="BLOCK_TABLE_P_TARIFF_B_HOTVSNA">'ГВС. Т-транс'!$26:$30</definedName>
    <definedName name="BLOCK_TABLE_P_TARIFF_B_VOTV">'ВО. Т-транс'!$26:$30</definedName>
    <definedName name="BLOCK_TABLE_P_TARIFF_C">'ТС. Т-ТН'!$28:$32</definedName>
    <definedName name="BLOCK_TABLE_P_TARIFF_C_COLDVSNA">'ХВС. Т-транс'!$26:$30</definedName>
    <definedName name="BLOCK_TABLE_P_TARIFF_C_HOTVSNA">'ГВС. Т-подкл'!$30:$34</definedName>
    <definedName name="BLOCK_TABLE_P_TARIFF_C_VOTV">'ВО. Т-подкл'!$30:$34</definedName>
    <definedName name="BLOCK_TABLE_P_TARIFF_D">'ТС. Т-гор.вода'!$32:$36</definedName>
    <definedName name="BLOCK_TABLE_P_TARIFF_D_COLDVSNA">'ХВС. Т-подвоз'!$26:$30</definedName>
    <definedName name="BLOCK_TABLE_P_TARIFF_E_COLDVSNA">'ХВС. Т-подкл'!$30:$34</definedName>
    <definedName name="BLOCK_TABLE_P_TARIFF_E1">'ТС. Т-передача ТЭ'!$28:$32</definedName>
    <definedName name="BLOCK_TABLE_P_TARIFF_E2">'ТС. Т-передача ТН'!$28:$32</definedName>
    <definedName name="BLOCK_TABLE_P_TARIFF_F">'ТС. Резерв мощности'!$28:$32</definedName>
    <definedName name="BLOCK_TABLE_P_TARIFF_G">'ТС. Т-подкл'!$29:$33</definedName>
    <definedName name="BLOCK_TABLE_P_TARIFF_H">'ТС. Т-подкл(инд)'!$26:$30</definedName>
    <definedName name="BLOCK_TABLE_P_TARIFF_I">'ТС. Т-ТЭ | предел'!$28:$32</definedName>
    <definedName name="BLOCK_TABLE_P_TARIFF_I_1">'ТС. Т-ТЭ | индикат'!$28:$32</definedName>
    <definedName name="BLOCK_TABLE_R_TARIFF_A">'ТС. Т-ТЭ | &gt;=25МВт'!$33:$35</definedName>
    <definedName name="BLOCK_TABLE_R_TARIFF_A_COLDVSNA">'ХВС. Т-пит'!$31:$33</definedName>
    <definedName name="BLOCK_TABLE_R_TARIFF_A_HOTVSNA">'ГВС. Т-гор.вода'!$31:$33</definedName>
    <definedName name="BLOCK_TABLE_R_TARIFF_A_VOTV">'ВО. Т-во'!$31:$33</definedName>
    <definedName name="BLOCK_TABLE_R_TARIFF_B">'ТС. Т-ТЭ | ТСО'!$33:$35</definedName>
    <definedName name="BLOCK_TABLE_R_TARIFF_B_COLDVSNA">'ХВС. Т-тех'!$31:$33</definedName>
    <definedName name="BLOCK_TABLE_R_TARIFF_B_HOTVSNA">'ГВС. Т-транс'!$31:$33</definedName>
    <definedName name="BLOCK_TABLE_R_TARIFF_B_VOTV">'ВО. Т-транс'!$31:$33</definedName>
    <definedName name="BLOCK_TABLE_R_TARIFF_C">'ТС. Т-ТН'!$33:$35</definedName>
    <definedName name="BLOCK_TABLE_R_TARIFF_C_COLDVSNA">'ХВС. Т-транс'!$31:$33</definedName>
    <definedName name="BLOCK_TABLE_R_TARIFF_C_HOTVSNA">'ГВС. Т-подкл'!$35:$37</definedName>
    <definedName name="BLOCK_TABLE_R_TARIFF_C_VOTV">'ВО. Т-подкл'!$35:$37</definedName>
    <definedName name="BLOCK_TABLE_R_TARIFF_D">'ТС. Т-гор.вода'!$37:$39</definedName>
    <definedName name="BLOCK_TABLE_R_TARIFF_D_COLDVSNA">'ХВС. Т-подвоз'!$31:$33</definedName>
    <definedName name="BLOCK_TABLE_R_TARIFF_E_COLDVSNA">'ХВС. Т-подкл'!$35:$37</definedName>
    <definedName name="BLOCK_TABLE_R_TARIFF_E1">'ТС. Т-передача ТЭ'!$33:$35</definedName>
    <definedName name="BLOCK_TABLE_R_TARIFF_E2">'ТС. Т-передача ТН'!$33:$35</definedName>
    <definedName name="BLOCK_TABLE_R_TARIFF_F">'ТС. Резерв мощности'!$33:$35</definedName>
    <definedName name="BLOCK_TABLE_R_TARIFF_G">'ТС. Т-подкл'!$34:$36</definedName>
    <definedName name="BLOCK_TABLE_R_TARIFF_H">'ТС. Т-подкл(инд)'!$31:$33</definedName>
    <definedName name="BLOCK_TABLE_R_TARIFF_I">'ТС. Т-ТЭ | предел'!$33:$35</definedName>
    <definedName name="BLOCK_TABLE_R_TARIFF_I_1">'ТС. Т-ТЭ | индикат'!$33:$35</definedName>
    <definedName name="BLOCK_TEMPLATES_INVEST_TIT">Титульный!$59:$60</definedName>
    <definedName name="BLOCK_TERMS_HEAT_P1">Договоры!$19:$19</definedName>
    <definedName name="BLOCK_TERMS_NOT_TKO_P1">Договоры!$16:$18</definedName>
    <definedName name="BLOCK_TERMS_NOT_TKO_P2">Договоры!$20:$22</definedName>
    <definedName name="BLOCK_TERMS_TKO_TRANS">Договоры!$23:$26</definedName>
    <definedName name="BLOCK_TERRITORY_INFO">'Список территорий'!$7:$7</definedName>
    <definedName name="BLOCK_TITLE_ROIV_INFO">Титульный!$9:$9</definedName>
    <definedName name="BLOCK_WARM_ORG_TYPE">Титульный!$36:$36</definedName>
    <definedName name="checkCell_List01">'Список территорий'!$E$21:$I$21</definedName>
    <definedName name="checkCell_List07">'Сведения об изменении'!$D$11:$E$14</definedName>
    <definedName name="CLASS_TKO_LIST">TEHSHEET!$AZ$90:$AZ$94</definedName>
    <definedName name="code">Инструкция!$B$2</definedName>
    <definedName name="CodeTemplateList">TEHSHEET!$F$46:$F$53</definedName>
    <definedName name="COLDVSNA_FIN_SRC_LIST">TEHSHEET!$BJ$4:$BJ$34</definedName>
    <definedName name="COLDVSNA_FIN_SRC_VLD_LIST">TEHSHEET!$BJ$39:$BJ$60</definedName>
    <definedName name="COLDVSNA_IP_EVENT_CI_STAGE_LIST">TEHSHEET!$BJ$97:$BJ$100</definedName>
    <definedName name="COLDVSNA_IP_EVENT_GROUP_LIST">TEHSHEET!$BJ$69:$BJ$76</definedName>
    <definedName name="COLDVSNA_IP_EVENT_SUBGROUP_1_LIST">TEHSHEET!$BJ$80:$BJ$83</definedName>
    <definedName name="COLDVSNA_IP_EVENT_SUBGROUP_3_LIST">TEHSHEET!$BJ$87:$BJ$88</definedName>
    <definedName name="COLDVSNA_IP_EVENT_SUBGROUP_5_LIST">TEHSHEET!$BJ$92:$BJ$93</definedName>
    <definedName name="COLDVSNA_IP_EVENT_TYPE_LIST">TEHSHEET!$BJ$108</definedName>
    <definedName name="COLDVSNA_PT_VED_ID">TEHSHEET!$BT$19:$BT$25</definedName>
    <definedName name="COLDVSNA_PT_VED_NAME">TEHSHEET!$BU$19:$BU$25</definedName>
    <definedName name="COLDVSNA_PT_VED_NAME_LIST">TEHSHEET!$BT$19:$BU$25</definedName>
    <definedName name="COLDVSNA_TARIFF_A_COLDVSNA_ADD_HL_COLUMN_MARKER">'ХВС. Т-пит'!$T$34</definedName>
    <definedName name="COLDVSNA_TARIFF_A_COLDVSNA_DEL_HL_DATA_DIFF_COLUMN_MARKER">'ХВС. Т-пит'!$R$34</definedName>
    <definedName name="COLDVSNA_TARIFF_A_COLDVSNA_DEL_HL_FLAG_DIFF_COLUMN_MARKER">'ХВС. Т-пит'!$P$34</definedName>
    <definedName name="COLDVSNA_TARIFF_A_COLDVSNA_DEL_HL_GC_COLUMN_MARKER">'ХВС. Т-пит'!$Q$34</definedName>
    <definedName name="COLDVSNA_TARIFF_A_COLDVSNA_DELETE_PERIOD_ROW_MARKER">'ХВС. Т-пит'!$O$35</definedName>
    <definedName name="COLDVSNA_TARIFF_A_COLDVSNA_FLAG_BLOCK_COLUMN_MARKER">'ХВС. Т-пит'!$L$36</definedName>
    <definedName name="COLDVSNA_TARIFF_A_COLDVSNA_FLAG_BLOCK_ROW_MARKER">'ХВС. Т-пит'!$O$20</definedName>
    <definedName name="COLDVSNA_TARIFF_A_COLDVSNA_NUM_CS_COLUMN_MARKER">'ХВС. Т-пит'!$G$36</definedName>
    <definedName name="COLDVSNA_TARIFF_A_COLDVSNA_NUM_DATA_DIFF_COLUMN_MARKER">'ХВС. Т-пит'!$K$36</definedName>
    <definedName name="COLDVSNA_TARIFF_A_COLDVSNA_NUM_FLAG_DIFF_COLUMN_MARKER">'ХВС. Т-пит'!$I$36</definedName>
    <definedName name="COLDVSNA_TARIFF_A_COLDVSNA_NUM_GC_COLUMN_MARKER">'ХВС. Т-пит'!$J$36</definedName>
    <definedName name="COLDVSNA_TARIFF_A_COLDVSNA_NUM_NTAR_COLUMN_MARKER">'ХВС. Т-пит'!$E$36</definedName>
    <definedName name="COLDVSNA_TARIFF_A_COLDVSNA_NUM_TER_COLUMN_MARKER">'ХВС. Т-пит'!$F$36</definedName>
    <definedName name="COLDVSNA_TARIFF_B_COLDVSNA_ADD_HL_COLUMN_MARKER">'ХВС. Т-тех'!$T$34</definedName>
    <definedName name="COLDVSNA_TARIFF_B_COLDVSNA_DEL_HL_DATA_DIFF_COLUMN_MARKER">'ХВС. Т-тех'!$R$34</definedName>
    <definedName name="COLDVSNA_TARIFF_B_COLDVSNA_DEL_HL_FLAG_DIFF_COLUMN_MARKER">'ХВС. Т-тех'!$P$34</definedName>
    <definedName name="COLDVSNA_TARIFF_B_COLDVSNA_DEL_HL_GC_COLUMN_MARKER">'ХВС. Т-тех'!$Q$34</definedName>
    <definedName name="COLDVSNA_TARIFF_B_COLDVSNA_DELETE_PERIOD_ROW_MARKER">'ХВС. Т-тех'!$O$35</definedName>
    <definedName name="COLDVSNA_TARIFF_B_COLDVSNA_FLAG_BLOCK_COLUMN_MARKER">'ХВС. Т-тех'!$L$36</definedName>
    <definedName name="COLDVSNA_TARIFF_B_COLDVSNA_FLAG_BLOCK_ROW_MARKER">'ХВС. Т-тех'!$O$20</definedName>
    <definedName name="COLDVSNA_TARIFF_B_COLDVSNA_NUM_CS_COLUMN_MARKER">'ХВС. Т-тех'!$G$36</definedName>
    <definedName name="COLDVSNA_TARIFF_B_COLDVSNA_NUM_DATA_DIFF_COLUMN_MARKER">'ХВС. Т-тех'!$K$36</definedName>
    <definedName name="COLDVSNA_TARIFF_B_COLDVSNA_NUM_FLAG_DIFF_COLUMN_MARKER">'ХВС. Т-тех'!$I$36</definedName>
    <definedName name="COLDVSNA_TARIFF_B_COLDVSNA_NUM_GC_COLUMN_MARKER">'ХВС. Т-тех'!$J$36</definedName>
    <definedName name="COLDVSNA_TARIFF_B_COLDVSNA_NUM_NTAR_COLUMN_MARKER">'ХВС. Т-тех'!$E$36</definedName>
    <definedName name="COLDVSNA_TARIFF_B_COLDVSNA_NUM_TER_COLUMN_MARKER">'ХВС. Т-тех'!$F$36</definedName>
    <definedName name="COLDVSNA_TARIFF_C_COLDVSNA_ADD_HL_COLUMN_MARKER">'ХВС. Т-транс'!$T$34</definedName>
    <definedName name="COLDVSNA_TARIFF_C_COLDVSNA_DEL_HL_DATA_DIFF_COLUMN_MARKER">'ХВС. Т-транс'!$R$34</definedName>
    <definedName name="COLDVSNA_TARIFF_C_COLDVSNA_DEL_HL_FLAG_DIFF_COLUMN_MARKER">'ХВС. Т-транс'!$P$34</definedName>
    <definedName name="COLDVSNA_TARIFF_C_COLDVSNA_DEL_HL_GC_COLUMN_MARKER">'ХВС. Т-транс'!$Q$34</definedName>
    <definedName name="COLDVSNA_TARIFF_C_COLDVSNA_DELETE_PERIOD_ROW_MARKER">'ХВС. Т-транс'!$O$35</definedName>
    <definedName name="COLDVSNA_TARIFF_C_COLDVSNA_FLAG_BLOCK_COLUMN_MARKER">'ХВС. Т-транс'!$L$36</definedName>
    <definedName name="COLDVSNA_TARIFF_C_COLDVSNA_FLAG_BLOCK_ROW_MARKER">'ХВС. Т-транс'!$O$20</definedName>
    <definedName name="COLDVSNA_TARIFF_C_COLDVSNA_NUM_CS_COLUMN_MARKER">'ХВС. Т-транс'!$G$36</definedName>
    <definedName name="COLDVSNA_TARIFF_C_COLDVSNA_NUM_DATA_DIFF_COLUMN_MARKER">'ХВС. Т-транс'!$K$36</definedName>
    <definedName name="COLDVSNA_TARIFF_C_COLDVSNA_NUM_FLAG_DIFF_COLUMN_MARKER">'ХВС. Т-транс'!$I$36</definedName>
    <definedName name="COLDVSNA_TARIFF_C_COLDVSNA_NUM_GC_COLUMN_MARKER">'ХВС. Т-транс'!$J$36</definedName>
    <definedName name="COLDVSNA_TARIFF_C_COLDVSNA_NUM_NTAR_COLUMN_MARKER">'ХВС. Т-транс'!$E$36</definedName>
    <definedName name="COLDVSNA_TARIFF_C_COLDVSNA_NUM_TER_COLUMN_MARKER">'ХВС. Т-транс'!$F$36</definedName>
    <definedName name="COLDVSNA_TARIFF_D_COLDVSNA_ADD_HL_COLUMN_MARKER">'ХВС. Т-подвоз'!$T$34</definedName>
    <definedName name="COLDVSNA_TARIFF_D_COLDVSNA_DEL_HL_DATA_DIFF_COLUMN_MARKER">'ХВС. Т-подвоз'!$R$34</definedName>
    <definedName name="COLDVSNA_TARIFF_D_COLDVSNA_DEL_HL_FLAG_DIFF_COLUMN_MARKER">'ХВС. Т-подвоз'!$P$34</definedName>
    <definedName name="COLDVSNA_TARIFF_D_COLDVSNA_DEL_HL_GC_COLUMN_MARKER">'ХВС. Т-подвоз'!$Q$34</definedName>
    <definedName name="COLDVSNA_TARIFF_D_COLDVSNA_DELETE_PERIOD_ROW_MARKER">'ХВС. Т-подвоз'!$O$35</definedName>
    <definedName name="COLDVSNA_TARIFF_D_COLDVSNA_FLAG_BLOCK_COLUMN_MARKER">'ХВС. Т-подвоз'!$L$36</definedName>
    <definedName name="COLDVSNA_TARIFF_D_COLDVSNA_FLAG_BLOCK_ROW_MARKER">'ХВС. Т-подвоз'!$O$20</definedName>
    <definedName name="COLDVSNA_TARIFF_D_COLDVSNA_NUM_CS_COLUMN_MARKER">'ХВС. Т-подвоз'!$G$36</definedName>
    <definedName name="COLDVSNA_TARIFF_D_COLDVSNA_NUM_DATA_DIFF_COLUMN_MARKER">'ХВС. Т-подвоз'!$K$36</definedName>
    <definedName name="COLDVSNA_TARIFF_D_COLDVSNA_NUM_FLAG_DIFF_COLUMN_MARKER">'ХВС. Т-подвоз'!$I$36</definedName>
    <definedName name="COLDVSNA_TARIFF_D_COLDVSNA_NUM_GC_COLUMN_MARKER">'ХВС. Т-подвоз'!$J$36</definedName>
    <definedName name="COLDVSNA_TARIFF_D_COLDVSNA_NUM_NTAR_COLUMN_MARKER">'ХВС. Т-подвоз'!$E$36</definedName>
    <definedName name="COLDVSNA_TARIFF_D_COLDVSNA_NUM_TER_COLUMN_MARKER">'ХВС. Т-подвоз'!$F$36</definedName>
    <definedName name="COLDVSNA_TARIFF_E_COLDVSNA_ADD_HL_COLUMN_MARKER">'ХВС. Т-подкл'!$T$38</definedName>
    <definedName name="COLDVSNA_TARIFF_E_COLDVSNA_ADD_HL_DIAMETERS_COLUMN_MARKER">'ХВС. Т-подкл'!$AK$38</definedName>
    <definedName name="COLDVSNA_TARIFF_E_COLDVSNA_ADD_HL_LEN_COLUMN_MARKER">'ХВС. Т-подкл'!$AO$38</definedName>
    <definedName name="COLDVSNA_TARIFF_E_COLDVSNA_ADD_HL_LOAD_COLUMN_MARKER">'ХВС. Т-подкл'!$AG$38</definedName>
    <definedName name="COLDVSNA_TARIFF_E_COLDVSNA_ADD_HL_NETS_COLUMN_MARKER">'ХВС. Т-подкл'!$AS$38</definedName>
    <definedName name="COLDVSNA_TARIFF_E_COLDVSNA_DEL_HL_DATA_DIFF_COLUMN_MARKER">'ХВС. Т-подкл'!$R$38</definedName>
    <definedName name="COLDVSNA_TARIFF_E_COLDVSNA_DEL_HL_DIAMETERS_COLUMN_MARKER">'ХВС. Т-подкл'!$AI$38</definedName>
    <definedName name="COLDVSNA_TARIFF_E_COLDVSNA_DEL_HL_FLAG_DIFF_COLUMN_MARKER">'ХВС. Т-подкл'!$P$38</definedName>
    <definedName name="COLDVSNA_TARIFF_E_COLDVSNA_DEL_HL_GC_COLUMN_MARKER">'ХВС. Т-подкл'!$Q$38</definedName>
    <definedName name="COLDVSNA_TARIFF_E_COLDVSNA_DEL_HL_LEN_COLUMN_MARKER">'ХВС. Т-подкл'!$AM$38</definedName>
    <definedName name="COLDVSNA_TARIFF_E_COLDVSNA_DEL_HL_LOAD_COLUMN_MARKER">'ХВС. Т-подкл'!$AE$38</definedName>
    <definedName name="COLDVSNA_TARIFF_E_COLDVSNA_DEL_HL_NETS_COLUMN_MARKER">'ХВС. Т-подкл'!$AQ$38</definedName>
    <definedName name="COLDVSNA_TARIFF_E_COLDVSNA_DELETE_PERIOD_ROW_MARKER">'ХВС. Т-подкл'!$O$39</definedName>
    <definedName name="COLDVSNA_TARIFF_E_COLDVSNA_FLAG_BLOCK_COLUMN_MARKER">'ХВС. Т-подкл'!$L$44</definedName>
    <definedName name="COLDVSNA_TARIFF_E_COLDVSNA_FLAG_BLOCK_ROW_MARKER">'ХВС. Т-подкл'!$O$24</definedName>
    <definedName name="COLDVSNA_TARIFF_E_COLDVSNA_NUM_CS_COLUMN_MARKER">'ХВС. Т-подкл'!$G$44</definedName>
    <definedName name="COLDVSNA_TARIFF_E_COLDVSNA_NUM_DATA_DIFF_COLUMN_MARKER">'ХВС. Т-подкл'!$K$44</definedName>
    <definedName name="COLDVSNA_TARIFF_E_COLDVSNA_NUM_DIAMETERS_COLUMN_MARKER">'ХВС. Т-подкл'!$AJ$38</definedName>
    <definedName name="COLDVSNA_TARIFF_E_COLDVSNA_NUM_FLAG_DIFF_COLUMN_MARKER">'ХВС. Т-подкл'!$I$44</definedName>
    <definedName name="COLDVSNA_TARIFF_E_COLDVSNA_NUM_GC_COLUMN_MARKER">'ХВС. Т-подкл'!$J$44</definedName>
    <definedName name="COLDVSNA_TARIFF_E_COLDVSNA_NUM_LEN_COLUMN_MARKER">'ХВС. Т-подкл'!$AN$38</definedName>
    <definedName name="COLDVSNA_TARIFF_E_COLDVSNA_NUM_LOAD_COLUMN_MARKER">'ХВС. Т-подкл'!$AF$38</definedName>
    <definedName name="COLDVSNA_TARIFF_E_COLDVSNA_NUM_NETS_COLUMN_MARKER">'ХВС. Т-подкл'!$AR$38</definedName>
    <definedName name="COLDVSNA_TARIFF_E_COLDVSNA_NUM_NTAR_COLUMN_MARKER">'ХВС. Т-подкл'!$E$44</definedName>
    <definedName name="COLDVSNA_TARIFF_E_COLDVSNA_NUM_TER_COLUMN_MARKER">'ХВС. Т-подкл'!$F$44</definedName>
    <definedName name="cross_without_borders">TEHSHEET!$J$27</definedName>
    <definedName name="CS_ID">TEHSHEET!$E$63</definedName>
    <definedName name="CURRENT_DATE">TEHSHEET!$H$29</definedName>
    <definedName name="CURRENT_YEAR">TEHSHEET!$G$44</definedName>
    <definedName name="DATA_URL">TEHSHEET!$H$32</definedName>
    <definedName name="DIFFERENTIATION_AREA">Дифференциация!$I$12:$I$16</definedName>
    <definedName name="DIFFERENTIATION_AREA_ID">Дифференциация!$U$11:$U$17</definedName>
    <definedName name="DIFFERENTIATION_CheckC">Дифференциация!$D$12:$M$16</definedName>
    <definedName name="DIFFERENTIATION_fieldMarker">Дифференциация!$W$12:$W$16</definedName>
    <definedName name="DIFFERENTIATION_ID">TEHSHEET!$E$57</definedName>
    <definedName name="DIFFERENTIATION_ID_DIFF">Дифференциация!$O$12:$O$16</definedName>
    <definedName name="DIFFERENTIATION_SYSTEM">Дифференциация!$M$12:$M$16</definedName>
    <definedName name="DIFFERENTIATION_TARIFF_AREA_ID">'Перечень тарифов'!$Z$12:$Z$222</definedName>
    <definedName name="DIFFERENTIATION_TARIFF_VD_ID">'Перечень тарифов'!$AB$12:$AB$222</definedName>
    <definedName name="DIFFERENTIATION_TARIFF_VTAR_ID">'Перечень тарифов'!$AA$12:$AA$222</definedName>
    <definedName name="DIFFERENTIATION_TKO_ADD_HL_CLASS_TKO_COLUMN_MARKER">'Дифференциация тариф показатель'!$AH$7</definedName>
    <definedName name="DIFFERENTIATION_TKO_ADD_HL_NTAR_COLUMN_MARKER">'Дифференциация тариф показатель'!$J$7</definedName>
    <definedName name="DIFFERENTIATION_TKO_ADD_HL_TER_COLUMN_MARKER">'Дифференциация тариф показатель'!$V$7</definedName>
    <definedName name="DIFFERENTIATION_TKO_ADD_HL_TO_COLUMN_MARKER">'Дифференциация тариф показатель'!$P$7</definedName>
    <definedName name="DIFFERENTIATION_TKO_ADD_HL_TYPE_TKO_COLUMN_MARKER">'Дифференциация тариф показатель'!$AB$7</definedName>
    <definedName name="DIFFERENTIATION_TKO_ADD_HL_VTAR_COLUMN_MARKER">'Дифференциация тариф показатель'!$F$7</definedName>
    <definedName name="DIFFERENTIATION_TKO_AREA_ID">'Дифференциация тариф показатель'!$AK$11:$AK$41</definedName>
    <definedName name="DIFFERENTIATION_TKO_DEL_HL_CLASS_TKO_COLUMN_MARKER">'Дифференциация тариф показатель'!$AF$7</definedName>
    <definedName name="DIFFERENTIATION_TKO_DEL_HL_NTAR_COLUMN_MARKER">'Дифференциация тариф показатель'!$H$7</definedName>
    <definedName name="DIFFERENTIATION_TKO_DEL_HL_TER_COLUMN_MARKER">'Дифференциация тариф показатель'!$T$7</definedName>
    <definedName name="DIFFERENTIATION_TKO_DEL_HL_TO_COLUMN_MARKER">'Дифференциация тариф показатель'!$N$7</definedName>
    <definedName name="DIFFERENTIATION_TKO_DEL_HL_TYPE_TKO_COLUMN_MARKER">'Дифференциация тариф показатель'!$Z$7</definedName>
    <definedName name="DIFFERENTIATION_TKO_FLAG_DIFF_CLASS_TKO_ETC_COLUMN_MARKER">'Дифференциация тариф показатель'!$AE$7</definedName>
    <definedName name="DIFFERENTIATION_TKO_FLAG_DIFF_CLASS_TKO_TARIFF_COLUMN_MARKER">'Дифференциация тариф показатель'!$AD$7</definedName>
    <definedName name="DIFFERENTIATION_TKO_FLAG_DIFF_TER_ETC_COLUMN_MARKER">'Дифференциация тариф показатель'!$S$7</definedName>
    <definedName name="DIFFERENTIATION_TKO_FLAG_DIFF_TER_TARIFF_COLUMN_MARKER">'Дифференциация тариф показатель'!$R$7</definedName>
    <definedName name="DIFFERENTIATION_TKO_FLAG_DIFF_TO_ETC_COLUMN_MARKER">'Дифференциация тариф показатель'!$M$7</definedName>
    <definedName name="DIFFERENTIATION_TKO_FLAG_DIFF_TO_TARIFF_COLUMN_MARKER">'Дифференциация тариф показатель'!$L$7</definedName>
    <definedName name="DIFFERENTIATION_TKO_FLAG_DIFF_TYPE_TKO_ETC_COLUMN_MARKER">'Дифференциация тариф показатель'!$Y$7</definedName>
    <definedName name="DIFFERENTIATION_TKO_FLAG_DIFF_TYPE_TKO_TARIFF_COLUMN_MARKER">'Дифференциация тариф показатель'!$X$7</definedName>
    <definedName name="DIFFERENTIATION_TKO_FLAG_VTAR_COLUMN_MARKER">'Дифференциация тариф показатель'!$G$7</definedName>
    <definedName name="DIFFERENTIATION_TKO_TER_ID">'Дифференциация тариф показатель'!$AL$11:$AL$41</definedName>
    <definedName name="DIFFERENTIATION_UNMERGE_AREA">Дифференциация!$Q$12:$Q$16</definedName>
    <definedName name="DIFFERENTIATION_UNMERGE_SYSTEM">Дифференциация!$R$12:$R$16</definedName>
    <definedName name="DIFFERENTIATION_UNMERGE_VD">Дифференциация!$P$12:$P$16</definedName>
    <definedName name="DIFFERENTIATION_VD">Дифференциация!$E$12:$E$16</definedName>
    <definedName name="DIFFERENTIATION_VD_ID">Дифференциация!$V$11:$V$17</definedName>
    <definedName name="ED_DATE">ЭД!$G$12:$G$13</definedName>
    <definedName name="ED_DATE_PARKING">ЭД!$I$5</definedName>
    <definedName name="ED_LINK">ЭД!$H$12:$H$13</definedName>
    <definedName name="EndDateList">TEHSHEET!$H$46:$H$53</definedName>
    <definedName name="et_B_FHD20_1_HEAT">et_union_hor!$127:$135</definedName>
    <definedName name="et_B_FHD20_1_NOT_HEAT">et_union_hor!$115:$123</definedName>
    <definedName name="et_B_FHD20_2">et_union_hor!$139:$142</definedName>
    <definedName name="et_B_FHD20_3">et_union_hor!$147:$148</definedName>
    <definedName name="et_B_FHD20_4">et_union_hor!$150:$150</definedName>
    <definedName name="et_B_STANDARTS">'Стандарты качества'!$2:$2</definedName>
    <definedName name="et_CHANGE_INFO">et_union_hor!$4:$4</definedName>
    <definedName name="et_COLDVSNA_TARIFF_A_COLDVSNA_CS">'ХВС. Т-пит'!$4:$11</definedName>
    <definedName name="et_COLDVSNA_TARIFF_A_COLDVSNA_DATA_DIFF">'ХВС. Т-пит'!$7:$8</definedName>
    <definedName name="et_COLDVSNA_TARIFF_A_COLDVSNA_FLAG_DIFF">'ХВС. Т-пит'!$5:$10</definedName>
    <definedName name="et_COLDVSNA_TARIFF_A_COLDVSNA_GC">'ХВС. Т-пит'!$6:$9</definedName>
    <definedName name="et_COLDVSNA_TARIFF_A_COLDVSNA_NTAR">'ХВС. Т-пит'!$2:$13</definedName>
    <definedName name="et_COLDVSNA_TARIFF_A_COLDVSNA_PERIOD_COLOR">'ХВС. Т-пит'!$AC$7:$AI$8</definedName>
    <definedName name="et_COLDVSNA_TARIFF_A_COLDVSNA_PERIOD_NOT_COLOR">'ХВС. Т-пит'!$AC$15:$AI$16</definedName>
    <definedName name="et_COLDVSNA_TARIFF_A_COLDVSNA_TER">'ХВС. Т-пит'!$3:$12</definedName>
    <definedName name="et_COLDVSNA_TARIFF_A_COLDVSNA_TN">'ХВС. Т-пит'!$7:$8</definedName>
    <definedName name="et_COLDVSNA_TARIFF_B_COLDVSNA_CS">'ХВС. Т-тех'!$4:$11</definedName>
    <definedName name="et_COLDVSNA_TARIFF_B_COLDVSNA_DATA_DIFF">'ХВС. Т-тех'!$7:$8</definedName>
    <definedName name="et_COLDVSNA_TARIFF_B_COLDVSNA_FLAG_DIFF">'ХВС. Т-тех'!$5:$10</definedName>
    <definedName name="et_COLDVSNA_TARIFF_B_COLDVSNA_GC">'ХВС. Т-тех'!$6:$9</definedName>
    <definedName name="et_COLDVSNA_TARIFF_B_COLDVSNA_NTAR">'ХВС. Т-тех'!$2:$13</definedName>
    <definedName name="et_COLDVSNA_TARIFF_B_COLDVSNA_PERIOD_COLOR">'ХВС. Т-тех'!$AC$7:$AI$8</definedName>
    <definedName name="et_COLDVSNA_TARIFF_B_COLDVSNA_PERIOD_NOT_COLOR">'ХВС. Т-тех'!$AC$15:$AI$16</definedName>
    <definedName name="et_COLDVSNA_TARIFF_B_COLDVSNA_TER">'ХВС. Т-тех'!$3:$12</definedName>
    <definedName name="et_COLDVSNA_TARIFF_C_COLDVSNA_CS">'ХВС. Т-транс'!$4:$11</definedName>
    <definedName name="et_COLDVSNA_TARIFF_C_COLDVSNA_DATA_DIFF">'ХВС. Т-транс'!$7:$8</definedName>
    <definedName name="et_COLDVSNA_TARIFF_C_COLDVSNA_FLAG_DIFF">'ХВС. Т-транс'!$5:$10</definedName>
    <definedName name="et_COLDVSNA_TARIFF_C_COLDVSNA_GC">'ХВС. Т-транс'!$6:$9</definedName>
    <definedName name="et_COLDVSNA_TARIFF_C_COLDVSNA_NTAR">'ХВС. Т-транс'!$2:$13</definedName>
    <definedName name="et_COLDVSNA_TARIFF_C_COLDVSNA_PERIOD_COLOR">'ХВС. Т-транс'!$AC$7:$AI$8</definedName>
    <definedName name="et_COLDVSNA_TARIFF_C_COLDVSNA_PERIOD_NOT_COLOR">'ХВС. Т-транс'!$AC$15:$AI$16</definedName>
    <definedName name="et_COLDVSNA_TARIFF_C_COLDVSNA_TER">'ХВС. Т-транс'!$3:$12</definedName>
    <definedName name="et_COLDVSNA_TARIFF_D_COLDVSNA_CS">'ХВС. Т-подвоз'!$4:$11</definedName>
    <definedName name="et_COLDVSNA_TARIFF_D_COLDVSNA_DATA_DIFF">'ХВС. Т-подвоз'!$7:$8</definedName>
    <definedName name="et_COLDVSNA_TARIFF_D_COLDVSNA_FLAG_DIFF">'ХВС. Т-подвоз'!$5:$10</definedName>
    <definedName name="et_COLDVSNA_TARIFF_D_COLDVSNA_GC">'ХВС. Т-подвоз'!$6:$9</definedName>
    <definedName name="et_COLDVSNA_TARIFF_D_COLDVSNA_NTAR">'ХВС. Т-подвоз'!$2:$13</definedName>
    <definedName name="et_COLDVSNA_TARIFF_D_COLDVSNA_PERIOD_COLOR">'ХВС. Т-подвоз'!$AC$7:$AI$8</definedName>
    <definedName name="et_COLDVSNA_TARIFF_D_COLDVSNA_PERIOD_NOT_COLOR">'ХВС. Т-подвоз'!$AC$15:$AI$16</definedName>
    <definedName name="et_COLDVSNA_TARIFF_D_COLDVSNA_TER">'ХВС. Т-подвоз'!$3:$12</definedName>
    <definedName name="et_COLDVSNA_TARIFF_E_COLDVSNA_CS">'ХВС. Т-подкл'!$4:$16</definedName>
    <definedName name="et_COLDVSNA_TARIFF_E_COLDVSNA_DATA_DIFF">'ХВС. Т-подкл'!$8:$12</definedName>
    <definedName name="et_COLDVSNA_TARIFF_E_COLDVSNA_DIAMETERS">'ХВС. Т-подкл'!$8:$10</definedName>
    <definedName name="et_COLDVSNA_TARIFF_E_COLDVSNA_FLAG_DIFF">'ХВС. Т-подкл'!$6:$14</definedName>
    <definedName name="et_COLDVSNA_TARIFF_E_COLDVSNA_GC">'ХВС. Т-подкл'!$7:$13</definedName>
    <definedName name="et_COLDVSNA_TARIFF_E_COLDVSNA_LEN">'ХВС. Т-подкл'!$8:$9</definedName>
    <definedName name="et_COLDVSNA_TARIFF_E_COLDVSNA_LOAD">'ХВС. Т-подкл'!$8:$11</definedName>
    <definedName name="et_COLDVSNA_TARIFF_E_COLDVSNA_NETS">'ХВС. Т-подкл'!$8:$8</definedName>
    <definedName name="et_COLDVSNA_TARIFF_E_COLDVSNA_NTAR">'ХВС. Т-подкл'!$2:$18</definedName>
    <definedName name="et_COLDVSNA_TARIFF_E_COLDVSNA_PERIOD_COLOR">'ХВС. Т-подкл'!$AT$8:$BA$8</definedName>
    <definedName name="et_COLDVSNA_TARIFF_E_COLDVSNA_PERIOD_NOT_COLOR">'ХВС. Т-подкл'!$AT$20:$BA$20</definedName>
    <definedName name="et_COLDVSNA_TARIFF_E_COLDVSNA_TER">'ХВС. Т-подкл'!$3:$17</definedName>
    <definedName name="et_Comm">et_union_hor!$8:$8</definedName>
    <definedName name="et_DIFFERENTIATION_AREA">et_union_hor!$29:$30</definedName>
    <definedName name="et_DIFFERENTIATION_SYSTEM">et_union_hor!$34:$34</definedName>
    <definedName name="et_DIFFERENTIATION_TARIFF_COLOR">et_union_hor!$H$154:$W$158</definedName>
    <definedName name="et_DIFFERENTIATION_TARIFF_CS">et_union_hor!$169:$170</definedName>
    <definedName name="et_DIFFERENTIATION_TARIFF_IST_TE">et_union_hor!$172:$172</definedName>
    <definedName name="et_DIFFERENTIATION_TARIFF_NOT_COLOR">et_union_hor!$H$194:$W$198</definedName>
    <definedName name="et_DIFFERENTIATION_TARIFF_NOT_HEAT_COLOR">et_union_hor!$H$176:$W$180</definedName>
    <definedName name="et_DIFFERENTIATION_TARIFF_NOT_HEAT_CS">et_union_hor!$191:$192</definedName>
    <definedName name="et_DIFFERENTIATION_TARIFF_NOT_HEAT_NTAR">et_union_hor!$182:$185</definedName>
    <definedName name="et_DIFFERENTIATION_TARIFF_NOT_HEAT_TER">et_union_hor!$187:$189</definedName>
    <definedName name="et_DIFFERENTIATION_TARIFF_NOT_HEAT_VTAR">et_union_hor!$176:$180</definedName>
    <definedName name="et_DIFFERENTIATION_TARIFF_NTAR">et_union_hor!$160:$163</definedName>
    <definedName name="et_DIFFERENTIATION_TARIFF_TER">et_union_hor!$165:$167</definedName>
    <definedName name="et_DIFFERENTIATION_TARIFF_VTAR">et_union_hor!$154:$158</definedName>
    <definedName name="et_DIFFERENTIATION_TKO_CLASS_TKO">et_union_hor!$202:$202</definedName>
    <definedName name="et_DIFFERENTIATION_TKO_COLOR">et_union_hor!$H$202:$AI$207</definedName>
    <definedName name="et_DIFFERENTIATION_TKO_NOT_COLOR">et_union_hor!$H$209:$AI$214</definedName>
    <definedName name="et_DIFFERENTIATION_TKO_NTAR">et_union_hor!$202:$206</definedName>
    <definedName name="et_DIFFERENTIATION_TKO_TER">et_union_hor!$202:$204</definedName>
    <definedName name="et_DIFFERENTIATION_TKO_TO">et_union_hor!$202:$205</definedName>
    <definedName name="et_DIFFERENTIATION_TKO_TYPE_TKO">et_union_hor!$202:$203</definedName>
    <definedName name="et_DIFFERENTIATION_TKO_VTAR">et_union_hor!$202:$207</definedName>
    <definedName name="et_DIFFERENTIATION_VD">et_union_hor!$23:$25</definedName>
    <definedName name="et_ED">et_union_hor!$64:$64</definedName>
    <definedName name="et_HEAT_TARIFF_A_CS">'ТС. Т-ТЭ | &gt;=25МВт'!$4:$13</definedName>
    <definedName name="et_HEAT_TARIFF_A_GC">'ТС. Т-ТЭ | &gt;=25МВт'!$7:$10</definedName>
    <definedName name="et_HEAT_TARIFF_A_IST_TE">'ТС. Т-ТЭ | &gt;=25МВт'!$5:$12</definedName>
    <definedName name="et_HEAT_TARIFF_A_NTAR">'ТС. Т-ТЭ | &gt;=25МВт'!$2:$15</definedName>
    <definedName name="et_HEAT_TARIFF_A_PERIOD_COLOR">'ТС. Т-ТЭ | &gt;=25МВт'!$AD$8:$AK$9</definedName>
    <definedName name="et_HEAT_TARIFF_A_PERIOD_NOT_COLOR">'ТС. Т-ТЭ | &gt;=25МВт'!$AD$17:$AK$18</definedName>
    <definedName name="et_HEAT_TARIFF_A_SCHEME">'ТС. Т-ТЭ | &gt;=25МВт'!$6:$11</definedName>
    <definedName name="et_HEAT_TARIFF_A_TER">'ТС. Т-ТЭ | &gt;=25МВт'!$3:$14</definedName>
    <definedName name="et_HEAT_TARIFF_A_TN">'ТС. Т-ТЭ | &gt;=25МВт'!$8:$9</definedName>
    <definedName name="et_HEAT_TARIFF_B_CS">'ТС. Т-ТЭ | ТСО'!$4:$13</definedName>
    <definedName name="et_HEAT_TARIFF_B_GC">'ТС. Т-ТЭ | ТСО'!$7:$10</definedName>
    <definedName name="et_HEAT_TARIFF_B_IST_TE">'ТС. Т-ТЭ | ТСО'!$5:$12</definedName>
    <definedName name="et_HEAT_TARIFF_B_NTAR">'ТС. Т-ТЭ | ТСО'!$2:$15</definedName>
    <definedName name="et_HEAT_TARIFF_B_PERIOD_COLOR">'ТС. Т-ТЭ | ТСО'!$AD$8:$AK$9</definedName>
    <definedName name="et_HEAT_TARIFF_B_PERIOD_NOT_COLOR">'ТС. Т-ТЭ | ТСО'!$AD$17:$AK$18</definedName>
    <definedName name="et_HEAT_TARIFF_B_SCHEME">'ТС. Т-ТЭ | ТСО'!$6:$11</definedName>
    <definedName name="et_HEAT_TARIFF_B_TER">'ТС. Т-ТЭ | ТСО'!$3:$14</definedName>
    <definedName name="et_HEAT_TARIFF_B_TN">'ТС. Т-ТЭ | ТСО'!$8:$9</definedName>
    <definedName name="et_HEAT_TARIFF_C_CS">'ТС. Т-ТН'!$4:$13</definedName>
    <definedName name="et_HEAT_TARIFF_C_GC">'ТС. Т-ТН'!$7:$10</definedName>
    <definedName name="et_HEAT_TARIFF_C_IST_TE">'ТС. Т-ТН'!$5:$12</definedName>
    <definedName name="et_HEAT_TARIFF_C_NTAR">'ТС. Т-ТН'!$2:$15</definedName>
    <definedName name="et_HEAT_TARIFF_C_PERIOD_COLOR">'ТС. Т-ТН'!$AD$8:$AK$9</definedName>
    <definedName name="et_HEAT_TARIFF_C_PERIOD_NOT_COLOR">'ТС. Т-ТН'!$AD$17:$AK$18</definedName>
    <definedName name="et_HEAT_TARIFF_C_SCHEME">'ТС. Т-ТН'!$6:$11</definedName>
    <definedName name="et_HEAT_TARIFF_C_TER">'ТС. Т-ТН'!$3:$14</definedName>
    <definedName name="et_HEAT_TARIFF_C_TN">'ТС. Т-ТН'!$8:$9</definedName>
    <definedName name="et_HEAT_TARIFF_D_CONS">'ТС. Т-гор.вода'!$9:$10</definedName>
    <definedName name="et_HEAT_TARIFF_D_CS">'ТС. Т-гор.вода'!$4:$15</definedName>
    <definedName name="et_HEAT_TARIFF_D_GC">'ТС. Т-гор.вода'!$7:$12</definedName>
    <definedName name="et_HEAT_TARIFF_D_IST_TE">'ТС. Т-гор.вода'!$5:$14</definedName>
    <definedName name="et_HEAT_TARIFF_D_NTAR">'ТС. Т-гор.вода'!$2:$17</definedName>
    <definedName name="et_HEAT_TARIFF_D_PERIOD_COLOR">'ТС. Т-гор.вода'!$AG$8:$AO$10</definedName>
    <definedName name="et_HEAT_TARIFF_D_PERIOD_NOT_COLOR">'ТС. Т-гор.вода'!$AG$19:$AO$22</definedName>
    <definedName name="et_HEAT_TARIFF_D_SCHEME">'ТС. Т-гор.вода'!$6:$13</definedName>
    <definedName name="et_HEAT_TARIFF_D_TER">'ТС. Т-гор.вода'!$3:$16</definedName>
    <definedName name="et_HEAT_TARIFF_D_TN">'ТС. Т-гор.вода'!$8:$11</definedName>
    <definedName name="et_HEAT_TARIFF_E1_CS">'ТС. Т-передача ТЭ'!$4:$13</definedName>
    <definedName name="et_HEAT_TARIFF_E1_GC">'ТС. Т-передача ТЭ'!$7:$10</definedName>
    <definedName name="et_HEAT_TARIFF_E1_IST_TE">'ТС. Т-передача ТЭ'!$5:$12</definedName>
    <definedName name="et_HEAT_TARIFF_E1_NTAR">'ТС. Т-передача ТЭ'!$2:$15</definedName>
    <definedName name="et_HEAT_TARIFF_E1_PERIOD_COLOR">'ТС. Т-передача ТЭ'!$AD$8:$AK$9</definedName>
    <definedName name="et_HEAT_TARIFF_E1_PERIOD_NOT_COLOR">'ТС. Т-передача ТЭ'!$AD$17:$AK$18</definedName>
    <definedName name="et_HEAT_TARIFF_E1_SCHEME">'ТС. Т-передача ТЭ'!$6:$11</definedName>
    <definedName name="et_HEAT_TARIFF_E1_TER">'ТС. Т-передача ТЭ'!$3:$14</definedName>
    <definedName name="et_HEAT_TARIFF_E1_TN">'ТС. Т-передача ТЭ'!$8:$9</definedName>
    <definedName name="et_HEAT_TARIFF_E2_CS">'ТС. Т-передача ТН'!$4:$13</definedName>
    <definedName name="et_HEAT_TARIFF_E2_GC">'ТС. Т-передача ТН'!$7:$10</definedName>
    <definedName name="et_HEAT_TARIFF_E2_IST_TE">'ТС. Т-передача ТН'!$5:$12</definedName>
    <definedName name="et_HEAT_TARIFF_E2_NTAR">'ТС. Т-передача ТН'!$2:$15</definedName>
    <definedName name="et_HEAT_TARIFF_E2_PERIOD_COLOR">'ТС. Т-передача ТН'!$AD$8:$AK$9</definedName>
    <definedName name="et_HEAT_TARIFF_E2_PERIOD_NOT_COLOR">'ТС. Т-передача ТН'!$AD$17:$AK$18</definedName>
    <definedName name="et_HEAT_TARIFF_E2_SCHEME">'ТС. Т-передача ТН'!$6:$11</definedName>
    <definedName name="et_HEAT_TARIFF_E2_TER">'ТС. Т-передача ТН'!$3:$14</definedName>
    <definedName name="et_HEAT_TARIFF_E2_TN">'ТС. Т-передача ТН'!$8:$9</definedName>
    <definedName name="et_HEAT_TARIFF_F_CS">'ТС. Резерв мощности'!$4:$13</definedName>
    <definedName name="et_HEAT_TARIFF_F_GC">'ТС. Резерв мощности'!$7:$10</definedName>
    <definedName name="et_HEAT_TARIFF_F_IST_TE">'ТС. Резерв мощности'!$5:$12</definedName>
    <definedName name="et_HEAT_TARIFF_F_NTAR">'ТС. Резерв мощности'!$2:$15</definedName>
    <definedName name="et_HEAT_TARIFF_F_PERIOD_COLOR">'ТС. Резерв мощности'!$AD$8:$AK$9</definedName>
    <definedName name="et_HEAT_TARIFF_F_PERIOD_NOT_COLOR">'ТС. Резерв мощности'!$AD$17:$AK$18</definedName>
    <definedName name="et_HEAT_TARIFF_F_SCHEME">'ТС. Резерв мощности'!$6:$11</definedName>
    <definedName name="et_HEAT_TARIFF_F_TER">'ТС. Резерв мощности'!$3:$14</definedName>
    <definedName name="et_HEAT_TARIFF_F_TN">'ТС. Резерв мощности'!$8:$9</definedName>
    <definedName name="et_HEAT_TARIFF_G_CS">'ТС. Т-подкл'!$4:$15</definedName>
    <definedName name="et_HEAT_TARIFF_G_DIAMETERS">'ТС. Т-подкл'!$8:$8</definedName>
    <definedName name="et_HEAT_TARIFF_G_GC">'ТС. Т-подкл'!$7:$12</definedName>
    <definedName name="et_HEAT_TARIFF_G_IST_TE">'ТС. Т-подкл'!$5:$14</definedName>
    <definedName name="et_HEAT_TARIFF_G_LOAD">'ТС. Т-подкл'!$8:$10</definedName>
    <definedName name="et_HEAT_TARIFF_G_NETS">'ТС. Т-подкл'!$8:$9</definedName>
    <definedName name="et_HEAT_TARIFF_G_NTAR">'ТС. Т-подкл'!$2:$17</definedName>
    <definedName name="et_HEAT_TARIFF_G_PERIOD_COLOR">'ТС. Т-подкл'!$AN$8:$AS$8</definedName>
    <definedName name="et_HEAT_TARIFF_G_PERIOD_NOT_COLOR">'ТС. Т-подкл'!$AN$19:$AS$19</definedName>
    <definedName name="et_HEAT_TARIFF_G_SCHEME">'ТС. Т-подкл'!$6:$13</definedName>
    <definedName name="et_HEAT_TARIFF_G_TER">'ТС. Т-подкл'!$3:$16</definedName>
    <definedName name="et_HEAT_TARIFF_G_TN">'ТС. Т-подкл'!$8:$11</definedName>
    <definedName name="et_HEAT_TARIFF_H_CS">'ТС. Т-подкл(инд)'!$4:$12</definedName>
    <definedName name="et_HEAT_TARIFF_H_DIAMETERS">'ТС. Т-подкл(инд)'!$8:$8</definedName>
    <definedName name="et_HEAT_TARIFF_H_GC">'ТС. Т-подкл(инд)'!$7:$9</definedName>
    <definedName name="et_HEAT_TARIFF_H_IST_TE">'ТС. Т-подкл(инд)'!$5:$11</definedName>
    <definedName name="et_HEAT_TARIFF_H_LOAD">'ТС. Т-подкл(инд)'!$8:$8</definedName>
    <definedName name="et_HEAT_TARIFF_H_NETS">'ТС. Т-подкл(инд)'!$8:$8</definedName>
    <definedName name="et_HEAT_TARIFF_H_NTAR">'ТС. Т-подкл(инд)'!$2:$14</definedName>
    <definedName name="et_HEAT_TARIFF_H_PERIOD_COLOR">'ТС. Т-подкл(инд)'!$AD$8:$AI$8</definedName>
    <definedName name="et_HEAT_TARIFF_H_PERIOD_NOT_COLOR">'ТС. Т-подкл(инд)'!$AD$16:$AI$16</definedName>
    <definedName name="et_HEAT_TARIFF_H_SCHEME">'ТС. Т-подкл(инд)'!$6:$10</definedName>
    <definedName name="et_HEAT_TARIFF_H_TER">'ТС. Т-подкл(инд)'!$3:$13</definedName>
    <definedName name="et_HEAT_TARIFF_H_TN">'ТС. Т-подкл(инд)'!$8:$8</definedName>
    <definedName name="et_HEAT_TARIFF_I_1_CS">'ТС. Т-ТЭ | индикат'!$4:$13</definedName>
    <definedName name="et_HEAT_TARIFF_I_1_GC">'ТС. Т-ТЭ | индикат'!$7:$10</definedName>
    <definedName name="et_HEAT_TARIFF_I_1_IST_TE">'ТС. Т-ТЭ | индикат'!$5:$12</definedName>
    <definedName name="et_HEAT_TARIFF_I_1_NTAR">'ТС. Т-ТЭ | индикат'!$2:$15</definedName>
    <definedName name="et_HEAT_TARIFF_I_1_PERIOD_COLOR">'ТС. Т-ТЭ | индикат'!$AD$8:$AK$9</definedName>
    <definedName name="et_HEAT_TARIFF_I_1_PERIOD_NOT_COLOR">'ТС. Т-ТЭ | индикат'!$AD$17:$AK$18</definedName>
    <definedName name="et_HEAT_TARIFF_I_1_SCHEME">'ТС. Т-ТЭ | индикат'!$6:$11</definedName>
    <definedName name="et_HEAT_TARIFF_I_1_TER">'ТС. Т-ТЭ | индикат'!$3:$14</definedName>
    <definedName name="et_HEAT_TARIFF_I_1_TN">'ТС. Т-ТЭ | индикат'!$8:$9</definedName>
    <definedName name="et_HEAT_TARIFF_I_CS">'ТС. Т-ТЭ | предел'!$4:$13</definedName>
    <definedName name="et_HEAT_TARIFF_I_GC">'ТС. Т-ТЭ | предел'!$7:$10</definedName>
    <definedName name="et_HEAT_TARIFF_I_IST_TE">'ТС. Т-ТЭ | предел'!$5:$12</definedName>
    <definedName name="et_HEAT_TARIFF_I_NTAR">'ТС. Т-ТЭ | предел'!$2:$15</definedName>
    <definedName name="et_HEAT_TARIFF_I_PERIOD_COLOR">'ТС. Т-ТЭ | предел'!$AD$8:$AK$9</definedName>
    <definedName name="et_HEAT_TARIFF_I_PERIOD_NOT_COLOR">'ТС. Т-ТЭ | предел'!$AD$17:$AK$18</definedName>
    <definedName name="et_HEAT_TARIFF_I_SCHEME">'ТС. Т-ТЭ | предел'!$6:$11</definedName>
    <definedName name="et_HEAT_TARIFF_I_TER">'ТС. Т-ТЭ | предел'!$3:$14</definedName>
    <definedName name="et_HEAT_TARIFF_I_TN">'ТС. Т-ТЭ | предел'!$8:$9</definedName>
    <definedName name="et_hor_B_FHD_1">'Показатели ФХД'!$2:$7</definedName>
    <definedName name="et_hor_B_FHD_2">'Показатели ФХД'!$9:$9</definedName>
    <definedName name="et_hor_B_FHD_3">'Показатели ФХД'!$11:$11</definedName>
    <definedName name="et_hor_B_FHD_4">'Показатели ФХД'!$13:$13</definedName>
    <definedName name="et_hor_B_FHD_5">'Показатели ФХД'!$15:$15</definedName>
    <definedName name="et_hor_B_FHD_6">'Показатели ФХД'!$17:$17</definedName>
    <definedName name="et_hor_B_FHD_TKO_2">'ТКО. Показатели ФХД'!$2:$2</definedName>
    <definedName name="et_hor_B_FHD_TKO_TRANS_2">'ТКО. Транс. Показатели ФХД'!$2:$2</definedName>
    <definedName name="et_hor_B_OTEP_2">'Показатели ОТЭП'!$2:$2</definedName>
    <definedName name="et_hor_Q_LIMIT_1">Ограничения!$3:$4</definedName>
    <definedName name="et_hor_Q_LIMIT_2">Ограничения!$6:$7</definedName>
    <definedName name="et_hor_Q_LIMIT_3">Ограничения!$9:$11</definedName>
    <definedName name="et_hor_Q_LIMIT_4">Ограничения!$13:$14</definedName>
    <definedName name="et_hor_Q_TP_1">ТП!$2:$2</definedName>
    <definedName name="et_HOTVSNA_TARIFF_A_HOTVSNA_CS">'ГВС. Т-гор.вода'!$4:$11</definedName>
    <definedName name="et_HOTVSNA_TARIFF_A_HOTVSNA_DATA_DIFF">'ГВС. Т-гор.вода'!$7:$8</definedName>
    <definedName name="et_HOTVSNA_TARIFF_A_HOTVSNA_FLAG_DIFF">'ГВС. Т-гор.вода'!$5:$10</definedName>
    <definedName name="et_HOTVSNA_TARIFF_A_HOTVSNA_GC">'ГВС. Т-гор.вода'!$6:$9</definedName>
    <definedName name="et_HOTVSNA_TARIFF_A_HOTVSNA_NTAR">'ГВС. Т-гор.вода'!$2:$13</definedName>
    <definedName name="et_HOTVSNA_TARIFF_A_HOTVSNA_PERIOD_COLOR">'ГВС. Т-гор.вода'!$AG$7:$AQ$8</definedName>
    <definedName name="et_HOTVSNA_TARIFF_A_HOTVSNA_PERIOD_NOT_COLOR">'ГВС. Т-гор.вода'!$AG$15:$AQ$16</definedName>
    <definedName name="et_HOTVSNA_TARIFF_A_HOTVSNA_TER">'ГВС. Т-гор.вода'!$3:$12</definedName>
    <definedName name="et_HOTVSNA_TARIFF_A_HOTVSNA_TN">'ГВС. Т-гор.вода'!$7:$8</definedName>
    <definedName name="et_HOTVSNA_TARIFF_B_HOTVSNA_CS">'ГВС. Т-транс'!$4:$11</definedName>
    <definedName name="et_HOTVSNA_TARIFF_B_HOTVSNA_DATA_DIFF">'ГВС. Т-транс'!$7:$8</definedName>
    <definedName name="et_HOTVSNA_TARIFF_B_HOTVSNA_FLAG_DIFF">'ГВС. Т-транс'!$5:$10</definedName>
    <definedName name="et_HOTVSNA_TARIFF_B_HOTVSNA_GC">'ГВС. Т-транс'!$6:$9</definedName>
    <definedName name="et_HOTVSNA_TARIFF_B_HOTVSNA_NTAR">'ГВС. Т-транс'!$2:$13</definedName>
    <definedName name="et_HOTVSNA_TARIFF_B_HOTVSNA_PERIOD_COLOR">'ГВС. Т-транс'!$AG$7:$AQ$8</definedName>
    <definedName name="et_HOTVSNA_TARIFF_B_HOTVSNA_PERIOD_NOT_COLOR">'ГВС. Т-транс'!$AG$15:$AQ$16</definedName>
    <definedName name="et_HOTVSNA_TARIFF_B_HOTVSNA_TER">'ГВС. Т-транс'!$3:$12</definedName>
    <definedName name="et_HOTVSNA_TARIFF_B_HOTVSNA_TN">'ГВС. Т-транс'!$7:$8</definedName>
    <definedName name="et_HOTVSNA_TARIFF_C_HOTVSNA_CS">'ГВС. Т-подкл'!$4:$16</definedName>
    <definedName name="et_HOTVSNA_TARIFF_C_HOTVSNA_DATA_DIFF">'ГВС. Т-подкл'!$8:$12</definedName>
    <definedName name="et_HOTVSNA_TARIFF_C_HOTVSNA_DIAMETERS">'ГВС. Т-подкл'!$8:$10</definedName>
    <definedName name="et_HOTVSNA_TARIFF_C_HOTVSNA_FLAG_DIFF">'ГВС. Т-подкл'!$6:$14</definedName>
    <definedName name="et_HOTVSNA_TARIFF_C_HOTVSNA_GC">'ГВС. Т-подкл'!$7:$13</definedName>
    <definedName name="et_HOTVSNA_TARIFF_C_HOTVSNA_LEN">'ГВС. Т-подкл'!$8:$9</definedName>
    <definedName name="et_HOTVSNA_TARIFF_C_HOTVSNA_LOAD">'ГВС. Т-подкл'!$8:$11</definedName>
    <definedName name="et_HOTVSNA_TARIFF_C_HOTVSNA_NETS">'ГВС. Т-подкл'!$8:$8</definedName>
    <definedName name="et_HOTVSNA_TARIFF_C_HOTVSNA_NTAR">'ГВС. Т-подкл'!$2:$18</definedName>
    <definedName name="et_HOTVSNA_TARIFF_C_HOTVSNA_PERIOD_COLOR">'ГВС. Т-подкл'!$AT$8:$BA$8</definedName>
    <definedName name="et_HOTVSNA_TARIFF_C_HOTVSNA_PERIOD_NOT_COLOR">'ГВС. Т-подкл'!$AT$20:$BA$20</definedName>
    <definedName name="et_HOTVSNA_TARIFF_C_HOTVSNA_TER">'ГВС. Т-подкл'!$3:$17</definedName>
    <definedName name="et_IP_DETAILED">et_union_hor!$81:$87</definedName>
    <definedName name="et_IP_DETAILED_EVENT">et_union_hor!$101:$105</definedName>
    <definedName name="et_IP_DETAILED_IST_FIN">et_union_hor!$97:$97</definedName>
    <definedName name="et_IP_DETAILED_OBJECT">et_union_hor!$91:$93</definedName>
    <definedName name="et_IP_DETAILED_YEAR">et_union_hor!$82:$87</definedName>
    <definedName name="et_IP_MAIN">et_union_hor!$72:$73</definedName>
    <definedName name="et_IP_MAIN_PROPERTY">et_union_hor!$77:$77</definedName>
    <definedName name="et_IP_QRE">et_union_hor!$109:$111</definedName>
    <definedName name="et_IP_QRE_CLAIM">et_union_hor!$110:$110</definedName>
    <definedName name="et_List02">et_union_hor!$154:$158</definedName>
    <definedName name="et_List02_1_wd">et_union_hor!$194:$197</definedName>
    <definedName name="et_List02_2_wd">et_union_hor!$194:$196</definedName>
    <definedName name="et_List02_3_wd">et_union_hor!$194:$195</definedName>
    <definedName name="et_List02_4_wd">et_union_hor!$194:$194</definedName>
    <definedName name="et_List02_changeColor_1">et_union_hor!$J$154:$J$157</definedName>
    <definedName name="et_List02_changeColor_1_wd">et_union_hor!$J$194:$J$197</definedName>
    <definedName name="et_List02_changeColor_2">et_union_hor!$N$154:$N$156</definedName>
    <definedName name="et_List02_changeColor_2_wd">et_union_hor!$N$194:$N$196</definedName>
    <definedName name="et_List02_changeColor_3">et_union_hor!$R$154:$R$155</definedName>
    <definedName name="et_List02_changeColor_3_wd">et_union_hor!$R$194:$R$195</definedName>
    <definedName name="et_List02_changeColor_4">et_union_hor!$V$154</definedName>
    <definedName name="et_List02_changeColor_4_wd">et_union_hor!$V$194</definedName>
    <definedName name="et_List02_wd">et_union_hor!$194:$198</definedName>
    <definedName name="et_OFFER_p1">Предложение!$8:$8</definedName>
    <definedName name="et_OFFER_p1_0">Предложение!$2:$3</definedName>
    <definedName name="et_OFFER_p2">Предложение!$10:$10</definedName>
    <definedName name="et_OFFER_p2_0">Предложение!$5:$6</definedName>
    <definedName name="et_ORG_INFO_1">et_union_hor!$39:$39</definedName>
    <definedName name="et_ORG_INFO_2">et_union_hor!$43:$43</definedName>
    <definedName name="et_ORG_INFO_3">et_union_hor!$47:$51</definedName>
    <definedName name="et_ORG_TERRITORY_MO">et_union_hor!$56:$56</definedName>
    <definedName name="et_ORG_TERRITORY_MO_FLAG_INTERNET">et_union_hor!$J$56</definedName>
    <definedName name="et_ORG_TERRITORY_MO_LINK">et_union_hor!$K$56</definedName>
    <definedName name="et_ORG_VD">et_union_hor!$60:$60</definedName>
    <definedName name="et_ORG_VD_COLDVSNA">et_union_hor!$X$60:$Z$60</definedName>
    <definedName name="et_ORG_VD_FIRST_SYSTEM">et_union_hor!$E$60</definedName>
    <definedName name="et_ORG_VD_HEAT">et_union_hor!$H$60:$R$60</definedName>
    <definedName name="et_ORG_VD_HOTVSNA">et_union_hor!$AB$60:$AC$60</definedName>
    <definedName name="et_ORG_VD_TKO_ACTIVITY">'Виды объектов'!$2:$3</definedName>
    <definedName name="et_ORG_VD_TKO_TYPE_OBJECT">'Виды объектов'!$2:$2</definedName>
    <definedName name="et_ORG_VD_VOTV">et_union_hor!$T$60:$V$60</definedName>
    <definedName name="et_P_PROCEDURE_TC_1">'Порядок ТП'!$2:$2</definedName>
    <definedName name="et_P_PROCEDURE_TC_2">'Порядок ТП'!$4:$4</definedName>
    <definedName name="et_P_PROCEDURE_TC_3">'Порядок ТП'!$6:$6</definedName>
    <definedName name="et_P_PROCEDURE_TC_4">'Порядок ТП'!$8:$8</definedName>
    <definedName name="et_P_PROCEDURE_TC_5">'Порядок ТП'!$10:$10</definedName>
    <definedName name="et_P_T_TERMS">et_union_hor!$68:$68</definedName>
    <definedName name="et_Q_TP_DIFFERENTIATION">ТП!$G:$G</definedName>
    <definedName name="et_QRE">et_union_hor!$109:$111</definedName>
    <definedName name="et_QRE_CLAIM">et_union_hor!$110:$110</definedName>
    <definedName name="et_R_B_Purch">'Сведения о закупках'!$2:$2</definedName>
    <definedName name="et_ROIV_CASE_case">'Дела об установлении тарифов'!$2:$2</definedName>
    <definedName name="et_ROIV_CASE_PUC_case">'Дела об утверждении ПУЦ'!$2:$2</definedName>
    <definedName name="et_ROIV_INFO_phone">'Орган регулирования'!$2:$2</definedName>
    <definedName name="et_ROIV_ORG_org">'Перечень организаций'!$2:$2</definedName>
    <definedName name="et_ROIV_OTV_DL">'Привлечение к ответственности'!$5:$5</definedName>
    <definedName name="et_ROIV_OTV_org">'Привлечение к ответственности'!$2:$3</definedName>
    <definedName name="et_TERMS">et_union_hor!$68:$68</definedName>
    <definedName name="et_TERRITORY_AREA">et_union_hor!$13:$15</definedName>
    <definedName name="et_TERRITORY_MO">et_union_hor!$19:$19</definedName>
    <definedName name="et_ver_B_FHD_DIFFERENTIATION">'Показатели ФХД'!$H:$H</definedName>
    <definedName name="et_ver_B_FHD_TKO_DIFFERENTIATION">'ТКО. Показатели ФХД'!$H:$H</definedName>
    <definedName name="et_ver_B_FHD_TKO_TRANS_DIFFERENTIATION">'ТКО. Транс. Показатели ФХД'!$H:$H</definedName>
    <definedName name="et_ver_B_KNE_DIFFERENTIATION">'Показатели КНЭ'!$G:$H</definedName>
    <definedName name="et_ver_B_OTEP_DIFFERENTIATION">'Показатели ОТЭП'!$L:$L</definedName>
    <definedName name="et_ver_COLDVSNA_TARIFF_A_COLDVSNA">'ХВС. Т-пит'!$V:$AB</definedName>
    <definedName name="et_ver_COLDVSNA_TARIFF_B_COLDVSNA">'ХВС. Т-тех'!$V:$AB</definedName>
    <definedName name="et_ver_COLDVSNA_TARIFF_C_COLDVSNA">'ХВС. Т-транс'!$V:$AB</definedName>
    <definedName name="et_ver_COLDVSNA_TARIFF_D_COLDVSNA">'ХВС. Т-подвоз'!$V:$AB</definedName>
    <definedName name="et_ver_COLDVSNA_TARIFF_E_COLDVSNA">'ХВС. Т-подкл'!$V:$AC</definedName>
    <definedName name="et_ver_HEAT_TARIFF_A">'ТС. Т-ТЭ | &gt;=25МВт'!$V:$AC</definedName>
    <definedName name="et_ver_HEAT_TARIFF_B">'ТС. Т-ТЭ | ТСО'!$V:$AC</definedName>
    <definedName name="et_ver_HEAT_TARIFF_C">'ТС. Т-ТН'!$V:$AC</definedName>
    <definedName name="et_ver_HEAT_TARIFF_D">'ТС. Т-гор.вода'!$X:$AF</definedName>
    <definedName name="et_ver_HEAT_TARIFF_E1">'ТС. Т-передача ТЭ'!$V:$AC</definedName>
    <definedName name="et_ver_HEAT_TARIFF_E2">'ТС. Т-передача ТН'!$V:$AC</definedName>
    <definedName name="et_ver_HEAT_TARIFF_F">'ТС. Резерв мощности'!$V:$AC</definedName>
    <definedName name="et_ver_HEAT_TARIFF_G">'ТС. Т-подкл'!$V:$AA</definedName>
    <definedName name="et_ver_HEAT_TARIFF_H">'ТС. Т-подкл(инд)'!$V:$AA</definedName>
    <definedName name="et_ver_HEAT_TARIFF_I">'ТС. Т-ТЭ | предел'!$V:$AC</definedName>
    <definedName name="et_ver_HEAT_TARIFF_I_1">'ТС. Т-ТЭ | индикат'!$V:$AC</definedName>
    <definedName name="et_ver_HOTVSNA_TARIFF_A_HOTVSNA">'ГВС. Т-гор.вода'!$V:$AF</definedName>
    <definedName name="et_ver_HOTVSNA_TARIFF_B_HOTVSNA">'ГВС. Т-транс'!$V:$AF</definedName>
    <definedName name="et_ver_HOTVSNA_TARIFF_C_HOTVSNA">'ГВС. Т-подкл'!$V:$AC</definedName>
    <definedName name="et_ver_IP_FIN_PLAN">'ИП. Финансовый план'!$H:$J</definedName>
    <definedName name="et_ver_IP_FIN_PLAN_YEAR">'ИП. Финансовый план'!$I:$I</definedName>
    <definedName name="et_ver_Q_LIMIT_DIFFERENTIATION">Ограничения!$G:$H</definedName>
    <definedName name="et_ver_Q_PH_DIFFERENTIATION">'Потребительские характеристики'!$G:$H</definedName>
    <definedName name="et_ver_Q_TP_DIFFERENTIATION">ТП!$G:$G</definedName>
    <definedName name="et_ver_VOTV_TARIFF_A_VOTV">'ВО. Т-во'!$V:$AB</definedName>
    <definedName name="et_ver_VOTV_TARIFF_B_VOTV">'ВО. Т-транс'!$V:$AB</definedName>
    <definedName name="et_ver_VOTV_TARIFF_C_VOTV">'ВО. Т-подкл'!$V:$AC</definedName>
    <definedName name="et_VOTV_TARIFF_A_VOTV_CS">'ВО. Т-во'!$4:$11</definedName>
    <definedName name="et_VOTV_TARIFF_A_VOTV_DATA_DIFF">'ВО. Т-во'!$7:$8</definedName>
    <definedName name="et_VOTV_TARIFF_A_VOTV_FLAG_DIFF">'ВО. Т-во'!$5:$10</definedName>
    <definedName name="et_VOTV_TARIFF_A_VOTV_GC">'ВО. Т-во'!$6:$9</definedName>
    <definedName name="et_VOTV_TARIFF_A_VOTV_NTAR">'ВО. Т-во'!$2:$13</definedName>
    <definedName name="et_VOTV_TARIFF_A_VOTV_PERIOD_COLOR">'ВО. Т-во'!$AC$7:$AI$8</definedName>
    <definedName name="et_VOTV_TARIFF_A_VOTV_PERIOD_NOT_COLOR">'ВО. Т-во'!$AC$15:$AI$16</definedName>
    <definedName name="et_VOTV_TARIFF_A_VOTV_TER">'ВО. Т-во'!$3:$12</definedName>
    <definedName name="et_VOTV_TARIFF_A_VOTV_TN">'ВО. Т-во'!$7:$8</definedName>
    <definedName name="et_VOTV_TARIFF_B_VOTV_CS">'ВО. Т-транс'!$4:$11</definedName>
    <definedName name="et_VOTV_TARIFF_B_VOTV_DATA_DIFF">'ВО. Т-транс'!$7:$8</definedName>
    <definedName name="et_VOTV_TARIFF_B_VOTV_FLAG_DIFF">'ВО. Т-транс'!$5:$10</definedName>
    <definedName name="et_VOTV_TARIFF_B_VOTV_GC">'ВО. Т-транс'!$6:$9</definedName>
    <definedName name="et_VOTV_TARIFF_B_VOTV_NTAR">'ВО. Т-транс'!$2:$13</definedName>
    <definedName name="et_VOTV_TARIFF_B_VOTV_PERIOD_COLOR">'ВО. Т-транс'!$AC$7:$AI$8</definedName>
    <definedName name="et_VOTV_TARIFF_B_VOTV_PERIOD_NOT_COLOR">'ВО. Т-транс'!$AC$15:$AI$16</definedName>
    <definedName name="et_VOTV_TARIFF_B_VOTV_TER">'ВО. Т-транс'!$3:$12</definedName>
    <definedName name="et_VOTV_TARIFF_B_VOTV_TN">'ВО. Т-транс'!$7:$8</definedName>
    <definedName name="et_VOTV_TARIFF_C_VOTV_CS">'ВО. Т-подкл'!$4:$16</definedName>
    <definedName name="et_VOTV_TARIFF_C_VOTV_DATA_DIFF">'ВО. Т-подкл'!$8:$12</definedName>
    <definedName name="et_VOTV_TARIFF_C_VOTV_DIAMETERS">'ВО. Т-подкл'!$8:$10</definedName>
    <definedName name="et_VOTV_TARIFF_C_VOTV_FLAG_DIFF">'ВО. Т-подкл'!$6:$14</definedName>
    <definedName name="et_VOTV_TARIFF_C_VOTV_GC">'ВО. Т-подкл'!$7:$13</definedName>
    <definedName name="et_VOTV_TARIFF_C_VOTV_LEN">'ВО. Т-подкл'!$8:$9</definedName>
    <definedName name="et_VOTV_TARIFF_C_VOTV_LOAD">'ВО. Т-подкл'!$8:$11</definedName>
    <definedName name="et_VOTV_TARIFF_C_VOTV_NETS">'ВО. Т-подкл'!$8:$8</definedName>
    <definedName name="et_VOTV_TARIFF_C_VOTV_NTAR">'ВО. Т-подкл'!$2:$18</definedName>
    <definedName name="et_VOTV_TARIFF_C_VOTV_PERIOD_COLOR">'ВО. Т-подкл'!$AT$8:$BA$8</definedName>
    <definedName name="et_VOTV_TARIFF_C_VOTV_PERIOD_NOT_COLOR">'ВО. Т-подкл'!$AT$20:$BA$20</definedName>
    <definedName name="et_VOTV_TARIFF_C_VOTV_TER">'ВО. Т-подкл'!$3:$17</definedName>
    <definedName name="f_quart">Титульный!$F$15</definedName>
    <definedName name="f_year">Титульный!$F$14</definedName>
    <definedName name="FHD_NAME_FORM">DATA_FORMS!$C$6</definedName>
    <definedName name="FHD_NOTE_P_1">DATA_NPA!$N$18</definedName>
    <definedName name="FHD_NOTE_P_10">DATA_NPA!$N$27</definedName>
    <definedName name="FHD_NOTE_P_11">DATA_NPA!$N$28</definedName>
    <definedName name="FHD_NOTE_P_12">DATA_NPA!$N$29</definedName>
    <definedName name="FHD_NOTE_P_13">DATA_NPA!$N$30</definedName>
    <definedName name="FHD_NOTE_P_14">DATA_NPA!$N$31</definedName>
    <definedName name="FHD_NOTE_P_15">DATA_NPA!$N$32</definedName>
    <definedName name="FHD_NOTE_P_16">DATA_NPA!$N$33</definedName>
    <definedName name="FHD_NOTE_P_17">DATA_NPA!$N$34</definedName>
    <definedName name="FHD_NOTE_P_18">DATA_NPA!$N$35</definedName>
    <definedName name="FHD_NOTE_P_19">DATA_NPA!$N$36</definedName>
    <definedName name="FHD_NOTE_P_2">DATA_NPA!$N$19</definedName>
    <definedName name="FHD_NOTE_P_20">DATA_NPA!$N$37</definedName>
    <definedName name="FHD_NOTE_P_21">DATA_NPA!$N$38</definedName>
    <definedName name="FHD_NOTE_P_22">DATA_NPA!$N$39</definedName>
    <definedName name="FHD_NOTE_P_23">DATA_NPA!$N$40</definedName>
    <definedName name="FHD_NOTE_P_24">DATA_NPA!$N$41</definedName>
    <definedName name="FHD_NOTE_P_25">DATA_NPA!$N$42</definedName>
    <definedName name="FHD_NOTE_P_26">DATA_NPA!$N$43</definedName>
    <definedName name="FHD_NOTE_P_27">DATA_NPA!$N$44</definedName>
    <definedName name="FHD_NOTE_P_28">DATA_NPA!$N$45</definedName>
    <definedName name="FHD_NOTE_P_29">DATA_NPA!$N$46</definedName>
    <definedName name="FHD_NOTE_P_3">DATA_NPA!$N$20</definedName>
    <definedName name="FHD_NOTE_P_30">DATA_NPA!$N$47</definedName>
    <definedName name="FHD_NOTE_P_31">DATA_NPA!$N$48</definedName>
    <definedName name="FHD_NOTE_P_32">DATA_NPA!$N$49</definedName>
    <definedName name="FHD_NOTE_P_33">DATA_NPA!$N$50</definedName>
    <definedName name="FHD_NOTE_P_34">DATA_NPA!$N$51</definedName>
    <definedName name="FHD_NOTE_P_35">DATA_NPA!$N$52</definedName>
    <definedName name="FHD_NOTE_P_36">DATA_NPA!$N$53</definedName>
    <definedName name="FHD_NOTE_P_37">DATA_NPA!$N$54</definedName>
    <definedName name="FHD_NOTE_P_38">DATA_NPA!$N$55</definedName>
    <definedName name="FHD_NOTE_P_39">DATA_NPA!$N$56</definedName>
    <definedName name="FHD_NOTE_P_4">DATA_NPA!$N$21</definedName>
    <definedName name="FHD_NOTE_P_40">DATA_NPA!$N$57</definedName>
    <definedName name="FHD_NOTE_P_41">DATA_NPA!$N$58</definedName>
    <definedName name="FHD_NOTE_P_42">DATA_NPA!$N$59</definedName>
    <definedName name="FHD_NOTE_P_43">DATA_NPA!$N$60</definedName>
    <definedName name="FHD_NOTE_P_44">DATA_NPA!$N$61</definedName>
    <definedName name="FHD_NOTE_P_45">DATA_NPA!$N$62</definedName>
    <definedName name="FHD_NOTE_P_46">DATA_NPA!$N$63</definedName>
    <definedName name="FHD_NOTE_P_47">DATA_NPA!$N$64</definedName>
    <definedName name="FHD_NOTE_P_48">DATA_NPA!$N$65</definedName>
    <definedName name="FHD_NOTE_P_49">DATA_NPA!$N$66</definedName>
    <definedName name="FHD_NOTE_P_5">DATA_NPA!$N$22</definedName>
    <definedName name="FHD_NOTE_P_50">DATA_NPA!$N$67</definedName>
    <definedName name="FHD_NOTE_P_51">DATA_NPA!$N$68</definedName>
    <definedName name="FHD_NOTE_P_52">DATA_NPA!$N$69</definedName>
    <definedName name="FHD_NOTE_P_53">DATA_NPA!$N$70</definedName>
    <definedName name="FHD_NOTE_P_54">DATA_NPA!$N$71</definedName>
    <definedName name="FHD_NOTE_P_55">DATA_NPA!$N$72</definedName>
    <definedName name="FHD_NOTE_P_56">DATA_NPA!$N$73</definedName>
    <definedName name="FHD_NOTE_P_57">DATA_NPA!$N$74</definedName>
    <definedName name="FHD_NOTE_P_58">DATA_NPA!$N$75</definedName>
    <definedName name="FHD_NOTE_P_59">DATA_NPA!$N$76</definedName>
    <definedName name="FHD_NOTE_P_6">DATA_NPA!$N$23</definedName>
    <definedName name="FHD_NOTE_P_60">DATA_NPA!$N$77</definedName>
    <definedName name="FHD_NOTE_P_61">DATA_NPA!$N$78</definedName>
    <definedName name="FHD_NOTE_P_62">DATA_NPA!$N$79</definedName>
    <definedName name="FHD_NOTE_P_63">DATA_NPA!$N$80</definedName>
    <definedName name="FHD_NOTE_P_64">DATA_NPA!$N$81</definedName>
    <definedName name="FHD_NOTE_P_65">DATA_NPA!$N$82</definedName>
    <definedName name="FHD_NOTE_P_66">DATA_NPA!$N$83</definedName>
    <definedName name="FHD_NOTE_P_67">DATA_NPA!$N$84</definedName>
    <definedName name="FHD_NOTE_P_68">DATA_NPA!$N$85</definedName>
    <definedName name="FHD_NOTE_P_69">DATA_NPA!$N$86</definedName>
    <definedName name="FHD_NOTE_P_7">DATA_NPA!$N$24</definedName>
    <definedName name="FHD_NOTE_P_70">DATA_NPA!$N$87</definedName>
    <definedName name="FHD_NOTE_P_71">DATA_NPA!$N$88</definedName>
    <definedName name="FHD_NOTE_P_72">DATA_NPA!$N$89</definedName>
    <definedName name="FHD_NOTE_P_73">DATA_NPA!$N$90</definedName>
    <definedName name="FHD_NOTE_P_74">DATA_NPA!$N$91</definedName>
    <definedName name="FHD_NOTE_P_75">DATA_NPA!$N$92</definedName>
    <definedName name="FHD_NOTE_P_76">DATA_NPA!$N$93</definedName>
    <definedName name="FHD_NOTE_P_77">DATA_NPA!$N$94</definedName>
    <definedName name="FHD_NOTE_P_78">DATA_NPA!$N$95</definedName>
    <definedName name="FHD_NOTE_P_79">DATA_NPA!$N$96</definedName>
    <definedName name="FHD_NOTE_P_8">DATA_NPA!$N$25</definedName>
    <definedName name="FHD_NOTE_P_80">DATA_NPA!$N$97</definedName>
    <definedName name="FHD_NOTE_P_81">DATA_NPA!$N$98</definedName>
    <definedName name="FHD_NOTE_P_82">DATA_NPA!$N$99</definedName>
    <definedName name="FHD_NOTE_P_83">DATA_NPA!$N$100</definedName>
    <definedName name="FHD_NOTE_P_84">DATA_NPA!$N$101</definedName>
    <definedName name="FHD_NOTE_P_9">DATA_NPA!$N$26</definedName>
    <definedName name="FHD_NUM_P_1">DATA_NPA!$L$18</definedName>
    <definedName name="FHD_NUM_P_10">DATA_NPA!$L$27</definedName>
    <definedName name="FHD_NUM_P_11">DATA_NPA!$L$28</definedName>
    <definedName name="FHD_NUM_P_12">DATA_NPA!$L$29</definedName>
    <definedName name="FHD_NUM_P_13">DATA_NPA!$L$30</definedName>
    <definedName name="FHD_NUM_P_14">DATA_NPA!$L$31</definedName>
    <definedName name="FHD_NUM_P_15">DATA_NPA!$L$32</definedName>
    <definedName name="FHD_NUM_P_16">DATA_NPA!$L$33</definedName>
    <definedName name="FHD_NUM_P_17">DATA_NPA!$L$34</definedName>
    <definedName name="FHD_NUM_P_18">DATA_NPA!$L$35</definedName>
    <definedName name="FHD_NUM_P_19">DATA_NPA!$L$36</definedName>
    <definedName name="FHD_NUM_P_2">DATA_NPA!$L$19</definedName>
    <definedName name="FHD_NUM_P_20">DATA_NPA!$L$37</definedName>
    <definedName name="FHD_NUM_P_21">DATA_NPA!$L$38</definedName>
    <definedName name="FHD_NUM_P_22">DATA_NPA!$L$39</definedName>
    <definedName name="FHD_NUM_P_23">DATA_NPA!$L$40</definedName>
    <definedName name="FHD_NUM_P_24">DATA_NPA!$L$41</definedName>
    <definedName name="FHD_NUM_P_25">DATA_NPA!$L$42</definedName>
    <definedName name="FHD_NUM_P_26">DATA_NPA!$L$43</definedName>
    <definedName name="FHD_NUM_P_27">DATA_NPA!$L$44</definedName>
    <definedName name="FHD_NUM_P_28">DATA_NPA!$L$45</definedName>
    <definedName name="FHD_NUM_P_29">DATA_NPA!$L$46</definedName>
    <definedName name="FHD_NUM_P_3">DATA_NPA!$L$20</definedName>
    <definedName name="FHD_NUM_P_30">DATA_NPA!$L$47</definedName>
    <definedName name="FHD_NUM_P_31">DATA_NPA!$L$48</definedName>
    <definedName name="FHD_NUM_P_32">DATA_NPA!$L$49</definedName>
    <definedName name="FHD_NUM_P_33">DATA_NPA!$L$50</definedName>
    <definedName name="FHD_NUM_P_34">DATA_NPA!$L$51</definedName>
    <definedName name="FHD_NUM_P_35">DATA_NPA!$L$52</definedName>
    <definedName name="FHD_NUM_P_36">DATA_NPA!$L$53</definedName>
    <definedName name="FHD_NUM_P_37">DATA_NPA!$L$54</definedName>
    <definedName name="FHD_NUM_P_38">DATA_NPA!$L$55</definedName>
    <definedName name="FHD_NUM_P_39">DATA_NPA!$L$56</definedName>
    <definedName name="FHD_NUM_P_4">DATA_NPA!$L$21</definedName>
    <definedName name="FHD_NUM_P_40">DATA_NPA!$L$57</definedName>
    <definedName name="FHD_NUM_P_41">DATA_NPA!$L$58</definedName>
    <definedName name="FHD_NUM_P_42">DATA_NPA!$L$59</definedName>
    <definedName name="FHD_NUM_P_43">DATA_NPA!$L$60</definedName>
    <definedName name="FHD_NUM_P_44">DATA_NPA!$L$61</definedName>
    <definedName name="FHD_NUM_P_45">DATA_NPA!$L$62</definedName>
    <definedName name="FHD_NUM_P_46">DATA_NPA!$L$63</definedName>
    <definedName name="FHD_NUM_P_47">DATA_NPA!$L$64</definedName>
    <definedName name="FHD_NUM_P_48">DATA_NPA!$L$65</definedName>
    <definedName name="FHD_NUM_P_49">DATA_NPA!$L$66</definedName>
    <definedName name="FHD_NUM_P_5">DATA_NPA!$L$22</definedName>
    <definedName name="FHD_NUM_P_50">DATA_NPA!$L$67</definedName>
    <definedName name="FHD_NUM_P_51">DATA_NPA!$L$68</definedName>
    <definedName name="FHD_NUM_P_52">DATA_NPA!$L$69</definedName>
    <definedName name="FHD_NUM_P_53">DATA_NPA!$L$70</definedName>
    <definedName name="FHD_NUM_P_54">DATA_NPA!$L$71</definedName>
    <definedName name="FHD_NUM_P_55">DATA_NPA!$L$72</definedName>
    <definedName name="FHD_NUM_P_56">DATA_NPA!$L$73</definedName>
    <definedName name="FHD_NUM_P_57">DATA_NPA!$L$74</definedName>
    <definedName name="FHD_NUM_P_58">DATA_NPA!$L$75</definedName>
    <definedName name="FHD_NUM_P_59">DATA_NPA!$L$76</definedName>
    <definedName name="FHD_NUM_P_6">DATA_NPA!$L$23</definedName>
    <definedName name="FHD_NUM_P_60">DATA_NPA!$L$77</definedName>
    <definedName name="FHD_NUM_P_61">DATA_NPA!$L$78</definedName>
    <definedName name="FHD_NUM_P_62">DATA_NPA!$L$79</definedName>
    <definedName name="FHD_NUM_P_63">DATA_NPA!$L$80</definedName>
    <definedName name="FHD_NUM_P_64">DATA_NPA!$L$81</definedName>
    <definedName name="FHD_NUM_P_65">DATA_NPA!$L$82</definedName>
    <definedName name="FHD_NUM_P_66">DATA_NPA!$L$83</definedName>
    <definedName name="FHD_NUM_P_67">DATA_NPA!$L$84</definedName>
    <definedName name="FHD_NUM_P_68">DATA_NPA!$L$85</definedName>
    <definedName name="FHD_NUM_P_69">DATA_NPA!$L$86</definedName>
    <definedName name="FHD_NUM_P_7">DATA_NPA!$L$24</definedName>
    <definedName name="FHD_NUM_P_70">DATA_NPA!$L$87</definedName>
    <definedName name="FHD_NUM_P_71">DATA_NPA!$L$88</definedName>
    <definedName name="FHD_NUM_P_72">DATA_NPA!$L$89</definedName>
    <definedName name="FHD_NUM_P_73">DATA_NPA!$L$90</definedName>
    <definedName name="FHD_NUM_P_74">DATA_NPA!$L$91</definedName>
    <definedName name="FHD_NUM_P_75">DATA_NPA!$L$92</definedName>
    <definedName name="FHD_NUM_P_76">DATA_NPA!$L$93</definedName>
    <definedName name="FHD_NUM_P_77">DATA_NPA!$L$94</definedName>
    <definedName name="FHD_NUM_P_78">DATA_NPA!$L$95</definedName>
    <definedName name="FHD_NUM_P_79">DATA_NPA!$L$96</definedName>
    <definedName name="FHD_NUM_P_8">DATA_NPA!$L$25</definedName>
    <definedName name="FHD_NUM_P_80">DATA_NPA!$L$97</definedName>
    <definedName name="FHD_NUM_P_81">DATA_NPA!$L$98</definedName>
    <definedName name="FHD_NUM_P_82">DATA_NPA!$L$99</definedName>
    <definedName name="FHD_NUM_P_83">DATA_NPA!$L$100</definedName>
    <definedName name="FHD_NUM_P_84">DATA_NPA!$L$101</definedName>
    <definedName name="FHD_NUM_P_9">DATA_NPA!$L$26</definedName>
    <definedName name="FHD_NUM_P_A">DATA_NPA!$L$18</definedName>
    <definedName name="FHD_P_1">DATA_NPA!$M$18</definedName>
    <definedName name="FHD_P_10">DATA_NPA!$M$27</definedName>
    <definedName name="FHD_P_11">DATA_NPA!$M$28</definedName>
    <definedName name="FHD_P_12">DATA_NPA!$M$29</definedName>
    <definedName name="FHD_P_13">DATA_NPA!$M$30</definedName>
    <definedName name="FHD_P_14">DATA_NPA!$M$31</definedName>
    <definedName name="FHD_P_15">DATA_NPA!$M$32</definedName>
    <definedName name="FHD_P_16">DATA_NPA!$M$33</definedName>
    <definedName name="FHD_P_17">DATA_NPA!$M$34</definedName>
    <definedName name="FHD_P_18">DATA_NPA!$M$35</definedName>
    <definedName name="FHD_P_19">DATA_NPA!$M$36</definedName>
    <definedName name="FHD_P_2">DATA_NPA!$M$19</definedName>
    <definedName name="FHD_P_20">DATA_NPA!$M$37</definedName>
    <definedName name="FHD_P_21">DATA_NPA!$M$38</definedName>
    <definedName name="FHD_P_22">DATA_NPA!$M$39</definedName>
    <definedName name="FHD_P_23">DATA_NPA!$M$40</definedName>
    <definedName name="FHD_P_24">DATA_NPA!$M$41</definedName>
    <definedName name="FHD_P_25">DATA_NPA!$M$42</definedName>
    <definedName name="FHD_P_26">DATA_NPA!$M$43</definedName>
    <definedName name="FHD_P_27">DATA_NPA!$M$44</definedName>
    <definedName name="FHD_P_28">DATA_NPA!$M$45</definedName>
    <definedName name="FHD_P_29">DATA_NPA!$M$46</definedName>
    <definedName name="FHD_P_3">DATA_NPA!$M$20</definedName>
    <definedName name="FHD_P_30">DATA_NPA!$M$47</definedName>
    <definedName name="FHD_P_31">DATA_NPA!$M$48</definedName>
    <definedName name="FHD_P_32">DATA_NPA!$M$49</definedName>
    <definedName name="FHD_P_33">DATA_NPA!$M$50</definedName>
    <definedName name="FHD_P_34">DATA_NPA!$M$51</definedName>
    <definedName name="FHD_P_35">DATA_NPA!$M$52</definedName>
    <definedName name="FHD_P_36">DATA_NPA!$M$53</definedName>
    <definedName name="FHD_P_37">DATA_NPA!$M$54</definedName>
    <definedName name="FHD_P_38">DATA_NPA!$M$55</definedName>
    <definedName name="FHD_P_39">DATA_NPA!$M$56</definedName>
    <definedName name="FHD_P_4">DATA_NPA!$M$21</definedName>
    <definedName name="FHD_P_40">DATA_NPA!$M$57</definedName>
    <definedName name="FHD_P_41">DATA_NPA!$M$58</definedName>
    <definedName name="FHD_P_42">DATA_NPA!$M$59</definedName>
    <definedName name="FHD_P_43">DATA_NPA!$M$60</definedName>
    <definedName name="FHD_P_44">DATA_NPA!$M$61</definedName>
    <definedName name="FHD_P_45">DATA_NPA!$M$62</definedName>
    <definedName name="FHD_P_46">DATA_NPA!$M$63</definedName>
    <definedName name="FHD_P_47">DATA_NPA!$M$64</definedName>
    <definedName name="FHD_P_48">DATA_NPA!$M$65</definedName>
    <definedName name="FHD_P_49">DATA_NPA!$M$66</definedName>
    <definedName name="FHD_P_5">DATA_NPA!$M$22</definedName>
    <definedName name="FHD_P_50">DATA_NPA!$M$67</definedName>
    <definedName name="FHD_P_51">DATA_NPA!$M$68</definedName>
    <definedName name="FHD_P_52">DATA_NPA!$M$69</definedName>
    <definedName name="FHD_P_53">DATA_NPA!$M$70</definedName>
    <definedName name="FHD_P_54">DATA_NPA!$M$71</definedName>
    <definedName name="FHD_P_55">DATA_NPA!$M$72</definedName>
    <definedName name="FHD_P_56">DATA_NPA!$M$73</definedName>
    <definedName name="FHD_P_57">DATA_NPA!$M$74</definedName>
    <definedName name="FHD_P_58">DATA_NPA!$M$75</definedName>
    <definedName name="FHD_P_59">DATA_NPA!$M$76</definedName>
    <definedName name="FHD_P_6">DATA_NPA!$M$23</definedName>
    <definedName name="FHD_P_60">DATA_NPA!$M$77</definedName>
    <definedName name="FHD_P_61">DATA_NPA!$M$78</definedName>
    <definedName name="FHD_P_62">DATA_NPA!$M$79</definedName>
    <definedName name="FHD_P_63">DATA_NPA!$M$80</definedName>
    <definedName name="FHD_P_64">DATA_NPA!$M$81</definedName>
    <definedName name="FHD_P_65">DATA_NPA!$M$82</definedName>
    <definedName name="FHD_P_66">DATA_NPA!$M$83</definedName>
    <definedName name="FHD_P_67">DATA_NPA!$M$84</definedName>
    <definedName name="FHD_P_68">DATA_NPA!$M$85</definedName>
    <definedName name="FHD_P_69">DATA_NPA!$M$86</definedName>
    <definedName name="FHD_P_7">DATA_NPA!$M$24</definedName>
    <definedName name="FHD_P_70">DATA_NPA!$M$87</definedName>
    <definedName name="FHD_P_71">DATA_NPA!$M$88</definedName>
    <definedName name="FHD_P_72">DATA_NPA!$M$89</definedName>
    <definedName name="FHD_P_73">DATA_NPA!$M$90</definedName>
    <definedName name="FHD_P_74">DATA_NPA!$M$91</definedName>
    <definedName name="FHD_P_75">DATA_NPA!$M$92</definedName>
    <definedName name="FHD_P_76">DATA_NPA!$M$93</definedName>
    <definedName name="FHD_P_77">DATA_NPA!$M$94</definedName>
    <definedName name="FHD_P_78">DATA_NPA!$M$95</definedName>
    <definedName name="FHD_P_79">DATA_NPA!$M$96</definedName>
    <definedName name="FHD_P_8">DATA_NPA!$M$25</definedName>
    <definedName name="FHD_P_80">DATA_NPA!$M$97</definedName>
    <definedName name="FHD_P_81">DATA_NPA!$M$98</definedName>
    <definedName name="FHD_P_82">DATA_NPA!$M$99</definedName>
    <definedName name="FHD_P_83">DATA_NPA!$M$100</definedName>
    <definedName name="FHD_P_84">DATA_NPA!$M$101</definedName>
    <definedName name="FHD_P_9">DATA_NPA!$M$26</definedName>
    <definedName name="FHD_P_A">DATA_NPA!$M$18</definedName>
    <definedName name="FHD20_NAME_FORM">DATA_FORMS!$C$7</definedName>
    <definedName name="fil">Титульный!$F$32</definedName>
    <definedName name="flag_Q_LIMIT_p3">Ограничения!$F$36:$K$36</definedName>
    <definedName name="flag_Q_LIMIT_p4">Ограничения!$F$38:$K$38</definedName>
    <definedName name="HEAT_FIN_SRC_LIST">TEHSHEET!$BH$4:$BH$26</definedName>
    <definedName name="HEAT_FIN_SRC_VLD_LIST">TEHSHEET!$BH$39:$BH$54</definedName>
    <definedName name="HEAT_IP_EVENT_CI_STAGE_LIST">TEHSHEET!$BH$97:$BH$99</definedName>
    <definedName name="HEAT_IP_EVENT_GROUP_LIST">TEHSHEET!$BH$69:$BH$76</definedName>
    <definedName name="HEAT_IP_EVENT_SUBGROUP_1_LIST">TEHSHEET!$BH$80:$BH$83</definedName>
    <definedName name="HEAT_IP_EVENT_SUBGROUP_3_LIST">TEHSHEET!$BH$87:$BH$88</definedName>
    <definedName name="HEAT_IP_EVENT_SUBGROUP_5_LIST">TEHSHEET!$BH$92:$BH$93</definedName>
    <definedName name="HEAT_IP_EVENT_TYPE_LIST">TEHSHEET!$BH$108:$BH$110</definedName>
    <definedName name="HEAT_PT_SCHEME">TEHSHEET!$BH$115:$BH$118</definedName>
    <definedName name="HEAT_PT_TARIFF_ID">TEHSHEET!$BQ$5:$BQ$14</definedName>
    <definedName name="HEAT_PT_TARIFF_NAME">TEHSHEET!$BR$5:$BR$14</definedName>
    <definedName name="HEAT_PT_TARIFF_NAME_LIST">TEHSHEET!$BQ$5:$BR$14</definedName>
    <definedName name="HEAT_PT_VED_ID">TEHSHEET!$BQ$19:$BQ$28</definedName>
    <definedName name="HEAT_PT_VED_NAME">TEHSHEET!$BR$19:$BR$28</definedName>
    <definedName name="HEAT_PT_VED_NAME_LIST">TEHSHEET!$BQ$19:$BR$28</definedName>
    <definedName name="HEAT_TARIFF_A_ADD_HL_COLUMN_MARKER">'ТС. Т-ТЭ | &gt;=25МВт'!$T$36</definedName>
    <definedName name="HEAT_TARIFF_A_DEL_HL_GC_COLUMN_MARKER">'ТС. Т-ТЭ | &gt;=25МВт'!$Q$36</definedName>
    <definedName name="HEAT_TARIFF_A_DEL_HL_SCHEME_COLUMN_MARKER">'ТС. Т-ТЭ | &gt;=25МВт'!$P$36</definedName>
    <definedName name="HEAT_TARIFF_A_DEL_HL_TN_COLUMN_MARKER">'ТС. Т-ТЭ | &gt;=25МВт'!$R$36</definedName>
    <definedName name="HEAT_TARIFF_A_DELETE_PERIOD_ROW_MARKER">'ТС. Т-ТЭ | &gt;=25МВт'!$O$37</definedName>
    <definedName name="HEAT_TARIFF_A_FLAG_BLOCK_COLUMN_MARKER">'ТС. Т-ТЭ | &gt;=25МВт'!$L$41</definedName>
    <definedName name="HEAT_TARIFF_A_FLAG_BLOCK_ROW_MARKER">'ТС. Т-ТЭ | &gt;=25МВт'!$O$22</definedName>
    <definedName name="HEAT_TARIFF_A_NUM_CS_COLUMN_MARKER">'ТС. Т-ТЭ | &gt;=25МВт'!$G$41</definedName>
    <definedName name="HEAT_TARIFF_A_NUM_GC_COLUMN_MARKER">'ТС. Т-ТЭ | &gt;=25МВт'!$J$41</definedName>
    <definedName name="HEAT_TARIFF_A_NUM_IST_TE_COLUMN_MARKER">'ТС. Т-ТЭ | &gt;=25МВт'!$H$41</definedName>
    <definedName name="HEAT_TARIFF_A_NUM_NTAR_COLUMN_MARKER">'ТС. Т-ТЭ | &gt;=25МВт'!$E$41</definedName>
    <definedName name="HEAT_TARIFF_A_NUM_SCHEME_COLUMN_MARKER">'ТС. Т-ТЭ | &gt;=25МВт'!$I$41</definedName>
    <definedName name="HEAT_TARIFF_A_NUM_TER_COLUMN_MARKER">'ТС. Т-ТЭ | &gt;=25МВт'!$F$41</definedName>
    <definedName name="HEAT_TARIFF_A_NUM_TN_COLUMN_MARKER">'ТС. Т-ТЭ | &gt;=25МВт'!$K$41</definedName>
    <definedName name="HEAT_TARIFF_B_ADD_HL_COLUMN_MARKER">'ТС. Т-ТЭ | ТСО'!$T$36</definedName>
    <definedName name="HEAT_TARIFF_B_DEL_HL_GC_COLUMN_MARKER">'ТС. Т-ТЭ | ТСО'!$Q$36</definedName>
    <definedName name="HEAT_TARIFF_B_DEL_HL_SCHEME_COLUMN_MARKER">'ТС. Т-ТЭ | ТСО'!$P$36</definedName>
    <definedName name="HEAT_TARIFF_B_DEL_HL_TN_COLUMN_MARKER">'ТС. Т-ТЭ | ТСО'!$R$36</definedName>
    <definedName name="HEAT_TARIFF_B_DELETE_PERIOD_ROW_MARKER">'ТС. Т-ТЭ | ТСО'!$O$37</definedName>
    <definedName name="HEAT_TARIFF_B_FLAG_BLOCK_COLUMN_MARKER">'ТС. Т-ТЭ | ТСО'!$L$41</definedName>
    <definedName name="HEAT_TARIFF_B_FLAG_BLOCK_ROW_MARKER">'ТС. Т-ТЭ | ТСО'!$O$22</definedName>
    <definedName name="HEAT_TARIFF_B_NUM_CS_COLUMN_MARKER">'ТС. Т-ТЭ | ТСО'!$G$41</definedName>
    <definedName name="HEAT_TARIFF_B_NUM_GC_COLUMN_MARKER">'ТС. Т-ТЭ | ТСО'!$J$41</definedName>
    <definedName name="HEAT_TARIFF_B_NUM_IST_TE_COLUMN_MARKER">'ТС. Т-ТЭ | ТСО'!$H$41</definedName>
    <definedName name="HEAT_TARIFF_B_NUM_NTAR_COLUMN_MARKER">'ТС. Т-ТЭ | ТСО'!$E$41</definedName>
    <definedName name="HEAT_TARIFF_B_NUM_SCHEME_COLUMN_MARKER">'ТС. Т-ТЭ | ТСО'!$I$41</definedName>
    <definedName name="HEAT_TARIFF_B_NUM_TER_COLUMN_MARKER">'ТС. Т-ТЭ | ТСО'!$F$41</definedName>
    <definedName name="HEAT_TARIFF_B_NUM_TN_COLUMN_MARKER">'ТС. Т-ТЭ | ТСО'!$K$41</definedName>
    <definedName name="HEAT_TARIFF_C_ADD_HL_COLUMN_MARKER">'ТС. Т-ТН'!$T$36</definedName>
    <definedName name="HEAT_TARIFF_C_DEL_HL_GC_COLUMN_MARKER">'ТС. Т-ТН'!$Q$36</definedName>
    <definedName name="HEAT_TARIFF_C_DEL_HL_SCHEME_COLUMN_MARKER">'ТС. Т-ТН'!$P$36</definedName>
    <definedName name="HEAT_TARIFF_C_DEL_HL_TN_COLUMN_MARKER">'ТС. Т-ТН'!$R$36</definedName>
    <definedName name="HEAT_TARIFF_C_DELETE_PERIOD_ROW_MARKER">'ТС. Т-ТН'!$O$37</definedName>
    <definedName name="HEAT_TARIFF_C_FLAG_BLOCK_COLUMN_MARKER">'ТС. Т-ТН'!$L$41</definedName>
    <definedName name="HEAT_TARIFF_C_FLAG_BLOCK_ROW_MARKER">'ТС. Т-ТН'!$O$22</definedName>
    <definedName name="HEAT_TARIFF_C_NUM_CS_COLUMN_MARKER">'ТС. Т-ТН'!$G$41</definedName>
    <definedName name="HEAT_TARIFF_C_NUM_GC_COLUMN_MARKER">'ТС. Т-ТН'!$J$41</definedName>
    <definedName name="HEAT_TARIFF_C_NUM_IST_TE_COLUMN_MARKER">'ТС. Т-ТН'!$H$41</definedName>
    <definedName name="HEAT_TARIFF_C_NUM_NTAR_COLUMN_MARKER">'ТС. Т-ТН'!$E$41</definedName>
    <definedName name="HEAT_TARIFF_C_NUM_SCHEME_COLUMN_MARKER">'ТС. Т-ТН'!$I$41</definedName>
    <definedName name="HEAT_TARIFF_C_NUM_TER_COLUMN_MARKER">'ТС. Т-ТН'!$F$41</definedName>
    <definedName name="HEAT_TARIFF_C_NUM_TN_COLUMN_MARKER">'ТС. Т-ТН'!$K$41</definedName>
    <definedName name="HEAT_TARIFF_D_ADD_HL_COLUMN_MARKER">'ТС. Т-гор.вода'!$V$40</definedName>
    <definedName name="HEAT_TARIFF_D_DEL_HL_CONS_COLUMN_MARKER">'ТС. Т-гор.вода'!$T$40</definedName>
    <definedName name="HEAT_TARIFF_D_DEL_HL_GC_COLUMN_MARKER">'ТС. Т-гор.вода'!$R$40</definedName>
    <definedName name="HEAT_TARIFF_D_DEL_HL_SCHEME_COLUMN_MARKER">'ТС. Т-гор.вода'!$Q$40</definedName>
    <definedName name="HEAT_TARIFF_D_DEL_HL_TN_COLUMN_MARKER">'ТС. Т-гор.вода'!$S$40</definedName>
    <definedName name="HEAT_TARIFF_D_DELETE_PERIOD_ROW_MARKER">'ТС. Т-гор.вода'!$P$41</definedName>
    <definedName name="HEAT_TARIFF_D_FLAG_BLOCK_COLUMN_MARKER">'ТС. Т-гор.вода'!$M$47</definedName>
    <definedName name="HEAT_TARIFF_D_FLAG_BLOCK_ROW_MARKER">'ТС. Т-гор.вода'!$P$26</definedName>
    <definedName name="HEAT_TARIFF_D_NUM_CONS_COLUMN_MARKER">'ТС. Т-гор.вода'!$L$47</definedName>
    <definedName name="HEAT_TARIFF_D_NUM_CS_COLUMN_MARKER">'ТС. Т-гор.вода'!$G$47</definedName>
    <definedName name="HEAT_TARIFF_D_NUM_GC_COLUMN_MARKER">'ТС. Т-гор.вода'!$J$47</definedName>
    <definedName name="HEAT_TARIFF_D_NUM_IST_TE_COLUMN_MARKER">'ТС. Т-гор.вода'!$H$47</definedName>
    <definedName name="HEAT_TARIFF_D_NUM_NTAR_COLUMN_MARKER">'ТС. Т-гор.вода'!$E$47</definedName>
    <definedName name="HEAT_TARIFF_D_NUM_SCHEME_COLUMN_MARKER">'ТС. Т-гор.вода'!$I$47</definedName>
    <definedName name="HEAT_TARIFF_D_NUM_TER_COLUMN_MARKER">'ТС. Т-гор.вода'!$F$47</definedName>
    <definedName name="HEAT_TARIFF_D_NUM_TN_COLUMN_MARKER">'ТС. Т-гор.вода'!$K$47</definedName>
    <definedName name="HEAT_TARIFF_E1_ADD_HL_COLUMN_MARKER">'ТС. Т-передача ТЭ'!$T$36</definedName>
    <definedName name="HEAT_TARIFF_E1_DEL_HL_GC_COLUMN_MARKER">'ТС. Т-передача ТЭ'!$Q$36</definedName>
    <definedName name="HEAT_TARIFF_E1_DEL_HL_SCHEME_COLUMN_MARKER">'ТС. Т-передача ТЭ'!$P$36</definedName>
    <definedName name="HEAT_TARIFF_E1_DEL_HL_TN_COLUMN_MARKER">'ТС. Т-передача ТЭ'!$R$36</definedName>
    <definedName name="HEAT_TARIFF_E1_DELETE_PERIOD_ROW_MARKER">'ТС. Т-передача ТЭ'!$O$37</definedName>
    <definedName name="HEAT_TARIFF_E1_FLAG_BLOCK_COLUMN_MARKER">'ТС. Т-передача ТЭ'!$L$41</definedName>
    <definedName name="HEAT_TARIFF_E1_FLAG_BLOCK_ROW_MARKER">'ТС. Т-передача ТЭ'!$O$22</definedName>
    <definedName name="HEAT_TARIFF_E1_NUM_CS_COLUMN_MARKER">'ТС. Т-передача ТЭ'!$G$41</definedName>
    <definedName name="HEAT_TARIFF_E1_NUM_GC_COLUMN_MARKER">'ТС. Т-передача ТЭ'!$J$41</definedName>
    <definedName name="HEAT_TARIFF_E1_NUM_IST_TE_COLUMN_MARKER">'ТС. Т-передача ТЭ'!$H$41</definedName>
    <definedName name="HEAT_TARIFF_E1_NUM_NTAR_COLUMN_MARKER">'ТС. Т-передача ТЭ'!$E$41</definedName>
    <definedName name="HEAT_TARIFF_E1_NUM_SCHEME_COLUMN_MARKER">'ТС. Т-передача ТЭ'!$I$41</definedName>
    <definedName name="HEAT_TARIFF_E1_NUM_TER_COLUMN_MARKER">'ТС. Т-передача ТЭ'!$F$41</definedName>
    <definedName name="HEAT_TARIFF_E1_NUM_TN_COLUMN_MARKER">'ТС. Т-передача ТЭ'!$K$41</definedName>
    <definedName name="HEAT_TARIFF_E2_ADD_HL_COLUMN_MARKER">'ТС. Т-передача ТН'!$T$36</definedName>
    <definedName name="HEAT_TARIFF_E2_DEL_HL_GC_COLUMN_MARKER">'ТС. Т-передача ТН'!$Q$36</definedName>
    <definedName name="HEAT_TARIFF_E2_DEL_HL_SCHEME_COLUMN_MARKER">'ТС. Т-передача ТН'!$P$36</definedName>
    <definedName name="HEAT_TARIFF_E2_DEL_HL_TN_COLUMN_MARKER">'ТС. Т-передача ТН'!$R$36</definedName>
    <definedName name="HEAT_TARIFF_E2_DELETE_PERIOD_ROW_MARKER">'ТС. Т-передача ТН'!$O$37</definedName>
    <definedName name="HEAT_TARIFF_E2_FLAG_BLOCK_COLUMN_MARKER">'ТС. Т-передача ТН'!$L$41</definedName>
    <definedName name="HEAT_TARIFF_E2_FLAG_BLOCK_ROW_MARKER">'ТС. Т-передача ТН'!$O$22</definedName>
    <definedName name="HEAT_TARIFF_E2_NUM_CS_COLUMN_MARKER">'ТС. Т-передача ТН'!$G$41</definedName>
    <definedName name="HEAT_TARIFF_E2_NUM_GC_COLUMN_MARKER">'ТС. Т-передача ТН'!$J$41</definedName>
    <definedName name="HEAT_TARIFF_E2_NUM_IST_TE_COLUMN_MARKER">'ТС. Т-передача ТН'!$H$41</definedName>
    <definedName name="HEAT_TARIFF_E2_NUM_NTAR_COLUMN_MARKER">'ТС. Т-передача ТН'!$E$41</definedName>
    <definedName name="HEAT_TARIFF_E2_NUM_SCHEME_COLUMN_MARKER">'ТС. Т-передача ТН'!$I$41</definedName>
    <definedName name="HEAT_TARIFF_E2_NUM_TER_COLUMN_MARKER">'ТС. Т-передача ТН'!$F$41</definedName>
    <definedName name="HEAT_TARIFF_E2_NUM_TN_COLUMN_MARKER">'ТС. Т-передача ТН'!$K$41</definedName>
    <definedName name="HEAT_TARIFF_F_ADD_HL_COLUMN_MARKER">'ТС. Резерв мощности'!$T$36</definedName>
    <definedName name="HEAT_TARIFF_F_DEL_HL_GC_COLUMN_MARKER">'ТС. Резерв мощности'!$Q$36</definedName>
    <definedName name="HEAT_TARIFF_F_DEL_HL_SCHEME_COLUMN_MARKER">'ТС. Резерв мощности'!$P$36</definedName>
    <definedName name="HEAT_TARIFF_F_DEL_HL_TN_COLUMN_MARKER">'ТС. Резерв мощности'!$R$36</definedName>
    <definedName name="HEAT_TARIFF_F_DELETE_PERIOD_ROW_MARKER">'ТС. Резерв мощности'!$O$37</definedName>
    <definedName name="HEAT_TARIFF_F_FLAG_BLOCK_COLUMN_MARKER">'ТС. Резерв мощности'!$L$41</definedName>
    <definedName name="HEAT_TARIFF_F_FLAG_BLOCK_ROW_MARKER">'ТС. Резерв мощности'!$O$22</definedName>
    <definedName name="HEAT_TARIFF_F_NUM_CS_COLUMN_MARKER">'ТС. Резерв мощности'!$G$41</definedName>
    <definedName name="HEAT_TARIFF_F_NUM_GC_COLUMN_MARKER">'ТС. Резерв мощности'!$J$41</definedName>
    <definedName name="HEAT_TARIFF_F_NUM_IST_TE_COLUMN_MARKER">'ТС. Резерв мощности'!$H$41</definedName>
    <definedName name="HEAT_TARIFF_F_NUM_NTAR_COLUMN_MARKER">'ТС. Резерв мощности'!$E$41</definedName>
    <definedName name="HEAT_TARIFF_F_NUM_SCHEME_COLUMN_MARKER">'ТС. Резерв мощности'!$I$41</definedName>
    <definedName name="HEAT_TARIFF_F_NUM_TER_COLUMN_MARKER">'ТС. Резерв мощности'!$F$41</definedName>
    <definedName name="HEAT_TARIFF_F_NUM_TN_COLUMN_MARKER">'ТС. Резерв мощности'!$K$41</definedName>
    <definedName name="HEAT_TARIFF_G_ADD_HL_COLUMN_MARKER">'ТС. Т-подкл'!$T$37</definedName>
    <definedName name="HEAT_TARIFF_G_ADD_HL_DIAMETERS_COLUMN_MARKER">'ТС. Т-подкл'!$AM$37</definedName>
    <definedName name="HEAT_TARIFF_G_ADD_HL_LOAD_COLUMN_MARKER">'ТС. Т-подкл'!$AE$37</definedName>
    <definedName name="HEAT_TARIFF_G_ADD_HL_NETS_COLUMN_MARKER">'ТС. Т-подкл'!$AI$37</definedName>
    <definedName name="HEAT_TARIFF_G_DEL_HL_DIAMETERS_COLUMN_MARKER">'ТС. Т-подкл'!$AK$37</definedName>
    <definedName name="HEAT_TARIFF_G_DEL_HL_GC_COLUMN_MARKER">'ТС. Т-подкл'!$Q$37</definedName>
    <definedName name="HEAT_TARIFF_G_DEL_HL_LOAD_COLUMN_MARKER">'ТС. Т-подкл'!$AC$37</definedName>
    <definedName name="HEAT_TARIFF_G_DEL_HL_NETS_COLUMN_MARKER">'ТС. Т-подкл'!$AG$37</definedName>
    <definedName name="HEAT_TARIFF_G_DEL_HL_SCHEME_COLUMN_MARKER">'ТС. Т-подкл'!$P$37</definedName>
    <definedName name="HEAT_TARIFF_G_DEL_HL_TN_COLUMN_MARKER">'ТС. Т-подкл'!$R$37</definedName>
    <definedName name="HEAT_TARIFF_G_DELETE_PERIOD_ROW_MARKER">'ТС. Т-подкл'!$O$38</definedName>
    <definedName name="HEAT_TARIFF_G_FLAG_BLOCK_COLUMN_MARKER">'ТС. Т-подкл'!$L$43</definedName>
    <definedName name="HEAT_TARIFF_G_FLAG_BLOCK_ROW_MARKER">'ТС. Т-подкл'!$O$23</definedName>
    <definedName name="HEAT_TARIFF_G_NUM_CS_COLUMN_MARKER">'ТС. Т-подкл'!$G$43</definedName>
    <definedName name="HEAT_TARIFF_G_NUM_DIAMETERS_COLUMN_MARKER">'ТС. Т-подкл'!$AL$37</definedName>
    <definedName name="HEAT_TARIFF_G_NUM_GC_COLUMN_MARKER">'ТС. Т-подкл'!$J$43</definedName>
    <definedName name="HEAT_TARIFF_G_NUM_IST_TE_COLUMN_MARKER">'ТС. Т-подкл'!$H$43</definedName>
    <definedName name="HEAT_TARIFF_G_NUM_LOAD_COLUMN_MARKER">'ТС. Т-подкл'!$AD$37</definedName>
    <definedName name="HEAT_TARIFF_G_NUM_NETS_COLUMN_MARKER">'ТС. Т-подкл'!$AH$37</definedName>
    <definedName name="HEAT_TARIFF_G_NUM_NTAR_COLUMN_MARKER">'ТС. Т-подкл'!$E$43</definedName>
    <definedName name="HEAT_TARIFF_G_NUM_SCHEME_COLUMN_MARKER">'ТС. Т-подкл'!$I$43</definedName>
    <definedName name="HEAT_TARIFF_G_NUM_TER_COLUMN_MARKER">'ТС. Т-подкл'!$F$43</definedName>
    <definedName name="HEAT_TARIFF_G_NUM_TN_COLUMN_MARKER">'ТС. Т-подкл'!$K$43</definedName>
    <definedName name="HEAT_TARIFF_H_ADD_HL_COLUMN_MARKER">'ТС. Т-подкл(инд)'!$T$34</definedName>
    <definedName name="HEAT_TARIFF_H_ADD_HL_DIAMETERS_COLUMN_MARKER">'ТС. Т-подкл(инд)'!$AO$34</definedName>
    <definedName name="HEAT_TARIFF_H_ADD_HL_LOAD_COLUMN_MARKER">'ТС. Т-подкл(инд)'!$AM$34</definedName>
    <definedName name="HEAT_TARIFF_H_ADD_HL_NETS_COLUMN_MARKER">'ТС. Т-подкл(инд)'!$AN$34</definedName>
    <definedName name="HEAT_TARIFF_H_DEL_HL_DIAMETERS_COLUMN_MARKER">'ТС. Т-подкл(инд)'!$AO$34</definedName>
    <definedName name="HEAT_TARIFF_H_DEL_HL_GC_COLUMN_MARKER">'ТС. Т-подкл(инд)'!$Q$34</definedName>
    <definedName name="HEAT_TARIFF_H_DEL_HL_LOAD_COLUMN_MARKER">'ТС. Т-подкл(инд)'!$AM$34</definedName>
    <definedName name="HEAT_TARIFF_H_DEL_HL_NETS_COLUMN_MARKER">'ТС. Т-подкл(инд)'!$AN$34</definedName>
    <definedName name="HEAT_TARIFF_H_DEL_HL_SCHEME_COLUMN_MARKER">'ТС. Т-подкл(инд)'!$P$34</definedName>
    <definedName name="HEAT_TARIFF_H_DEL_HL_TN_COLUMN_MARKER">'ТС. Т-подкл(инд)'!$R$34</definedName>
    <definedName name="HEAT_TARIFF_H_DELETE_PERIOD_ROW_MARKER">'ТС. Т-подкл(инд)'!$O$35</definedName>
    <definedName name="HEAT_TARIFF_H_FLAG_BLOCK_COLUMN_MARKER">'ТС. Т-подкл(инд)'!$L$40</definedName>
    <definedName name="HEAT_TARIFF_H_FLAG_BLOCK_ROW_MARKER">'ТС. Т-подкл(инд)'!$O$20</definedName>
    <definedName name="HEAT_TARIFF_H_NUM_CS_COLUMN_MARKER">'ТС. Т-подкл(инд)'!$G$40</definedName>
    <definedName name="HEAT_TARIFF_H_NUM_DIAMETERS_COLUMN_MARKER">'ТС. Т-подкл(инд)'!$AO$34</definedName>
    <definedName name="HEAT_TARIFF_H_NUM_GC_COLUMN_MARKER">'ТС. Т-подкл(инд)'!$J$40</definedName>
    <definedName name="HEAT_TARIFF_H_NUM_IST_TE_COLUMN_MARKER">'ТС. Т-подкл(инд)'!$H$40</definedName>
    <definedName name="HEAT_TARIFF_H_NUM_LOAD_COLUMN_MARKER">'ТС. Т-подкл(инд)'!$AM$34</definedName>
    <definedName name="HEAT_TARIFF_H_NUM_NETS_COLUMN_MARKER">'ТС. Т-подкл(инд)'!$AN$34</definedName>
    <definedName name="HEAT_TARIFF_H_NUM_NTAR_COLUMN_MARKER">'ТС. Т-подкл(инд)'!$E$40</definedName>
    <definedName name="HEAT_TARIFF_H_NUM_SCHEME_COLUMN_MARKER">'ТС. Т-подкл(инд)'!$I$40</definedName>
    <definedName name="HEAT_TARIFF_H_NUM_TER_COLUMN_MARKER">'ТС. Т-подкл(инд)'!$F$40</definedName>
    <definedName name="HEAT_TARIFF_H_NUM_TN_COLUMN_MARKER">'ТС. Т-подкл(инд)'!$K$40</definedName>
    <definedName name="HEAT_TARIFF_I_1_ADD_HL_COLUMN_MARKER">'ТС. Т-ТЭ | индикат'!$T$36</definedName>
    <definedName name="HEAT_TARIFF_I_1_DEL_HL_GC_COLUMN_MARKER">'ТС. Т-ТЭ | индикат'!$Q$36</definedName>
    <definedName name="HEAT_TARIFF_I_1_DEL_HL_SCHEME_COLUMN_MARKER">'ТС. Т-ТЭ | индикат'!$P$36</definedName>
    <definedName name="HEAT_TARIFF_I_1_DEL_HL_TN_COLUMN_MARKER">'ТС. Т-ТЭ | индикат'!$R$36</definedName>
    <definedName name="HEAT_TARIFF_I_1_DELETE_PERIOD_ROW_MARKER">'ТС. Т-ТЭ | индикат'!$O$37</definedName>
    <definedName name="HEAT_TARIFF_I_1_FLAG_BLOCK_COLUMN_MARKER">'ТС. Т-ТЭ | индикат'!$L$41</definedName>
    <definedName name="HEAT_TARIFF_I_1_FLAG_BLOCK_ROW_MARKER">'ТС. Т-ТЭ | индикат'!$O$22</definedName>
    <definedName name="HEAT_TARIFF_I_1_NUM_CS_COLUMN_MARKER">'ТС. Т-ТЭ | индикат'!$G$41</definedName>
    <definedName name="HEAT_TARIFF_I_1_NUM_GC_COLUMN_MARKER">'ТС. Т-ТЭ | индикат'!$J$41</definedName>
    <definedName name="HEAT_TARIFF_I_1_NUM_IST_TE_COLUMN_MARKER">'ТС. Т-ТЭ | индикат'!$H$41</definedName>
    <definedName name="HEAT_TARIFF_I_1_NUM_NTAR_COLUMN_MARKER">'ТС. Т-ТЭ | индикат'!$E$41</definedName>
    <definedName name="HEAT_TARIFF_I_1_NUM_SCHEME_COLUMN_MARKER">'ТС. Т-ТЭ | индикат'!$I$41</definedName>
    <definedName name="HEAT_TARIFF_I_1_NUM_TER_COLUMN_MARKER">'ТС. Т-ТЭ | индикат'!$F$41</definedName>
    <definedName name="HEAT_TARIFF_I_1_NUM_TN_COLUMN_MARKER">'ТС. Т-ТЭ | индикат'!$K$41</definedName>
    <definedName name="HEAT_TARIFF_I_ADD_HL_COLUMN_MARKER">'ТС. Т-ТЭ | предел'!$T$36</definedName>
    <definedName name="HEAT_TARIFF_I_DEL_HL_GC_COLUMN_MARKER">'ТС. Т-ТЭ | предел'!$Q$36</definedName>
    <definedName name="HEAT_TARIFF_I_DEL_HL_SCHEME_COLUMN_MARKER">'ТС. Т-ТЭ | предел'!$P$36</definedName>
    <definedName name="HEAT_TARIFF_I_DEL_HL_TN_COLUMN_MARKER">'ТС. Т-ТЭ | предел'!$R$36</definedName>
    <definedName name="HEAT_TARIFF_I_DELETE_PERIOD_ROW_MARKER">'ТС. Т-ТЭ | предел'!$O$37</definedName>
    <definedName name="HEAT_TARIFF_I_FLAG_BLOCK_COLUMN_MARKER">'ТС. Т-ТЭ | предел'!$L$41</definedName>
    <definedName name="HEAT_TARIFF_I_FLAG_BLOCK_ROW_MARKER">'ТС. Т-ТЭ | предел'!$O$22</definedName>
    <definedName name="HEAT_TARIFF_I_NUM_CS_COLUMN_MARKER">'ТС. Т-ТЭ | предел'!$G$41</definedName>
    <definedName name="HEAT_TARIFF_I_NUM_GC_COLUMN_MARKER">'ТС. Т-ТЭ | предел'!$J$41</definedName>
    <definedName name="HEAT_TARIFF_I_NUM_IST_TE_COLUMN_MARKER">'ТС. Т-ТЭ | предел'!$H$41</definedName>
    <definedName name="HEAT_TARIFF_I_NUM_NTAR_COLUMN_MARKER">'ТС. Т-ТЭ | предел'!$E$41</definedName>
    <definedName name="HEAT_TARIFF_I_NUM_SCHEME_COLUMN_MARKER">'ТС. Т-ТЭ | предел'!$I$41</definedName>
    <definedName name="HEAT_TARIFF_I_NUM_TER_COLUMN_MARKER">'ТС. Т-ТЭ | предел'!$F$41</definedName>
    <definedName name="HEAT_TARIFF_I_NUM_TN_COLUMN_MARKER">'ТС. Т-ТЭ | предел'!$K$41</definedName>
    <definedName name="HOTVSNA_FIN_SRC_LIST">TEHSHEET!$BJ$4:$BJ$34</definedName>
    <definedName name="HOTVSNA_FIN_SRC_VLD_LIST">TEHSHEET!$BJ$39:$BJ$60</definedName>
    <definedName name="HOTVSNA_IP_EVENT_CI_STAGE_LIST">TEHSHEET!$BJ$97:$BJ$100</definedName>
    <definedName name="HOTVSNA_IP_EVENT_GROUP_LIST">TEHSHEET!$BJ$69:$BJ$76</definedName>
    <definedName name="HOTVSNA_IP_EVENT_SUBGROUP_1_LIST">TEHSHEET!$BJ$80:$BJ$83</definedName>
    <definedName name="HOTVSNA_IP_EVENT_SUBGROUP_3_LIST">TEHSHEET!$BJ$87:$BJ$88</definedName>
    <definedName name="HOTVSNA_IP_EVENT_SUBGROUP_5_LIST">TEHSHEET!$BJ$92:$BJ$93</definedName>
    <definedName name="HOTVSNA_IP_EVENT_TYPE_LIST">TEHSHEET!$BJ$108</definedName>
    <definedName name="HOTVSNA_PT_VED_ID">TEHSHEET!$BW$19:$BW$21</definedName>
    <definedName name="HOTVSNA_PT_VED_NAME">TEHSHEET!$BX$19:$BX$21</definedName>
    <definedName name="HOTVSNA_PT_VED_NAME_LIST">TEHSHEET!$BW$19:$BX$21</definedName>
    <definedName name="HOTVSNA_TARIFF_A_HOTVSNA_ADD_HL_COLUMN_MARKER">'ГВС. Т-гор.вода'!$T$34</definedName>
    <definedName name="HOTVSNA_TARIFF_A_HOTVSNA_DEL_HL_DATA_DIFF_COLUMN_MARKER">'ГВС. Т-гор.вода'!$R$34</definedName>
    <definedName name="HOTVSNA_TARIFF_A_HOTVSNA_DEL_HL_FLAG_DIFF_COLUMN_MARKER">'ГВС. Т-гор.вода'!$P$34</definedName>
    <definedName name="HOTVSNA_TARIFF_A_HOTVSNA_DEL_HL_GC_COLUMN_MARKER">'ГВС. Т-гор.вода'!$Q$34</definedName>
    <definedName name="HOTVSNA_TARIFF_A_HOTVSNA_DELETE_PERIOD_ROW_MARKER">'ГВС. Т-гор.вода'!$O$35</definedName>
    <definedName name="HOTVSNA_TARIFF_A_HOTVSNA_FLAG_BLOCK_COLUMN_MARKER">'ГВС. Т-гор.вода'!$L$36</definedName>
    <definedName name="HOTVSNA_TARIFF_A_HOTVSNA_FLAG_BLOCK_ROW_MARKER">'ГВС. Т-гор.вода'!$O$20</definedName>
    <definedName name="HOTVSNA_TARIFF_A_HOTVSNA_NUM_CS_COLUMN_MARKER">'ГВС. Т-гор.вода'!$G$36</definedName>
    <definedName name="HOTVSNA_TARIFF_A_HOTVSNA_NUM_DATA_DIFF_COLUMN_MARKER">'ГВС. Т-гор.вода'!$K$36</definedName>
    <definedName name="HOTVSNA_TARIFF_A_HOTVSNA_NUM_FLAG_DIFF_COLUMN_MARKER">'ГВС. Т-гор.вода'!$I$36</definedName>
    <definedName name="HOTVSNA_TARIFF_A_HOTVSNA_NUM_GC_COLUMN_MARKER">'ГВС. Т-гор.вода'!$J$36</definedName>
    <definedName name="HOTVSNA_TARIFF_A_HOTVSNA_NUM_NTAR_COLUMN_MARKER">'ГВС. Т-гор.вода'!$E$36</definedName>
    <definedName name="HOTVSNA_TARIFF_A_HOTVSNA_NUM_TER_COLUMN_MARKER">'ГВС. Т-гор.вода'!$F$36</definedName>
    <definedName name="HOTVSNA_TARIFF_B_HOTVSNA_ADD_HL_COLUMN_MARKER">'ГВС. Т-транс'!$T$34</definedName>
    <definedName name="HOTVSNA_TARIFF_B_HOTVSNA_DEL_HL_DATA_DIFF_COLUMN_MARKER">'ГВС. Т-транс'!$R$34</definedName>
    <definedName name="HOTVSNA_TARIFF_B_HOTVSNA_DEL_HL_FLAG_DIFF_COLUMN_MARKER">'ГВС. Т-транс'!$P$34</definedName>
    <definedName name="HOTVSNA_TARIFF_B_HOTVSNA_DEL_HL_GC_COLUMN_MARKER">'ГВС. Т-транс'!$Q$34</definedName>
    <definedName name="HOTVSNA_TARIFF_B_HOTVSNA_DELETE_PERIOD_ROW_MARKER">'ГВС. Т-транс'!$O$35</definedName>
    <definedName name="HOTVSNA_TARIFF_B_HOTVSNA_FLAG_BLOCK_COLUMN_MARKER">'ГВС. Т-транс'!$L$36</definedName>
    <definedName name="HOTVSNA_TARIFF_B_HOTVSNA_FLAG_BLOCK_ROW_MARKER">'ГВС. Т-транс'!$O$20</definedName>
    <definedName name="HOTVSNA_TARIFF_B_HOTVSNA_NUM_CS_COLUMN_MARKER">'ГВС. Т-транс'!$G$36</definedName>
    <definedName name="HOTVSNA_TARIFF_B_HOTVSNA_NUM_DATA_DIFF_COLUMN_MARKER">'ГВС. Т-транс'!$K$36</definedName>
    <definedName name="HOTVSNA_TARIFF_B_HOTVSNA_NUM_FLAG_DIFF_COLUMN_MARKER">'ГВС. Т-транс'!$I$36</definedName>
    <definedName name="HOTVSNA_TARIFF_B_HOTVSNA_NUM_GC_COLUMN_MARKER">'ГВС. Т-транс'!$J$36</definedName>
    <definedName name="HOTVSNA_TARIFF_B_HOTVSNA_NUM_NTAR_COLUMN_MARKER">'ГВС. Т-транс'!$E$36</definedName>
    <definedName name="HOTVSNA_TARIFF_B_HOTVSNA_NUM_TER_COLUMN_MARKER">'ГВС. Т-транс'!$F$36</definedName>
    <definedName name="HOTVSNA_TARIFF_C_HOTVSNA_ADD_HL_COLUMN_MARKER">'ГВС. Т-подкл'!$T$38</definedName>
    <definedName name="HOTVSNA_TARIFF_C_HOTVSNA_ADD_HL_DIAMETERS_COLUMN_MARKER">'ГВС. Т-подкл'!$AK$38</definedName>
    <definedName name="HOTVSNA_TARIFF_C_HOTVSNA_ADD_HL_LEN_COLUMN_MARKER">'ГВС. Т-подкл'!$AO$38</definedName>
    <definedName name="HOTVSNA_TARIFF_C_HOTVSNA_ADD_HL_LOAD_COLUMN_MARKER">'ГВС. Т-подкл'!$AG$38</definedName>
    <definedName name="HOTVSNA_TARIFF_C_HOTVSNA_ADD_HL_NETS_COLUMN_MARKER">'ГВС. Т-подкл'!$AS$38</definedName>
    <definedName name="HOTVSNA_TARIFF_C_HOTVSNA_DEL_HL_DATA_DIFF_COLUMN_MARKER">'ГВС. Т-подкл'!$R$38</definedName>
    <definedName name="HOTVSNA_TARIFF_C_HOTVSNA_DEL_HL_DIAMETERS_COLUMN_MARKER">'ГВС. Т-подкл'!$AI$38</definedName>
    <definedName name="HOTVSNA_TARIFF_C_HOTVSNA_DEL_HL_FLAG_DIFF_COLUMN_MARKER">'ГВС. Т-подкл'!$P$38</definedName>
    <definedName name="HOTVSNA_TARIFF_C_HOTVSNA_DEL_HL_GC_COLUMN_MARKER">'ГВС. Т-подкл'!$Q$38</definedName>
    <definedName name="HOTVSNA_TARIFF_C_HOTVSNA_DEL_HL_LEN_COLUMN_MARKER">'ГВС. Т-подкл'!$AM$38</definedName>
    <definedName name="HOTVSNA_TARIFF_C_HOTVSNA_DEL_HL_LOAD_COLUMN_MARKER">'ГВС. Т-подкл'!$AE$38</definedName>
    <definedName name="HOTVSNA_TARIFF_C_HOTVSNA_DEL_HL_NETS_COLUMN_MARKER">'ГВС. Т-подкл'!$AQ$38</definedName>
    <definedName name="HOTVSNA_TARIFF_C_HOTVSNA_DELETE_PERIOD_ROW_MARKER">'ГВС. Т-подкл'!$O$39</definedName>
    <definedName name="HOTVSNA_TARIFF_C_HOTVSNA_FLAG_BLOCK_COLUMN_MARKER">'ГВС. Т-подкл'!$L$44</definedName>
    <definedName name="HOTVSNA_TARIFF_C_HOTVSNA_FLAG_BLOCK_ROW_MARKER">'ГВС. Т-подкл'!$O$24</definedName>
    <definedName name="HOTVSNA_TARIFF_C_HOTVSNA_NUM_CS_COLUMN_MARKER">'ГВС. Т-подкл'!$G$44</definedName>
    <definedName name="HOTVSNA_TARIFF_C_HOTVSNA_NUM_DATA_DIFF_COLUMN_MARKER">'ГВС. Т-подкл'!$K$44</definedName>
    <definedName name="HOTVSNA_TARIFF_C_HOTVSNA_NUM_DIAMETERS_COLUMN_MARKER">'ГВС. Т-подкл'!$AJ$38</definedName>
    <definedName name="HOTVSNA_TARIFF_C_HOTVSNA_NUM_FLAG_DIFF_COLUMN_MARKER">'ГВС. Т-подкл'!$I$44</definedName>
    <definedName name="HOTVSNA_TARIFF_C_HOTVSNA_NUM_GC_COLUMN_MARKER">'ГВС. Т-подкл'!$J$44</definedName>
    <definedName name="HOTVSNA_TARIFF_C_HOTVSNA_NUM_LEN_COLUMN_MARKER">'ГВС. Т-подкл'!$AN$38</definedName>
    <definedName name="HOTVSNA_TARIFF_C_HOTVSNA_NUM_LOAD_COLUMN_MARKER">'ГВС. Т-подкл'!$AF$38</definedName>
    <definedName name="HOTVSNA_TARIFF_C_HOTVSNA_NUM_NETS_COLUMN_MARKER">'ГВС. Т-подкл'!$AR$38</definedName>
    <definedName name="HOTVSNA_TARIFF_C_HOTVSNA_NUM_NTAR_COLUMN_MARKER">'ГВС. Т-подкл'!$E$44</definedName>
    <definedName name="HOTVSNA_TARIFF_C_HOTVSNA_NUM_TER_COLUMN_MARKER">'ГВС. Т-подкл'!$F$44</definedName>
    <definedName name="Info_Diff">modInfo!$B$28</definedName>
    <definedName name="Info_Diff1">modInfo!$B$30</definedName>
    <definedName name="Info_FilFlag">modInfo!$B$1</definedName>
    <definedName name="Info_ForMOInListMO">modInfo!$B$18</definedName>
    <definedName name="Info_ForMRInListMO">modInfo!$B$17</definedName>
    <definedName name="Info_ForSKIInListMO">modInfo!$B$19</definedName>
    <definedName name="Info_ForSKINumberInListMO">modInfo!$B$20</definedName>
    <definedName name="Info_NoteStandarts">modInfo!$B$22</definedName>
    <definedName name="Info_NoUpdates">modInfo!$B$36</definedName>
    <definedName name="Info_PeriodInTitle">modInfo!$B$4</definedName>
    <definedName name="Info_PrDiff">modInfo!$B$29</definedName>
    <definedName name="Info_PublicationNotDisclosed">modInfo!$B$15</definedName>
    <definedName name="Info_PublicationPdf">modInfo!$B$14</definedName>
    <definedName name="Info_PublicationWeb">modInfo!$B$13</definedName>
    <definedName name="Info_T_Podkl">modInfo!$B$24</definedName>
    <definedName name="Info_TarName">modInfo!$B$27</definedName>
    <definedName name="Info_TerExcludeHelp_1">modInfo!$B$33</definedName>
    <definedName name="Info_TerExcludeHelp_2">modInfo!$B$34</definedName>
    <definedName name="Info_TitleFil">modInfo!$B$11</definedName>
    <definedName name="Info_TitleFlagCrossSubsidization">modInfo!$B$8</definedName>
    <definedName name="Info_TitleFlagIstPubl">modInfo!$B$9</definedName>
    <definedName name="Info_TitleFlagTwoPartTariff">modInfo!$B$7</definedName>
    <definedName name="Info_TitleGroupRates">modInfo!$B$5</definedName>
    <definedName name="Info_TitleKindPublication">modInfo!$B$3</definedName>
    <definedName name="Info_TitleKindsOfGoods">modInfo!$B$6</definedName>
    <definedName name="Info_TitlePublication">modInfo!$B$2</definedName>
    <definedName name="Info_TitleType">modInfo!$B$10</definedName>
    <definedName name="inn">Титульный!$F$33</definedName>
    <definedName name="IP_CLAIM_LIST">TEHSHEET!$AZ$20:$AZ$26</definedName>
    <definedName name="IP_DETAILED_ADD_HL_EVENT_COLUMN_MARKER">'ИП. Детализация'!$I$7</definedName>
    <definedName name="IP_DETAILED_ADD_HL_IST_FIN_COLUMN_MARKER">'ИП. Детализация'!$AB$7</definedName>
    <definedName name="IP_DETAILED_ADD_HL_OBJECT_COLUMN_MARKER">'ИП. Детализация'!$P$7</definedName>
    <definedName name="IP_DETAILED_DATA_KS">'ИП. Детализация'!$M$7</definedName>
    <definedName name="IP_DETAILED_EVENT_MARKER">'ИП. Детализация'!$K$7:$Y$7</definedName>
    <definedName name="IP_DETAILED_EVENT_SUBGROUP_COLUMN_MARKER">'ИП. Детализация'!$J$7</definedName>
    <definedName name="IP_DETAILED_EVENT_SUBGROUP_RANGE_COLUMN_MARKER">'ИП. Детализация'!$B$7</definedName>
    <definedName name="IP_DETAILED_FLAG_KS">'ИП. Детализация'!$L$7</definedName>
    <definedName name="IP_DETAILED_FLAG_OBJECT">'ИП. Детализация'!$P$13</definedName>
    <definedName name="IP_DETAILED_GROUP_MARKER">'ИП. Детализация'!$I$7:$J$7</definedName>
    <definedName name="IP_DETAILED_IST_FIN_FACT_COLUMN_MARKER">'ИП. Детализация'!$AD$7</definedName>
    <definedName name="IP_DETAILED_LIST_IP_ID">'ИП. Детализация'!$A$14:$A$14</definedName>
    <definedName name="IP_DETAILED_MONTH_FACT_COLUMN_MARKER">'ИП. Детализация'!$AJ$7</definedName>
    <definedName name="IP_DETAILED_MONTH_PLAN_COLUMN_MARKER">'ИП. Детализация'!$AG$7</definedName>
    <definedName name="IP_DETAILED_NAME_EVENT_COLUMN_MARKER">'ИП. Детализация'!$K$7</definedName>
    <definedName name="IP_DETAILED_YEAR_FACT_COLUMN_MARKER">'ИП. Детализация'!$AK$7</definedName>
    <definedName name="IP_DETAILED_YEAR_PLAN_COLUMN_MARKER">'ИП. Детализация'!$AH$7</definedName>
    <definedName name="IP_FIN_PLAN_LIST_ID_MARKER_ROW">'ИП. Финансовый план'!$E$8</definedName>
    <definedName name="IP_FIN_PLAN_NAME_IP_MARKER_ROW">'ИП. Финансовый план'!$E$11</definedName>
    <definedName name="IP_FIN_PLAN_YEAR_MARKER_ROW">'ИП. Финансовый план'!$E$12</definedName>
    <definedName name="IP_ID">TEHSHEET!$E$58</definedName>
    <definedName name="IP_MAIN_ADD_HL_PROPERTY_COLUMN_MARKER">ИП!$AB$7</definedName>
    <definedName name="IP_MAIN_APPROVAL_DATE">ИП!$I$11:$I$13</definedName>
    <definedName name="IP_MAIN_CHANGE_DATE">ИП!$J$11:$J$13</definedName>
    <definedName name="IP_MAIN_CLAIM">ИП!$K$11:$K$13</definedName>
    <definedName name="IP_MAIN_DATE_PARKING">ИП!$L$5</definedName>
    <definedName name="IP_MAIN_DELETE_HL_COLUMN_MARKER">ИП!$E$7</definedName>
    <definedName name="IP_MAIN_DIFFERENTIATION_EVENTS_FLAG">ИП!$H$11:$H$13</definedName>
    <definedName name="IP_MAIN_END_DATE">ИП!$O$11:$O$13</definedName>
    <definedName name="IP_MAIN_FLAG_KS">ИП!$Y$11:$Y$13</definedName>
    <definedName name="IP_MAIN_FLAG_KS_COLUMN_MARKER">ИП!$Y$7</definedName>
    <definedName name="IP_MAIN_IP_FIN_PLAN_VISIBLE_FLAG">ИП!$H$15</definedName>
    <definedName name="IP_MAIN_LIST_IP_ID">ИП!$AD$11:$AD$13</definedName>
    <definedName name="IP_MAIN_LIST_NAME_IP">ИП!$G$11:$G$13</definedName>
    <definedName name="IP_MAIN_PERIOD_REALIZ_DATE">ИП!$P$11:$P$13</definedName>
    <definedName name="IP_MAIN_PR_IP_CHANGE_DATE">ИП!$X$11:$X$13</definedName>
    <definedName name="IP_MAIN_PR_IP_DATE">ИП!$T$11:$T$13</definedName>
    <definedName name="IP_MAIN_PR_IP_NAME">ИП!$Q$11:$Q$13</definedName>
    <definedName name="IP_MAIN_PR_IP_NUMBER">ИП!$S$11:$S$13</definedName>
    <definedName name="IP_MAIN_PR_IP_TYPE">ИП!$R$11:$R$13</definedName>
    <definedName name="IP_MAIN_START_DATE">ИП!$N$11:$N$13</definedName>
    <definedName name="IP_NAME_FORM">DATA_FORMS!$C$32</definedName>
    <definedName name="IP_QRE_ADD_HL_CLAIM_COLUMN_MARKER">'ИП. КНЭ'!$G$7</definedName>
    <definedName name="IP_QRE_ADD_HL_COLUMN_MARKER">'ИП. КНЭ'!$G$8</definedName>
    <definedName name="IP_QRE_DELETE_HL_COLUMN_MARKER">'ИП. КНЭ'!$E$8</definedName>
    <definedName name="IP_QRE_LIST_IP_ID">'ИП. КНЭ'!$A$18:$A$20</definedName>
    <definedName name="IP_QRE_NUM_COLUMN_MARKER">'ИП. КНЭ'!$F$8</definedName>
    <definedName name="IP_QRE_OTKO_FEATURES_BLOCK">'ИП. КНЭ'!$DY$8</definedName>
    <definedName name="IP_QRE_VOTV_FEATURES_BLOCK">'ИП. КНЭ'!$CY$8:$DX$8</definedName>
    <definedName name="IP_QRE_VSNA_FEATURES_BLOCK">'ИП. КНЭ'!$BT$8:$CX$8</definedName>
    <definedName name="IP_QRE_WARM_FEATURES_BLOCK">'ИП. КНЭ'!$O$8:$BS$8</definedName>
    <definedName name="IST_TE_ID">TEHSHEET!$E$64</definedName>
    <definedName name="kind_group_rates">TEHSHEET!$X$2:$X$14</definedName>
    <definedName name="kind_group_rates_load">TEHSHEET!$AP$2:$AP$11</definedName>
    <definedName name="kind_group_rates_load_ETS">TEHSHEET!$AP$2:$AP$11</definedName>
    <definedName name="kind_group_rates_load_filter">TEHSHEET!$AQ$2:$AQ$11</definedName>
    <definedName name="kind_group_rates_load_filter_ETS">TEHSHEET!$AQ$2:$AQ$11</definedName>
    <definedName name="kind_of_activity_WARM">TEHSHEET!$N$2:$N$8</definedName>
    <definedName name="kind_of_cons">TEHSHEET!$R$2:$R$6</definedName>
    <definedName name="kind_of_control_method">TEHSHEET!$K$2:$K$5</definedName>
    <definedName name="kind_of_control_method_filter">TEHSHEET!$L$2:$L$5</definedName>
    <definedName name="kind_of_data_type">TEHSHEET!$P$2:$P$3</definedName>
    <definedName name="kind_of_diameters">TEHSHEET!$T$2:$T$6</definedName>
    <definedName name="kind_of_diameters2">TEHSHEET!$AU$2:$AU$8</definedName>
    <definedName name="kind_of_diff">TEHSHEET!$AS$2:$AS$4</definedName>
    <definedName name="kind_of_fuel">TEHSHEET!$AK$2:$AK$9</definedName>
    <definedName name="kind_of_fuels">TEHSHEET!$BB$2:$BB$29</definedName>
    <definedName name="kind_of_heat_transfer">TEHSHEET!$O$2:$O$12</definedName>
    <definedName name="kind_of_heat_transfer2">TEHSHEET!$AH$2:$AH$7</definedName>
    <definedName name="kind_of_heat_transfer3">TEHSHEET!$AI$2:$AI$3</definedName>
    <definedName name="kind_of_load">TEHSHEET!$U$2:$U$7</definedName>
    <definedName name="kind_of_load2">TEHSHEET!$U$2:$U$4</definedName>
    <definedName name="kind_of_load3">TEHSHEET!$AF$2:$AF$5</definedName>
    <definedName name="kind_of_load4">TEHSHEET!$U$2:$U$5</definedName>
    <definedName name="kind_of_NDS">TEHSHEET!$H$2:$H$8</definedName>
    <definedName name="kind_of_NDS_tariff">TEHSHEET!$H$10:$H$11</definedName>
    <definedName name="kind_of_NDS_tariff_people">TEHSHEET!$H$16:$H$17</definedName>
    <definedName name="kind_of_nets">TEHSHEET!$S$2:$S$4</definedName>
    <definedName name="kind_of_org_type">TEHSHEET!$AZ$2:$AZ$5</definedName>
    <definedName name="kind_of_power_te_unit">TEHSHEET!$J$11:$J$12</definedName>
    <definedName name="kind_of_publication">TEHSHEET!$G$2:$G$3</definedName>
    <definedName name="kind_of_purchase_method">TEHSHEET!$K$11:$K$13</definedName>
    <definedName name="kind_of_scheme_in">TEHSHEET!$Q$2:$Q$5</definedName>
    <definedName name="kind_of_scheme_in2">TEHSHEET!$Q$3:$Q$5</definedName>
    <definedName name="kind_of_tariff_RHEAT">TEHSHEET!$E$19:$E$20</definedName>
    <definedName name="kind_of_tariff_unit">TEHSHEET!$J$7:$J$8</definedName>
    <definedName name="kind_of_unit">TEHSHEET!$J$2:$J$4</definedName>
    <definedName name="kind_of_volume_te_unit">TEHSHEET!$J$15:$J$16</definedName>
    <definedName name="kind_of_zak">TEHSHEET!$AM$2:$AM$7</definedName>
    <definedName name="KNE_NAME_FORM">DATA_FORMS!$C$8</definedName>
    <definedName name="kpp">Титульный!$F$34</definedName>
    <definedName name="LINK_RANGE">REESTR_LINK!$B$2:$B$3</definedName>
    <definedName name="List_H">TEHSHEET!$AW$2:$AW$25</definedName>
    <definedName name="List_M">TEHSHEET!$AX$2:$AX$61</definedName>
    <definedName name="LIST_MR_MO_OKTMO">REESTR_MO!$A$2:$D$709</definedName>
    <definedName name="LIST_MR_MO_OKTMO_FILTER">REESTR_MO_FILTER!$A$2:$D$708</definedName>
    <definedName name="ListForms">modSheetMain!$A:$A</definedName>
    <definedName name="logical">TEHSHEET!$D$2:$D$3</definedName>
    <definedName name="MONTH">TEHSHEET!$E$2:$E$13</definedName>
    <definedName name="MONTH_IP_LIST">TEHSHEET!$BF$2:$BF$13</definedName>
    <definedName name="nalog">Титульный!$F$37</definedName>
    <definedName name="name_rates_4">TEHSHEET!$AA$2:$AA$3</definedName>
    <definedName name="name_rates_4_filter">TEHSHEET!$AB$2:$AB$3</definedName>
    <definedName name="name_rates_8">TEHSHEET!$AC$2:$AC$4</definedName>
    <definedName name="name_rates_8_filter">TEHSHEET!$AD$2:$AD$4</definedName>
    <definedName name="NameTemplatesInListMO">TEHSHEET!$K$45</definedName>
    <definedName name="NameTemplatesInTitle">TEHSHEET!$J$45</definedName>
    <definedName name="NameTemplatesInTitleList">TEHSHEET!$J$46:$J$53</definedName>
    <definedName name="NTAR_ID">TEHSHEET!$E$61</definedName>
    <definedName name="OFFER_DPR">Предложение!$L$117</definedName>
    <definedName name="OFFER_METHOD">Предложение!$K$24:$K$115</definedName>
    <definedName name="OFFER_METHOD_FLAG">TEHSHEET!$L$6</definedName>
    <definedName name="OFFER_TARIFF_A_1">Предложение!$24:$40</definedName>
    <definedName name="OFFER_TARIFF_A_2">Предложение!$119:$135</definedName>
    <definedName name="OFFER_TARIFF_A_3">Предложение!$212:$228</definedName>
    <definedName name="OFFER_TARIFF_A_4">Предложение!$305:$321</definedName>
    <definedName name="OFFER_TARIFF_A_5">Предложение!$398:$414</definedName>
    <definedName name="OFFER_TARIFF_A_COLDVSNA_1">Предложение!$83:$85</definedName>
    <definedName name="OFFER_TARIFF_A_COLDVSNA_2">Предложение!$178:$180</definedName>
    <definedName name="OFFER_TARIFF_A_COLDVSNA_3">Предложение!$271:$273</definedName>
    <definedName name="OFFER_TARIFF_A_COLDVSNA_4">Предложение!$364:$366</definedName>
    <definedName name="OFFER_TARIFF_A_COLDVSNA_5">Предложение!$457:$459</definedName>
    <definedName name="OFFER_TARIFF_A_HOTVSNA_1">Предложение!$98:$100</definedName>
    <definedName name="OFFER_TARIFF_A_HOTVSNA_2">Предложение!$193:$195</definedName>
    <definedName name="OFFER_TARIFF_A_HOTVSNA_3">Предложение!$286:$288</definedName>
    <definedName name="OFFER_TARIFF_A_HOTVSNA_4">Предложение!$379:$381</definedName>
    <definedName name="OFFER_TARIFF_A_HOTVSNA_5">Предложение!$472:$474</definedName>
    <definedName name="OFFER_TARIFF_A_VOTV_1">Предложение!$107:$109</definedName>
    <definedName name="OFFER_TARIFF_A_VOTV_2">Предложение!$202:$204</definedName>
    <definedName name="OFFER_TARIFF_A_VOTV_3">Предложение!$295:$297</definedName>
    <definedName name="OFFER_TARIFF_A_VOTV_4">Предложение!$388:$390</definedName>
    <definedName name="OFFER_TARIFF_A_VOTV_5">Предложение!$481:$483</definedName>
    <definedName name="OFFER_TARIFF_B_1">Предложение!$41:$49</definedName>
    <definedName name="OFFER_TARIFF_B_2">Предложение!$136:$144</definedName>
    <definedName name="OFFER_TARIFF_B_3">Предложение!$229:$237</definedName>
    <definedName name="OFFER_TARIFF_B_4">Предложение!$322:$330</definedName>
    <definedName name="OFFER_TARIFF_B_5">Предложение!$415:$423</definedName>
    <definedName name="OFFER_TARIFF_B_COLDVSNA_1">Предложение!$86:$88</definedName>
    <definedName name="OFFER_TARIFF_B_COLDVSNA_2">Предложение!$181:$183</definedName>
    <definedName name="OFFER_TARIFF_B_COLDVSNA_3">Предложение!$274:$276</definedName>
    <definedName name="OFFER_TARIFF_B_COLDVSNA_4">Предложение!$367:$369</definedName>
    <definedName name="OFFER_TARIFF_B_COLDVSNA_5">Предложение!$460:$462</definedName>
    <definedName name="OFFER_TARIFF_B_HOTVSNA_1">Предложение!$101:$103</definedName>
    <definedName name="OFFER_TARIFF_B_HOTVSNA_2">Предложение!$196:$198</definedName>
    <definedName name="OFFER_TARIFF_B_HOTVSNA_3">Предложение!$289:$291</definedName>
    <definedName name="OFFER_TARIFF_B_HOTVSNA_4">Предложение!$382:$384</definedName>
    <definedName name="OFFER_TARIFF_B_HOTVSNA_5">Предложение!$475:$477</definedName>
    <definedName name="OFFER_TARIFF_B_VOTV_1">Предложение!$110:$112</definedName>
    <definedName name="OFFER_TARIFF_B_VOTV_2">Предложение!$205:$207</definedName>
    <definedName name="OFFER_TARIFF_B_VOTV_3">Предложение!$298:$300</definedName>
    <definedName name="OFFER_TARIFF_B_VOTV_4">Предложение!$391:$393</definedName>
    <definedName name="OFFER_TARIFF_B_VOTV_5">Предложение!$484:$486</definedName>
    <definedName name="OFFER_TARIFF_C_1">Предложение!$50:$54</definedName>
    <definedName name="OFFER_TARIFF_C_2">Предложение!$145:$149</definedName>
    <definedName name="OFFER_TARIFF_C_3">Предложение!$238:$242</definedName>
    <definedName name="OFFER_TARIFF_C_4">Предложение!$331:$335</definedName>
    <definedName name="OFFER_TARIFF_C_5">Предложение!$424:$428</definedName>
    <definedName name="OFFER_TARIFF_C_COLDVSNA_1">Предложение!$89:$91</definedName>
    <definedName name="OFFER_TARIFF_C_COLDVSNA_2">Предложение!$184:$186</definedName>
    <definedName name="OFFER_TARIFF_C_COLDVSNA_3">Предложение!$277:$279</definedName>
    <definedName name="OFFER_TARIFF_C_COLDVSNA_4">Предложение!$370:$372</definedName>
    <definedName name="OFFER_TARIFF_C_COLDVSNA_5">Предложение!$463:$465</definedName>
    <definedName name="OFFER_TARIFF_C_HOTVSNA_1">Предложение!$104:$106</definedName>
    <definedName name="OFFER_TARIFF_C_HOTVSNA_2">Предложение!$199:$201</definedName>
    <definedName name="OFFER_TARIFF_C_HOTVSNA_3">Предложение!$292:$294</definedName>
    <definedName name="OFFER_TARIFF_C_HOTVSNA_4">Предложение!$385:$387</definedName>
    <definedName name="OFFER_TARIFF_C_HOTVSNA_5">Предложение!$478:$480</definedName>
    <definedName name="OFFER_TARIFF_C_VOTV_1">Предложение!$113:$115</definedName>
    <definedName name="OFFER_TARIFF_C_VOTV_2">Предложение!$208:$210</definedName>
    <definedName name="OFFER_TARIFF_C_VOTV_3">Предложение!$301:$303</definedName>
    <definedName name="OFFER_TARIFF_C_VOTV_4">Предложение!$394:$396</definedName>
    <definedName name="OFFER_TARIFF_C_VOTV_5">Предложение!$487:$489</definedName>
    <definedName name="OFFER_TARIFF_D_1">Предложение!$55:$67</definedName>
    <definedName name="OFFER_TARIFF_D_2">Предложение!$150:$162</definedName>
    <definedName name="OFFER_TARIFF_D_3">Предложение!$243:$255</definedName>
    <definedName name="OFFER_TARIFF_D_4">Предложение!$336:$348</definedName>
    <definedName name="OFFER_TARIFF_D_5">Предложение!$429:$441</definedName>
    <definedName name="OFFER_TARIFF_D_COLDVSNA_1">Предложение!$92:$94</definedName>
    <definedName name="OFFER_TARIFF_D_COLDVSNA_2">Предложение!$187:$189</definedName>
    <definedName name="OFFER_TARIFF_D_COLDVSNA_3">Предложение!$280:$282</definedName>
    <definedName name="OFFER_TARIFF_D_COLDVSNA_4">Предложение!$373:$375</definedName>
    <definedName name="OFFER_TARIFF_D_COLDVSNA_5">Предложение!$466:$468</definedName>
    <definedName name="OFFER_TARIFF_E_COLDVSNA_1">Предложение!$95:$97</definedName>
    <definedName name="OFFER_TARIFF_E_COLDVSNA_2">Предложение!$190:$192</definedName>
    <definedName name="OFFER_TARIFF_E_COLDVSNA_3">Предложение!$283:$285</definedName>
    <definedName name="OFFER_TARIFF_E_COLDVSNA_4">Предложение!$376:$378</definedName>
    <definedName name="OFFER_TARIFF_E_COLDVSNA_5">Предложение!$469:$471</definedName>
    <definedName name="OFFER_TARIFF_E1_1">Предложение!$68:$70</definedName>
    <definedName name="OFFER_TARIFF_E1_2">Предложение!$163:$165</definedName>
    <definedName name="OFFER_TARIFF_E1_3">Предложение!$256:$258</definedName>
    <definedName name="OFFER_TARIFF_E1_4">Предложение!$349:$351</definedName>
    <definedName name="OFFER_TARIFF_E1_5">Предложение!$442:$444</definedName>
    <definedName name="OFFER_TARIFF_E2_1">Предложение!$71:$73</definedName>
    <definedName name="OFFER_TARIFF_E2_2">Предложение!$166:$168</definedName>
    <definedName name="OFFER_TARIFF_E2_3">Предложение!$259:$261</definedName>
    <definedName name="OFFER_TARIFF_E2_4">Предложение!$352:$354</definedName>
    <definedName name="OFFER_TARIFF_E2_5">Предложение!$445:$447</definedName>
    <definedName name="OFFER_TARIFF_F_1">Предложение!$74:$76</definedName>
    <definedName name="OFFER_TARIFF_F_2">Предложение!$169:$171</definedName>
    <definedName name="OFFER_TARIFF_F_3">Предложение!$262:$264</definedName>
    <definedName name="OFFER_TARIFF_F_4">Предложение!$355:$357</definedName>
    <definedName name="OFFER_TARIFF_F_5">Предложение!$448:$450</definedName>
    <definedName name="OFFER_TARIFF_G_1">Предложение!$77:$79</definedName>
    <definedName name="OFFER_TARIFF_G_2">Предложение!$172:$174</definedName>
    <definedName name="OFFER_TARIFF_G_3">Предложение!$265:$267</definedName>
    <definedName name="OFFER_TARIFF_G_4">Предложение!$358:$360</definedName>
    <definedName name="OFFER_TARIFF_G_5">Предложение!$451:$453</definedName>
    <definedName name="OFFER_TARIFF_H_1">Предложение!$80:$82</definedName>
    <definedName name="org">Титульный!$F$31</definedName>
    <definedName name="Org_Address">Титульный!$F$64:$F$64</definedName>
    <definedName name="ORG_END_DATE">TEHSHEET!$F$29</definedName>
    <definedName name="ORG_INFO_DATE_OGRN">'Общая информация об организации'!$F$17</definedName>
    <definedName name="ORG_INFO_DATE_PARKING">'Общая информация об организации'!$G$4</definedName>
    <definedName name="ORG_INFO_DATE_UNI_TS">'Общая информация об организации'!$F$21</definedName>
    <definedName name="ORG_INFO_EMAIL">'Общая информация об организации'!$F$44</definedName>
    <definedName name="ORG_INFO_ET">'Общая информация об организации'!$F$20:$F$24</definedName>
    <definedName name="ORG_INFO_ET_CYAN">'Общая информация об организации'!$F$20:$F$23</definedName>
    <definedName name="ORG_INFO_FLAG_INVEST">'Общая информация об организации'!$F$51</definedName>
    <definedName name="ORG_INFO_NAME_FORM">DATA_FORMS!$C$4</definedName>
    <definedName name="ORG_INFO_P_NOTE_MAIN">DATA_NPA!$N$3</definedName>
    <definedName name="ORG_INFO_RESP_EMAIL">'Общая информация об организации'!$F$32</definedName>
    <definedName name="ORG_INFO_URL">'Общая информация об организации'!$F$43</definedName>
    <definedName name="Org_main">Титульный!$F$65</definedName>
    <definedName name="ORG_START_DATE">TEHSHEET!$E$29</definedName>
    <definedName name="ORG_TERRITORY_FIRST_MO">'Сведения по территориям'!$G$12</definedName>
    <definedName name="ORG_TERRITORY_FLAG_INTERNET">'Сведения по территориям'!$J$11:$J$13</definedName>
    <definedName name="ORG_TERRITORY_LINK">'Сведения по территориям'!$K$11:$K$13</definedName>
    <definedName name="ORG_TERRITORY_NAME_COL">'Сведения по территориям'!$G$1:$I$1</definedName>
    <definedName name="ORG_TERRITORY_POINT_NUMBER_1">'Сведения по территориям'!$A:$A</definedName>
    <definedName name="ORG_VD_EM">'Общая информация по ВД'!$K$11:$K$13</definedName>
    <definedName name="ORG_VD_FIRST_ROW">'Общая информация по ВД'!$12:$12</definedName>
    <definedName name="ORG_VD_FIRST_SYSTEM">'Общая информация по ВД'!$E$12</definedName>
    <definedName name="ORG_VD_NAME_FORM">DATA_FORMS!$C$31</definedName>
    <definedName name="ORG_VD_SYSTEM">'Общая информация по ВД'!$E$11:$E$13</definedName>
    <definedName name="ORG_VD_TKO_ADD_HL_ACTIVITY_COLUMN_MARKER">'Виды объектов'!$E$9</definedName>
    <definedName name="ORG_VD_TKO_ADD_HL_TYPE_OBJECT_COLUMN_MARKER">'Виды объектов'!$H$9</definedName>
    <definedName name="ORG_VD_TKO_DEL_HL_ACTIVITY_COLUMN_MARKER">'Виды объектов'!$C$9</definedName>
    <definedName name="ORG_VD_TKO_DEL_HL_TYPE_OBJECT_COLUMN_MARKER">'Виды объектов'!$F$9</definedName>
    <definedName name="ORG_VD_TKO_VD">'Виды объектов'!$E$13:$E$16</definedName>
    <definedName name="ORG_VD_TKO_VD_ID">'Виды объектов'!$O$13:$O$16</definedName>
    <definedName name="ORG_VD_VD">'Общая информация по ВД'!$F$11:$F$13</definedName>
    <definedName name="ORG_VD_VD_ID">'Общая информация по ВД'!$AM$11:$AM$13</definedName>
    <definedName name="OTKO_FIN_SRC_LIST">TEHSHEET!$BN$4:$BN$18</definedName>
    <definedName name="OTKO_FIN_SRC_VLD_LIST">TEHSHEET!$BN$39:$BN$48</definedName>
    <definedName name="OTKO_IP_EVENT_CI_STAGE_LIST">TEHSHEET!$BN$97:$BN$104</definedName>
    <definedName name="OTKO_IP_EVENT_GROUP_LIST">TEHSHEET!$BN$69:$BN$74</definedName>
    <definedName name="OTKO_IP_EVENT_TYPE_LIST">TEHSHEET!$BN$108</definedName>
    <definedName name="otv_lico_name">Титульный!$F$67:$F$70</definedName>
    <definedName name="P_T_TERMS_LINK">Договоры!$F$12:$F$22</definedName>
    <definedName name="pCng_P_T_TERMS_1">Договоры!$E$14:$E$15</definedName>
    <definedName name="pCng_P_T_TERMS_2">Договоры!$E$17:$E$18</definedName>
    <definedName name="pCng_P_T_TERMS_3">Договоры!$E$21:$E$22</definedName>
    <definedName name="pCng_P_T_TERMS_4">Договоры!$E$25:$E$26</definedName>
    <definedName name="pDel_B_STANDARTS">'Стандарты качества'!$H$12:$H$13</definedName>
    <definedName name="pDel_CHANGE_INFO">'Сведения об изменении'!$C$12:$C$14</definedName>
    <definedName name="pDel_Comm">Комментарии!$C$11:$C$12</definedName>
    <definedName name="pDel_DIFFERENTIATION_AREA">Дифференциация!$G$12:$G$16</definedName>
    <definedName name="pDel_DIFFERENTIATION_SYSTEM">Дифференциация!$K$12:$K$16</definedName>
    <definedName name="pDel_DIFFERENTIATION_VD">Дифференциация!$C$12:$C$16</definedName>
    <definedName name="pDel_ED">ЭД!$C$12:$C$13</definedName>
    <definedName name="pDel_IP_DETAILED_EVENT">'ИП. Детализация'!$G$13</definedName>
    <definedName name="pDel_IP_DETAILED_IST_FIN">'ИП. Детализация'!$Z$13</definedName>
    <definedName name="pDel_IP_DETAILED_OBJECT">'ИП. Детализация'!$N$13</definedName>
    <definedName name="pDel_IP_MAIN">ИП!$E$11:$E$13</definedName>
    <definedName name="pDel_IP_MAIN_PROPERTY">ИП!$Z$11:$Z$13</definedName>
    <definedName name="pDel_IP_QRE_CLAIM">'ИП. КНЭ'!$E$18:$E$20</definedName>
    <definedName name="pDel_List07">'Сведения об изменении'!$C$11:$C$14</definedName>
    <definedName name="pDel_LT_AREA">'Список территорий'!$C$12:$C$21</definedName>
    <definedName name="pDel_LT_MO">'Список территорий'!$D$11:$D$21</definedName>
    <definedName name="pDel_ORG_INFO">'Общая информация об организации'!$C$40:$C$50</definedName>
    <definedName name="pDel_ORG_TERRITORY">'Сведения по территориям'!$D$11:$D$13</definedName>
    <definedName name="pDel_ORG_VD">'Общая информация по ВД'!$C$11:$C$13</definedName>
    <definedName name="pDel_P_PROCEDURE_TC">'Порядок ТП'!$C$26:$C$41</definedName>
    <definedName name="pDel_P_T_TERMS">Договоры!$C$14:$C$26</definedName>
    <definedName name="pDel_Q_LIMIT">Ограничения!$C$31</definedName>
    <definedName name="pDel_Q_TP">ТП!$C$14</definedName>
    <definedName name="pDel_R_B_Purch">'Сведения о закупках'!$C$13:$C$14</definedName>
    <definedName name="periodEnd">Титульный!$F$12</definedName>
    <definedName name="PeriodIsEmpty">TEHSHEET!$I$45</definedName>
    <definedName name="PeriodIsEmptyList">TEHSHEET!$I$46:$I$53</definedName>
    <definedName name="periodStart">Титульный!$F$11</definedName>
    <definedName name="pHeader_B_FHD">'Показатели ФХД'!$29:$29</definedName>
    <definedName name="pHeader_B_FHD_TKO">'ТКО. Показатели ФХД'!$14:$14</definedName>
    <definedName name="pHeader_B_FHD_TKO_TRANS">'ТКО. Транс. Показатели ФХД'!$14:$14</definedName>
    <definedName name="pHeader_B_KNE">'Показатели КНЭ'!$11:$11</definedName>
    <definedName name="pHeader_B_OTEP">'Показатели ОТЭП'!$14:$14</definedName>
    <definedName name="pHeader_Q_LIMIT">Ограничения!$30:$30</definedName>
    <definedName name="pHeader_Q_PH">'Потребительские характеристики'!$13:$13</definedName>
    <definedName name="pHeader_Q_TP">ТП!$13:$13</definedName>
    <definedName name="pHeader_ver_B_FHD">'Показатели ФХД'!$C:$C</definedName>
    <definedName name="pHeader_ver_B_FHD_TKO">'ТКО. Показатели ФХД'!$C:$C</definedName>
    <definedName name="pHeader_ver_B_FHD_TKO_TRANS">'ТКО. Транс. Показатели ФХД'!$C:$C</definedName>
    <definedName name="pHeader_ver_B_KNE">'Показатели КНЭ'!$B:$B</definedName>
    <definedName name="pHeader_ver_B_OTEP">'Показатели ОТЭП'!$G:$G</definedName>
    <definedName name="pHeader_ver_P_PROCEDURE_TC">'Порядок ТП'!$A$21:$A$41</definedName>
    <definedName name="pHeader_ver_Q_LIMIT">Ограничения!$E:$E</definedName>
    <definedName name="pIns_B_FHD_1">'Показатели ФХД'!$F$40</definedName>
    <definedName name="pIns_B_FHD_2">'Показатели ФХД'!$F$71</definedName>
    <definedName name="pIns_B_FHD_3">'Показатели ФХД'!$F$101</definedName>
    <definedName name="pIns_B_FHD_4">'Показатели ФХД'!$F$119</definedName>
    <definedName name="pIns_B_FHD_5">'Показатели ФХД'!$F$122</definedName>
    <definedName name="pIns_B_FHD_6">'Показатели ФХД'!$F$125</definedName>
    <definedName name="pIns_B_FHD_DIFFERENTIATION">'Показатели ФХД'!$J$24</definedName>
    <definedName name="pIns_B_FHD_TKO_2">'ТКО. Показатели ФХД'!$F$34</definedName>
    <definedName name="pIns_B_FHD_TKO_DIFFERENTIATION">'ТКО. Показатели ФХД'!$J$9</definedName>
    <definedName name="pIns_B_FHD_TKO_TRANS_2">'ТКО. Транс. Показатели ФХД'!$F$29</definedName>
    <definedName name="pIns_B_FHD_TKO_TRANS_DIFFERENTIATION">'ТКО. Транс. Показатели ФХД'!$J$9</definedName>
    <definedName name="pIns_B_FHD20_DIFFERENTIATION">'Показатели ФХД &gt;20%'!$D$23</definedName>
    <definedName name="pIns_B_KNE_DIFFERENTIATION">'Показатели КНЭ'!$K$6</definedName>
    <definedName name="pIns_B_OTEP_2">'Показатели ОТЭП'!$J$18</definedName>
    <definedName name="pIns_B_OTEP_DIFFERENTIATION">'Показатели ОТЭП'!$N$9</definedName>
    <definedName name="pIns_B_STANDARTS">'Стандарты качества'!$J$13</definedName>
    <definedName name="pIns_CHANGE_INFO">'Сведения об изменении'!$E$14</definedName>
    <definedName name="pIns_Comm">Комментарии!$E$12</definedName>
    <definedName name="pIns_ED">ЭД!$E$13</definedName>
    <definedName name="pIns_IP_DETAILED">'ИП. Детализация'!$F$14</definedName>
    <definedName name="pIns_IP_FIN_PLAN">'ИП. Финансовый план'!$K$8</definedName>
    <definedName name="pIns_IP_MAIN">ИП!$G$13</definedName>
    <definedName name="pIns_IP_QRE">'ИП. КНЭ'!$F$21</definedName>
    <definedName name="pIns_List07">'Сведения об изменении'!$E$14</definedName>
    <definedName name="pIns_LT_AREA">'Список территорий'!$G$21</definedName>
    <definedName name="pIns_ORG_INFO_1">'Общая информация об организации'!$E$42</definedName>
    <definedName name="pIns_ORG_INFO_2">'Общая информация об организации'!$E$50</definedName>
    <definedName name="pIns_ORG_INFO_3">'Общая информация об организации'!$E$24</definedName>
    <definedName name="pIns_ORG_TERRITORY">'Сведения по территориям'!$G$13</definedName>
    <definedName name="pIns_ORG_VD_1">'Общая информация по ВД'!$E$13</definedName>
    <definedName name="pIns_ORG_VD_2">'Общая информация по ВД'!$F$13</definedName>
    <definedName name="pIns_ORG_VD_TKO_1">'Виды объектов'!$E$16</definedName>
    <definedName name="pIns_P_PROCEDURE_TC_1">'Порядок ТП'!$E$27</definedName>
    <definedName name="pIns_P_PROCEDURE_TC_2">'Порядок ТП'!$E$31</definedName>
    <definedName name="pIns_P_PROCEDURE_TC_3">'Порядок ТП'!$E$35</definedName>
    <definedName name="pIns_P_PROCEDURE_TC_4">'Порядок ТП'!$E$38</definedName>
    <definedName name="pIns_P_PROCEDURE_TC_5">'Порядок ТП'!$E$41</definedName>
    <definedName name="pIns_P_T_TERMS_1">Договоры!$E$15</definedName>
    <definedName name="pIns_P_T_TERMS_2">Договоры!$E$18</definedName>
    <definedName name="pIns_P_T_TERMS_3">Договоры!$E$22</definedName>
    <definedName name="pIns_P_T_TERMS_4">Договоры!$E$26</definedName>
    <definedName name="pIns_PT_VTAR_A">'ТС. Т-ТЭ | &gt;=25МВт'!$T$179</definedName>
    <definedName name="pIns_PT_VTAR_A_COLDVSNA">'ХВС. Т-пит'!$T$53</definedName>
    <definedName name="pIns_PT_VTAR_A_COLDVSNA_OFFER_1">Предложение!$G$85</definedName>
    <definedName name="pIns_PT_VTAR_A_COLDVSNA_OFFER_2">Предложение!$G$180</definedName>
    <definedName name="pIns_PT_VTAR_A_COLDVSNA_OFFER_3">Предложение!$G$273</definedName>
    <definedName name="pIns_PT_VTAR_A_COLDVSNA_OFFER_4">Предложение!$G$366</definedName>
    <definedName name="pIns_PT_VTAR_A_COLDVSNA_OFFER_5">Предложение!$G$459</definedName>
    <definedName name="pIns_PT_VTAR_A_COLDVSNA_OFFER5">Предложение!$G$459</definedName>
    <definedName name="pIns_PT_VTAR_A_HOTVSNA">'ГВС. Т-гор.вода'!$T$54</definedName>
    <definedName name="pIns_PT_VTAR_A_HOTVSNA_OFFER_1">Предложение!$G$100</definedName>
    <definedName name="pIns_PT_VTAR_A_HOTVSNA_OFFER_2">Предложение!$G$195</definedName>
    <definedName name="pIns_PT_VTAR_A_HOTVSNA_OFFER_3">Предложение!$G$288</definedName>
    <definedName name="pIns_PT_VTAR_A_HOTVSNA_OFFER_4">Предложение!$G$381</definedName>
    <definedName name="pIns_PT_VTAR_A_HOTVSNA_OFFER_5">Предложение!$G$474</definedName>
    <definedName name="pIns_PT_VTAR_A_OFFER_1">Предложение!$G$40</definedName>
    <definedName name="pIns_PT_VTAR_A_OFFER_2">Предложение!$G$135</definedName>
    <definedName name="pIns_PT_VTAR_A_OFFER_3">Предложение!$G$228</definedName>
    <definedName name="pIns_PT_VTAR_A_OFFER_4">Предложение!$G$321</definedName>
    <definedName name="pIns_PT_VTAR_A_OFFER_5">Предложение!$G$414</definedName>
    <definedName name="pIns_PT_VTAR_A_VOTV">'ВО. Т-во'!$T$53</definedName>
    <definedName name="pIns_PT_VTAR_A_VOTV_OFFER_1">Предложение!$G$109</definedName>
    <definedName name="pIns_PT_VTAR_A_VOTV_OFFER_2">Предложение!$G$204</definedName>
    <definedName name="pIns_PT_VTAR_A_VOTV_OFFER_3">Предложение!$G$297</definedName>
    <definedName name="pIns_PT_VTAR_A_VOTV_OFFER_4">Предложение!$G$390</definedName>
    <definedName name="pIns_PT_VTAR_A_VOTV_OFFER_5">Предложение!$G$483</definedName>
    <definedName name="pIns_PT_VTAR_B">'ТС. Т-ТЭ | ТСО'!$T$111</definedName>
    <definedName name="pIns_PT_VTAR_B_COLDVSNA">'ХВС. Т-тех'!$T$53</definedName>
    <definedName name="pIns_PT_VTAR_B_COLDVSNA_OFFER_1">Предложение!$G$88</definedName>
    <definedName name="pIns_PT_VTAR_B_COLDVSNA_OFFER_2">Предложение!$G$183</definedName>
    <definedName name="pIns_PT_VTAR_B_COLDVSNA_OFFER_3">Предложение!$G$276</definedName>
    <definedName name="pIns_PT_VTAR_B_COLDVSNA_OFFER_4">Предложение!$G$369</definedName>
    <definedName name="pIns_PT_VTAR_B_COLDVSNA_OFFER_5">Предложение!$G$462</definedName>
    <definedName name="pIns_PT_VTAR_B_HOTVSNA">'ГВС. Т-транс'!$T$54</definedName>
    <definedName name="pIns_PT_VTAR_B_HOTVSNA_OFFER_1">Предложение!$G$103</definedName>
    <definedName name="pIns_PT_VTAR_B_HOTVSNA_OFFER_2">Предложение!$G$198</definedName>
    <definedName name="pIns_PT_VTAR_B_HOTVSNA_OFFER_3">Предложение!$G$291</definedName>
    <definedName name="pIns_PT_VTAR_B_HOTVSNA_OFFER_4">Предложение!$G$384</definedName>
    <definedName name="pIns_PT_VTAR_B_HOTVSNA_OFFER_5">Предложение!$G$477</definedName>
    <definedName name="pIns_PT_VTAR_B_OFFER_1">Предложение!$G$49</definedName>
    <definedName name="pIns_PT_VTAR_B_OFFER_2">Предложение!$G$144</definedName>
    <definedName name="pIns_PT_VTAR_B_OFFER_3">Предложение!$G$237</definedName>
    <definedName name="pIns_PT_VTAR_B_OFFER_4">Предложение!$G$330</definedName>
    <definedName name="pIns_PT_VTAR_B_OFFER_5">Предложение!$G$423</definedName>
    <definedName name="pIns_PT_VTAR_B_VOTV">'ВО. Т-транс'!$T$53</definedName>
    <definedName name="pIns_PT_VTAR_B_VOTV_OFFER_1">Предложение!$G$112</definedName>
    <definedName name="pIns_PT_VTAR_B_VOTV_OFFER_2">Предложение!$G$207</definedName>
    <definedName name="pIns_PT_VTAR_B_VOTV_OFFER_3">Предложение!$G$300</definedName>
    <definedName name="pIns_PT_VTAR_B_VOTV_OFFER_4">Предложение!$G$393</definedName>
    <definedName name="pIns_PT_VTAR_B_VOTV_OFFER_5">Предложение!$G$486</definedName>
    <definedName name="pIns_PT_VTAR_C">'ТС. Т-ТН'!$T$95</definedName>
    <definedName name="pIns_PT_VTAR_C_COLDVSNA">'ХВС. Т-транс'!$T$53</definedName>
    <definedName name="pIns_PT_VTAR_C_COLDVSNA_OFFER_1">Предложение!$G$91</definedName>
    <definedName name="pIns_PT_VTAR_C_COLDVSNA_OFFER_2">Предложение!$G$186</definedName>
    <definedName name="pIns_PT_VTAR_C_COLDVSNA_OFFER_3">Предложение!$G$279</definedName>
    <definedName name="pIns_PT_VTAR_C_COLDVSNA_OFFER_4">Предложение!$G$372</definedName>
    <definedName name="pIns_PT_VTAR_C_COLDVSNA_OFFER_5">Предложение!$G$465</definedName>
    <definedName name="pIns_PT_VTAR_C_HOTVSNA">'ГВС. Т-подкл'!$T$63</definedName>
    <definedName name="pIns_PT_VTAR_C_HOTVSNA_OFFER_1">Предложение!$G$106</definedName>
    <definedName name="pIns_PT_VTAR_C_HOTVSNA_OFFER_2">Предложение!$G$201</definedName>
    <definedName name="pIns_PT_VTAR_C_HOTVSNA_OFFER_3">Предложение!$G$294</definedName>
    <definedName name="pIns_PT_VTAR_C_HOTVSNA_OFFER_4">Предложение!$G$387</definedName>
    <definedName name="pIns_PT_VTAR_C_HOTVSNA_OFFER_5">Предложение!$G$480</definedName>
    <definedName name="pIns_PT_VTAR_C_OFFER_1">Предложение!$G$54</definedName>
    <definedName name="pIns_PT_VTAR_C_OFFER_2">Предложение!$G$149</definedName>
    <definedName name="pIns_PT_VTAR_C_OFFER_3">Предложение!$G$242</definedName>
    <definedName name="pIns_PT_VTAR_C_OFFER_4">Предложение!$G$335</definedName>
    <definedName name="pIns_PT_VTAR_C_OFFER_5">Предложение!$G$428</definedName>
    <definedName name="pIns_PT_VTAR_C_VOTV">'ВО. Т-подкл'!$T$63</definedName>
    <definedName name="pIns_PT_VTAR_C_VOTV_OFFER_1">Предложение!$G$115</definedName>
    <definedName name="pIns_PT_VTAR_C_VOTV_OFFER_2">Предложение!$G$210</definedName>
    <definedName name="pIns_PT_VTAR_C_VOTV_OFFER_3">Предложение!$G$303</definedName>
    <definedName name="pIns_PT_VTAR_C_VOTV_OFFER_4">Предложение!$G$396</definedName>
    <definedName name="pIns_PT_VTAR_C_VOTV_OFFER_5">Предложение!$G$489</definedName>
    <definedName name="pIns_PT_VTAR_D">'ТС. Т-гор.вода'!$V$145</definedName>
    <definedName name="pIns_PT_VTAR_D_COLDVSNA">'ХВС. Т-подвоз'!$T$53</definedName>
    <definedName name="pIns_PT_VTAR_D_COLDVSNA_OFFER_1">Предложение!$G$94</definedName>
    <definedName name="pIns_PT_VTAR_D_COLDVSNA_OFFER_2">Предложение!$G$189</definedName>
    <definedName name="pIns_PT_VTAR_D_COLDVSNA_OFFER_3">Предложение!$G$282</definedName>
    <definedName name="pIns_PT_VTAR_D_COLDVSNA_OFFER_4">Предложение!$G$375</definedName>
    <definedName name="pIns_PT_VTAR_D_COLDVSNA_OFFER_5">Предложение!$G$468</definedName>
    <definedName name="pIns_PT_VTAR_D_OFFER_1">Предложение!$G$67</definedName>
    <definedName name="pIns_PT_VTAR_D_OFFER_2">Предложение!$G$162</definedName>
    <definedName name="pIns_PT_VTAR_D_OFFER_3">Предложение!$G$255</definedName>
    <definedName name="pIns_PT_VTAR_D_OFFER_4">Предложение!$G$348</definedName>
    <definedName name="pIns_PT_VTAR_D_OFFER_5">Предложение!$G$441</definedName>
    <definedName name="pIns_PT_VTAR_E_COLDVSNA">'ХВС. Т-подкл'!$T$63</definedName>
    <definedName name="pIns_PT_VTAR_E_COLDVSNA_OFFER_1">Предложение!$G$97</definedName>
    <definedName name="pIns_PT_VTAR_E_COLDVSNA_OFFER_2">Предложение!$G$192</definedName>
    <definedName name="pIns_PT_VTAR_E_COLDVSNA_OFFER_3">Предложение!$G$285</definedName>
    <definedName name="pIns_PT_VTAR_E_COLDVSNA_OFFER_4">Предложение!$G$378</definedName>
    <definedName name="pIns_PT_VTAR_E_COLDVSNA_OFFER_5">Предложение!$G$471</definedName>
    <definedName name="pIns_PT_VTAR_E1">'ТС. Т-передача ТЭ'!$T$57</definedName>
    <definedName name="pIns_PT_VTAR_E1_OFFER_1">Предложение!$G$70</definedName>
    <definedName name="pIns_PT_VTAR_E1_OFFER_2">Предложение!$G$165</definedName>
    <definedName name="pIns_PT_VTAR_E1_OFFER_3">Предложение!$G$258</definedName>
    <definedName name="pIns_PT_VTAR_E1_OFFER_4">Предложение!$G$351</definedName>
    <definedName name="pIns_PT_VTAR_E1_OFFER_5">Предложение!$G$444</definedName>
    <definedName name="pIns_PT_VTAR_E2">'ТС. Т-передача ТН'!$T$57</definedName>
    <definedName name="pIns_PT_VTAR_E2_OFFER_1">Предложение!$G$73</definedName>
    <definedName name="pIns_PT_VTAR_E2_OFFER_2">Предложение!$G$168</definedName>
    <definedName name="pIns_PT_VTAR_E2_OFFER_3">Предложение!$G$261</definedName>
    <definedName name="pIns_PT_VTAR_E2_OFFER_4">Предложение!$G$354</definedName>
    <definedName name="pIns_PT_VTAR_E2_OFFER_5">Предложение!$G$447</definedName>
    <definedName name="pIns_PT_VTAR_F">'ТС. Резерв мощности'!$T$81</definedName>
    <definedName name="pIns_PT_VTAR_F_OFFER_1">Предложение!$G$76</definedName>
    <definedName name="pIns_PT_VTAR_F_OFFER_2">Предложение!$G$171</definedName>
    <definedName name="pIns_PT_VTAR_F_OFFER_3">Предложение!$G$264</definedName>
    <definedName name="pIns_PT_VTAR_F_OFFER_4">Предложение!$G$357</definedName>
    <definedName name="pIns_PT_VTAR_F_OFFER_5">Предложение!$G$450</definedName>
    <definedName name="pIns_PT_VTAR_G">'ТС. Т-подкл'!$T$62</definedName>
    <definedName name="pIns_PT_VTAR_G_OFFER_1">Предложение!$G$79</definedName>
    <definedName name="pIns_PT_VTAR_G_OFFER_2">Предложение!$G$174</definedName>
    <definedName name="pIns_PT_VTAR_G_OFFER_3">Предложение!$G$267</definedName>
    <definedName name="pIns_PT_VTAR_G_OFFER_4">Предложение!$G$360</definedName>
    <definedName name="pIns_PT_VTAR_G_OFFER_5">Предложение!$G$453</definedName>
    <definedName name="pIns_PT_VTAR_H">'ТС. Т-подкл(инд)'!$T$56</definedName>
    <definedName name="pIns_PT_VTAR_H_OFFER_1">Предложение!$G$82</definedName>
    <definedName name="pIns_PT_VTAR_H_OFFER_2">Предложение!$G$177</definedName>
    <definedName name="pIns_PT_VTAR_H_OFFER_3">Предложение!$G$270</definedName>
    <definedName name="pIns_PT_VTAR_H_OFFER_4">Предложение!$G$363</definedName>
    <definedName name="pIns_PT_VTAR_H_OFFER_5">Предложение!$G$456</definedName>
    <definedName name="pIns_PT_VTAR_I">'ТС. Т-ТЭ | предел'!$T$57</definedName>
    <definedName name="pIns_PT_VTAR_I_1">'ТС. Т-ТЭ | индикат'!$T$57</definedName>
    <definedName name="pIns_Q_LIMIT_1">Ограничения!$E$33</definedName>
    <definedName name="pIns_Q_LIMIT_2">Ограничения!$E$35</definedName>
    <definedName name="pIns_Q_LIMIT_3">Ограничения!$E$37</definedName>
    <definedName name="pIns_Q_LIMIT_4">Ограничения!$E$39</definedName>
    <definedName name="pIns_Q_LIMIT_DIFFERENTIATION">Ограничения!$K$25</definedName>
    <definedName name="pIns_Q_PH_DIFFERENTIATION">'Потребительские характеристики'!$K$8</definedName>
    <definedName name="pIns_Q_TP_1">ТП!$E$22</definedName>
    <definedName name="pIns_Q_TP_DIFFERENTIATION">ТП!$I$8</definedName>
    <definedName name="pIns_R_B_Purch_1">'Сведения о закупках'!$E$14</definedName>
    <definedName name="pIns_ROIV_CASE_case">'Дела об установлении тарифов'!$F$11</definedName>
    <definedName name="pIns_ROIV_CASE_PUC_case">'Дела об утверждении ПУЦ'!$F$11</definedName>
    <definedName name="pIns_ROIV_INFO_phone">'Орган регулирования'!$E$21</definedName>
    <definedName name="pIns_ROIV_ORG_org">'Перечень организаций'!$F$10</definedName>
    <definedName name="pIns_ROIV_OTV_org">'Привлечение к ответственности'!$F$15</definedName>
    <definedName name="pIns_ver_COLDVSNA_TARIFF_A_COLDVSNA">'ХВС. Т-пит'!$AJ$37</definedName>
    <definedName name="pIns_ver_COLDVSNA_TARIFF_B_COLDVSNA">'ХВС. Т-тех'!$AJ$37</definedName>
    <definedName name="pIns_ver_COLDVSNA_TARIFF_C_COLDVSNA">'ХВС. Т-транс'!$AJ$37</definedName>
    <definedName name="pIns_ver_COLDVSNA_TARIFF_D_COLDVSNA">'ХВС. Т-подвоз'!$AJ$37</definedName>
    <definedName name="pIns_ver_COLDVSNA_TARIFF_E_COLDVSNA">'ХВС. Т-подкл'!$BB$41</definedName>
    <definedName name="pIns_ver_HEAT_TARIFF_A">'ТС. Т-ТЭ | &gt;=25МВт'!$AT$39</definedName>
    <definedName name="pIns_ver_HEAT_TARIFF_B">'ТС. Т-ТЭ | ТСО'!$AT$39</definedName>
    <definedName name="pIns_ver_HEAT_TARIFF_C">'ТС. Т-ТН'!$AT$39</definedName>
    <definedName name="pIns_ver_HEAT_TARIFF_D">'ТС. Т-гор.вода'!$AY$43</definedName>
    <definedName name="pIns_ver_HEAT_TARIFF_E1">'ТС. Т-передача ТЭ'!$AL$39</definedName>
    <definedName name="pIns_ver_HEAT_TARIFF_E2">'ТС. Т-передача ТН'!$AL$39</definedName>
    <definedName name="pIns_ver_HEAT_TARIFF_F">'ТС. Резерв мощности'!$AL$39</definedName>
    <definedName name="pIns_ver_HEAT_TARIFF_G">'ТС. Т-подкл'!$AT$40</definedName>
    <definedName name="pIns_ver_HEAT_TARIFF_H">'ТС. Т-подкл(инд)'!$AJ$37</definedName>
    <definedName name="pIns_ver_HEAT_TARIFF_I">'ТС. Т-ТЭ | предел'!$AL$39</definedName>
    <definedName name="pIns_ver_HEAT_TARIFF_I_1">'ТС. Т-ТЭ | индикат'!$AL$39</definedName>
    <definedName name="pIns_ver_HOTVSNA_TARIFF_A_HOTVSNA">'ГВС. Т-гор.вода'!$AR$37</definedName>
    <definedName name="pIns_ver_HOTVSNA_TARIFF_B_HOTVSNA">'ГВС. Т-транс'!$AR$37</definedName>
    <definedName name="pIns_ver_HOTVSNA_TARIFF_C_HOTVSNA">'ГВС. Т-подкл'!$BB$41</definedName>
    <definedName name="pIns_ver_VOTV_TARIFF_A_VOTV">'ВО. Т-во'!$AJ$37</definedName>
    <definedName name="pIns_ver_VOTV_TARIFF_B_VOTV">'ВО. Т-транс'!$AJ$37</definedName>
    <definedName name="pIns_ver_VOTV_TARIFF_C_VOTV">'ВО. Т-подкл'!$BB$41</definedName>
    <definedName name="pNote_LIMIT">Ограничения!$K$26</definedName>
    <definedName name="pNote_Q_PH">'Потребительские характеристики'!$K$9</definedName>
    <definedName name="pNum_Q_LIMIT">Ограничения!$D$31</definedName>
    <definedName name="PROCEDURE_TC_NAME_FORM">DATA_FORMS!$C$30</definedName>
    <definedName name="PT_ADD_HL_CS_COLUMN_MARKER">'Перечень тарифов'!$R$8</definedName>
    <definedName name="PT_ADD_HL_IST_TE_COLUMN_MARKER">'Перечень тарифов'!$V$8</definedName>
    <definedName name="PT_ADD_HL_NTAR_COLUMN_MARKER">'Перечень тарифов'!$J$8</definedName>
    <definedName name="PT_ADD_HL_TER_COLUMN_MARKER">'Перечень тарифов'!$N$8</definedName>
    <definedName name="PT_ADD_HL_VTAR_COLUMN_MARKER">'Перечень тарифов'!$E$8</definedName>
    <definedName name="pt_cs_1">'ТС. Т-ТЭ | &gt;=25МВт'!$45:$54</definedName>
    <definedName name="pt_cs_10">'ХВС. Т-тех'!$43:$50</definedName>
    <definedName name="pt_cs_11">'ХВС. Т-транс'!$43:$50</definedName>
    <definedName name="pt_cs_12">'ХВС. Т-подвоз'!$43:$50</definedName>
    <definedName name="pt_cs_13">'ХВС. Т-подкл'!$48:$60</definedName>
    <definedName name="pt_cs_14">'ГВС. Т-гор.вода'!$44:$51</definedName>
    <definedName name="pt_cs_15">'ГВС. Т-транс'!$44:$51</definedName>
    <definedName name="pt_cs_16">'ГВС. Т-подкл'!$48:$60</definedName>
    <definedName name="pt_cs_17">'ВО. Т-во'!$43:$50</definedName>
    <definedName name="pt_cs_18">'ВО. Т-транс'!$43:$50</definedName>
    <definedName name="pt_cs_19">'ВО. Т-подкл'!$48:$60</definedName>
    <definedName name="pt_cs_2">'ТС. Т-ТЭ | ТСО'!$45:$54</definedName>
    <definedName name="pt_cs_20">'ТС. Т-подкл(инд)'!$44:$52</definedName>
    <definedName name="pt_cs_21">'ТС. Т-ТЭ | предел'!$45:$54</definedName>
    <definedName name="pt_cs_21_1">'ТС. Т-ТЭ | индикат'!$45:$54</definedName>
    <definedName name="pt_cs_3">'ТС. Т-ТН'!$45:$54</definedName>
    <definedName name="pt_cs_4">'ТС. Т-гор.вода'!$51:$62</definedName>
    <definedName name="pt_cs_5">'ТС. Т-передача ТЭ'!$45:$54</definedName>
    <definedName name="pt_cs_6">'ТС. Т-передача ТН'!$45:$54</definedName>
    <definedName name="pt_cs_7">'ТС. Резерв мощности'!$45:$54</definedName>
    <definedName name="pt_cs_8">'ТС. Т-подкл'!$47:$58</definedName>
    <definedName name="pt_cs_9">'ХВС. Т-пит'!$43:$50</definedName>
    <definedName name="PT_DEL_HL_CS_COLUMN_MARKER">'Перечень тарифов'!$P$8</definedName>
    <definedName name="PT_DEL_HL_IST_TE_COLUMN_MARKER">'Перечень тарифов'!$T$8</definedName>
    <definedName name="PT_DEL_HL_NTAR_COLUMN_MARKER">'Перечень тарифов'!$H$8</definedName>
    <definedName name="PT_DEL_HL_TER_COLUMN_MARKER">'Перечень тарифов'!$L$8</definedName>
    <definedName name="PT_DEL_HL_VTAR_COLUMN_MARKER">'Перечень тарифов'!$C$8</definedName>
    <definedName name="PT_DIAMETERS_2_LIST">TEHSHEET!$AZ$76:$AZ$82</definedName>
    <definedName name="PT_DIAMETERS_LIST">TEHSHEET!$AZ$60:$AZ$64</definedName>
    <definedName name="PT_DIFFERENTIATION_CS">'Перечень тарифов'!$AL$12:$AL$222</definedName>
    <definedName name="PT_DIFFERENTIATION_CS_ID">'Перечень тарифов'!$AF$12:$AF$222</definedName>
    <definedName name="PT_DIFFERENTIATION_IST_TE">'Перечень тарифов'!$AM$12:$AM$222</definedName>
    <definedName name="PT_DIFFERENTIATION_IST_TE_ID">'Перечень тарифов'!$AG$12:$AG$222</definedName>
    <definedName name="PT_DIFFERENTIATION_NTAR">'Перечень тарифов'!$AJ$12:$AJ$222</definedName>
    <definedName name="PT_DIFFERENTIATION_NTAR_ID">'Перечень тарифов'!$AD$12:$AD$222</definedName>
    <definedName name="PT_DIFFERENTIATION_NUM_CS">'Перечень тарифов'!$AP$12:$AP$222</definedName>
    <definedName name="PT_DIFFERENTIATION_NUM_IST_TE">'Перечень тарифов'!$AQ$12:$AQ$222</definedName>
    <definedName name="PT_DIFFERENTIATION_NUM_NTAR">'Перечень тарифов'!$AN$12:$AN$222</definedName>
    <definedName name="PT_DIFFERENTIATION_NUM_TER">'Перечень тарифов'!$AO$12:$AO$222</definedName>
    <definedName name="PT_DIFFERENTIATION_TER">'Перечень тарифов'!$AK$12:$AK$222</definedName>
    <definedName name="PT_DIFFERENTIATION_TER_ID">'Перечень тарифов'!$AE$12:$AE$222</definedName>
    <definedName name="PT_DIFFERENTIATION_VDET">'Перечень тарифов'!$AI$12:$AI$222</definedName>
    <definedName name="PT_DIFFERENTIATION_VTAR">'Перечень тарифов'!$AH$12:$AH$222</definedName>
    <definedName name="PT_DIFFERENTIATION_VTAR_ID">'Перечень тарифов'!$AC$12:$AC$222</definedName>
    <definedName name="PT_FLAG_CS_COLUMN_MARKER">'Перечень тарифов'!$O$8</definedName>
    <definedName name="PT_FLAG_IST_TE_COLUMN_MARKER">'Перечень тарифов'!$S$8</definedName>
    <definedName name="PT_FLAG_TER_COLUMN_MARKER">'Перечень тарифов'!$K$8</definedName>
    <definedName name="PT_FLAG_VTAR_COLUMN_MARKER">'Перечень тарифов'!$F$8</definedName>
    <definedName name="PT_GROUP_CONSUMER_LIST">TEHSHEET!$AZ$29:$AZ$33</definedName>
    <definedName name="PT_HEAT_PRICE_INDICATORS_LEVEL">'Перечень тарифов'!$F$148</definedName>
    <definedName name="pt_ist_te_1">'ТС. Т-ТЭ | &gt;=25МВт'!$46:$53</definedName>
    <definedName name="pt_ist_te_2">'ТС. Т-ТЭ | ТСО'!$46:$53</definedName>
    <definedName name="pt_ist_te_20">'ТС. Т-подкл(инд)'!$45:$51</definedName>
    <definedName name="pt_ist_te_21">'ТС. Т-ТЭ | предел'!$46:$53</definedName>
    <definedName name="pt_ist_te_21_1">'ТС. Т-ТЭ | индикат'!$46:$53</definedName>
    <definedName name="pt_ist_te_3">'ТС. Т-ТН'!$46:$53</definedName>
    <definedName name="pt_ist_te_4">'ТС. Т-гор.вода'!$52:$61</definedName>
    <definedName name="pt_ist_te_5">'ТС. Т-передача ТЭ'!$46:$53</definedName>
    <definedName name="pt_ist_te_6">'ТС. Т-передача ТН'!$46:$53</definedName>
    <definedName name="pt_ist_te_7">'ТС. Резерв мощности'!$46:$53</definedName>
    <definedName name="pt_ist_te_8">'ТС. Т-подкл'!$48:$57</definedName>
    <definedName name="PT_LOAD_LIST">TEHSHEET!$AZ$67:$AZ$72</definedName>
    <definedName name="PT_NETS_LIST">TEHSHEET!$AZ$55:$AZ$57</definedName>
    <definedName name="pt_ntar_1">'ТС. Т-ТЭ | &gt;=25МВт'!$43:$68</definedName>
    <definedName name="pt_ntar_10">'ХВС. Т-тех'!$41:$52</definedName>
    <definedName name="pt_ntar_11">'ХВС. Т-транс'!$41:$52</definedName>
    <definedName name="pt_ntar_12">'ХВС. Т-подвоз'!$41:$52</definedName>
    <definedName name="pt_ntar_13">'ХВС. Т-подкл'!$46:$62</definedName>
    <definedName name="pt_ntar_14">'ГВС. Т-гор.вода'!$42:$53</definedName>
    <definedName name="pt_ntar_15">'ГВС. Т-транс'!$42:$53</definedName>
    <definedName name="pt_ntar_16">'ГВС. Т-подкл'!$46:$62</definedName>
    <definedName name="pt_ntar_17">'ВО. Т-во'!$41:$52</definedName>
    <definedName name="pt_ntar_18">'ВО. Т-транс'!$41:$52</definedName>
    <definedName name="pt_ntar_19">'ВО. Т-подкл'!$46:$62</definedName>
    <definedName name="pt_ntar_2">'ТС. Т-ТЭ | ТСО'!$43:$56</definedName>
    <definedName name="pt_ntar_20">'ТС. Т-подкл(инд)'!$42:$55</definedName>
    <definedName name="pt_ntar_21">'ТС. Т-ТЭ | предел'!$43:$56</definedName>
    <definedName name="pt_ntar_21_1">'ТС. Т-ТЭ | индикат'!$43:$56</definedName>
    <definedName name="pt_ntar_3">'ТС. Т-ТН'!$43:$68</definedName>
    <definedName name="pt_ntar_4">'ТС. Т-гор.вода'!$49:$64</definedName>
    <definedName name="pt_ntar_5">'ТС. Т-передача ТЭ'!$43:$56</definedName>
    <definedName name="pt_ntar_6">'ТС. Т-передача ТН'!$43:$56</definedName>
    <definedName name="pt_ntar_7">'ТС. Резерв мощности'!$43:$80</definedName>
    <definedName name="pt_ntar_8">'ТС. Т-подкл'!$45:$61</definedName>
    <definedName name="pt_ntar_9">'ХВС. Т-пит'!$41:$52</definedName>
    <definedName name="PT_P_FORM_COLDVSNA_4_NAME_FORM">DATA_FORMS!$C$17</definedName>
    <definedName name="PT_P_FORM_COLDVSNA_5_NAME_FORM">DATA_FORMS!$C$18</definedName>
    <definedName name="PT_P_FORM_HEAT_21_NAME_FORM">DATA_FORMS!$C$13</definedName>
    <definedName name="PT_P_FORM_HEAT_22_NAME_FORM">DATA_FORMS!$C$14</definedName>
    <definedName name="PT_P_FORM_HEAT_4_NAME_FORM">DATA_FORMS!$C$9</definedName>
    <definedName name="PT_P_FORM_HEAT_5_NAME_FORM">DATA_FORMS!$C$10</definedName>
    <definedName name="PT_P_FORM_HEAT_6_NAME_FORM">DATA_FORMS!$C$11</definedName>
    <definedName name="PT_P_FORM_HEAT_7_NAME_FORM">DATA_FORMS!$C$12</definedName>
    <definedName name="PT_P_FORM_HOTVSNA_4_NAME_FORM">DATA_FORMS!$C$21</definedName>
    <definedName name="PT_P_FORM_HOTVSNA_5_NAME_FORM">DATA_FORMS!$C$22</definedName>
    <definedName name="PT_P_FORM_VOTV_4_NAME_FORM">DATA_FORMS!$C$25</definedName>
    <definedName name="PT_P_FORM_VOTV_5_NAME_FORM">DATA_FORMS!$C$26</definedName>
    <definedName name="PT_R_FORM_COLDVSNA_16_NAME_FORM">DATA_FORMS!$C$19</definedName>
    <definedName name="PT_R_FORM_COLDVSNA_17_NAME_FORM">DATA_FORMS!$C$20</definedName>
    <definedName name="PT_R_FORM_HEAT_21_NAME_FORM">DATA_FORMS!$C$13</definedName>
    <definedName name="PT_R_FORM_HEAT_22_NAME_FORM">DATA_FORMS!$C$14</definedName>
    <definedName name="PT_R_FORM_HEAT_23_NAME_FORM">DATA_FORMS!$C$15</definedName>
    <definedName name="PT_R_FORM_HEAT_24_NAME_FORM">DATA_FORMS!$C$16</definedName>
    <definedName name="PT_R_FORM_HOTVSNA_16_NAME_FORM">DATA_FORMS!$C$23</definedName>
    <definedName name="PT_R_FORM_HOTVSNA_17_NAME_FORM">DATA_FORMS!$C$24</definedName>
    <definedName name="PT_R_FORM_VOTV_16_NAME_FORM">DATA_FORMS!$C$27</definedName>
    <definedName name="PT_R_FORM_VOTV_17_NAME_FORM">DATA_FORMS!$C$28</definedName>
    <definedName name="PT_SCHEME_LIST">TEHSHEET!$AZ$36:$AZ$39</definedName>
    <definedName name="pt_ter_1">'ТС. Т-ТЭ | &gt;=25МВт'!$44:$55</definedName>
    <definedName name="pt_ter_10">'ХВС. Т-тех'!$42:$51</definedName>
    <definedName name="pt_ter_11">'ХВС. Т-транс'!$42:$51</definedName>
    <definedName name="pt_ter_12">'ХВС. Т-подвоз'!$42:$51</definedName>
    <definedName name="pt_ter_13">'ХВС. Т-подкл'!$47:$61</definedName>
    <definedName name="pt_ter_14">'ГВС. Т-гор.вода'!$43:$52</definedName>
    <definedName name="pt_ter_15">'ГВС. Т-транс'!$43:$52</definedName>
    <definedName name="pt_ter_16">'ГВС. Т-подкл'!$47:$61</definedName>
    <definedName name="pt_ter_17">'ВО. Т-во'!$42:$51</definedName>
    <definedName name="pt_ter_18">'ВО. Т-транс'!$42:$51</definedName>
    <definedName name="pt_ter_19">'ВО. Т-подкл'!$47:$61</definedName>
    <definedName name="pt_ter_2">'ТС. Т-ТЭ | ТСО'!$44:$55</definedName>
    <definedName name="pt_ter_20">'ТС. Т-подкл(инд)'!$43:$53</definedName>
    <definedName name="pt_ter_21">'ТС. Т-ТЭ | предел'!$44:$55</definedName>
    <definedName name="pt_ter_21_1">'ТС. Т-ТЭ | индикат'!$44:$55</definedName>
    <definedName name="pt_ter_3">'ТС. Т-ТН'!$44:$55</definedName>
    <definedName name="pt_ter_4">'ТС. Т-гор.вода'!$50:$63</definedName>
    <definedName name="pt_ter_5">'ТС. Т-передача ТЭ'!$44:$55</definedName>
    <definedName name="pt_ter_6">'ТС. Т-передача ТН'!$44:$55</definedName>
    <definedName name="pt_ter_7">'ТС. Резерв мощности'!$44:$55</definedName>
    <definedName name="pt_ter_8">'ТС. Т-подкл'!$46:$59</definedName>
    <definedName name="pt_ter_9">'ХВС. Т-пит'!$42:$51</definedName>
    <definedName name="PT_TN_LIST">TEHSHEET!$AZ$42:$AZ$52</definedName>
    <definedName name="PT_VDET_COLUMN_MARKER">'Перечень тарифов'!$G$8</definedName>
    <definedName name="PURCH_NAME_FORM">DATA_FORMS!$C$29</definedName>
    <definedName name="Q_LIMIT_CheckC">Ограничения!$E$32:$K$39</definedName>
    <definedName name="Q_LIMIT_diff_1">Ограничения!$I$26:$J$28</definedName>
    <definedName name="Q_LIMIT_p3">Ограничения!$F$36:$K$37</definedName>
    <definedName name="Q_LIMIT_p4">Ограничения!$F$38:$K$39</definedName>
    <definedName name="Q_PH_diff_1">'Потребительские характеристики'!$I$9:$J$11</definedName>
    <definedName name="Q_TP_COUNT_REFUSAL">ТП!$H$17:$H$17</definedName>
    <definedName name="Q_TP_diff_1">ТП!$H$9:$H$11</definedName>
    <definedName name="QRE_METHOD_LIST">TEHSHEET!$AZ$8:$AZ$10</definedName>
    <definedName name="QUARTER">TEHSHEET!$F$2:$F$5</definedName>
    <definedName name="R_OFFER_ADD_PERIOD_HL_COLUMN_MARKER">Предложение!$I$12</definedName>
    <definedName name="R_OFFER_CHANGE_HL_COLUMN_MARKER">Предложение!$K$12</definedName>
    <definedName name="R_OFFER_DEL_HL_COLUMN_MARKER">Предложение!$H$12</definedName>
    <definedName name="R_OFFER_FLAG_HL_COLUMN_MARKER">Предложение!$C$12</definedName>
    <definedName name="REESTR_LINK_RANGE">REESTR_LINK!$A$2:$C$3</definedName>
    <definedName name="REESTR_VT_RANGE">REESTR_VT!$A$2:$B$11</definedName>
    <definedName name="REGION">TEHSHEET!$A$2:$A$91</definedName>
    <definedName name="region_name">Титульный!$F$7</definedName>
    <definedName name="RegulatoryPeriod">Титульный!$F$11:$F$12</definedName>
    <definedName name="ReportPeriod">Титульный!$F$11:$F$15</definedName>
    <definedName name="ROIV_CASE_ADD_HL_CASE_COLUMN_MARKER">'Дела об установлении тарифов'!$F$1</definedName>
    <definedName name="ROIV_CASE_DATE">'Дела об установлении тарифов'!$G$10:$G$11</definedName>
    <definedName name="ROIV_CASE_DEL_HL_CASE_COLUMN_MARKER">'Дела об установлении тарифов'!$D$1</definedName>
    <definedName name="ROIV_CASE_NUM_CASE_COLUMN_MARKER">'Дела об установлении тарифов'!$E$1</definedName>
    <definedName name="ROIV_CASE_PROTOKOL">'Дела об установлении тарифов'!$K$10:$K$11</definedName>
    <definedName name="ROIV_CASE_PROTOKOL_ET">'Дела об установлении тарифов'!$K$2</definedName>
    <definedName name="ROIV_CASE_PUC_ADD_HL_CASE_COLUMN_MARKER">'Дела об утверждении ПУЦ'!$F$1</definedName>
    <definedName name="ROIV_CASE_PUC_DATE">'Дела об утверждении ПУЦ'!$G$10:$G$11</definedName>
    <definedName name="ROIV_CASE_PUC_DEL_HL_CASE_COLUMN_MARKER">'Дела об утверждении ПУЦ'!$D$1</definedName>
    <definedName name="ROIV_CASE_PUC_NUM_CASE_COLUMN_MARKER">'Дела об утверждении ПУЦ'!$E$1</definedName>
    <definedName name="ROIV_CASE_PUC_PROTOKOL">'Дела об утверждении ПУЦ'!$K$10:$K$11</definedName>
    <definedName name="ROIV_CASE_PUC_PROTOKOL_ET">'Дела об утверждении ПУЦ'!$K$2</definedName>
    <definedName name="ROIV_CASE_PUC_RESH">'Дела об утверждении ПУЦ'!$J$10:$J$11</definedName>
    <definedName name="ROIV_CASE_PUC_RESH_ET">'Дела об утверждении ПУЦ'!$J$2</definedName>
    <definedName name="ROIV_CASE_RESH">'Дела об установлении тарифов'!$J$10:$J$11</definedName>
    <definedName name="ROIV_CASE_RESH_ET">'Дела об установлении тарифов'!$J$2</definedName>
    <definedName name="ROIV_INFO_COMMENT">TEHSHEET!$BA$97:$BA$103</definedName>
    <definedName name="ROIV_INFO_COMMENT_HEAT">TEHSHEET!$BA$97:$BA$103</definedName>
    <definedName name="ROIV_INFO_COMMENT_NO_HEAT">TEHSHEET!$BA$111:$BA$116</definedName>
    <definedName name="ROIV_INFO_DEL_HL_PHONE_COLUMN_MARKER">'Орган регулирования'!$C$1</definedName>
    <definedName name="ROIV_INFO_DOKLAD">'Орган регулирования'!$F$24</definedName>
    <definedName name="ROIV_INFO_LIST">TEHSHEET!$AZ$97:$AZ$103</definedName>
    <definedName name="ROIV_INFO_LIST_HEAT">TEHSHEET!$AZ$97:$AZ$103</definedName>
    <definedName name="ROIV_INFO_LIST_NO_HEAT">TEHSHEET!$AZ$111:$AZ$116</definedName>
    <definedName name="ROIV_INFO_NAME">'Орган регулирования'!$F$12</definedName>
    <definedName name="ROIV_INFO_NUM_PHONE_COLUMN_MARKER">'Орган регулирования'!$D$1</definedName>
    <definedName name="ROIV_ORG_DEL_HL_ORG_COLUMN_MARKER">'Перечень организаций'!$D$1</definedName>
    <definedName name="ROIV_ORG_INN_COLUMN_MARKER">'Перечень организаций'!$G$1</definedName>
    <definedName name="ROIV_ORG_KPP_COLUMN_MARKER">'Перечень организаций'!$H$1</definedName>
    <definedName name="ROIV_ORG_NAME_ORG_COLUMN_MARKER">'Перечень организаций'!$F$1</definedName>
    <definedName name="ROIV_ORG_NUM_ORG_COLUMN_MARKER">'Перечень организаций'!$E$1</definedName>
    <definedName name="ROIV_ORG_TECH_ORG_ID">'Перечень организаций'!$A$9:$A$10</definedName>
    <definedName name="ROIV_ORG_TECH_ORG_ID_COLUMN_MARKER">'Перечень организаций'!$A$1</definedName>
    <definedName name="ROIV_OTV_ADD_HL_DL_COLUMN_MARKER">'Привлечение к ответственности'!$K$1</definedName>
    <definedName name="ROIV_OTV_DEL_HL_DL_COLUMN_MARKER">'Привлечение к ответственности'!$I$1</definedName>
    <definedName name="ROIV_OTV_DEL_HL_ORG_COLUMN_MARKER">'Привлечение к ответственности'!$D$1</definedName>
    <definedName name="ROIV_OTV_INN_COLUMN_MARKER">'Привлечение к ответственности'!$H$1</definedName>
    <definedName name="ROIV_OTV_NAME_ORG_COLUMN_MARKER">'Привлечение к ответственности'!$G$1</definedName>
    <definedName name="ROIV_OTV_NUM_DL_COLUMN_MARKER">'Привлечение к ответственности'!$J$1</definedName>
    <definedName name="ROIV_OTV_NUM_ORG_COLUMN_MARKER">'Привлечение к ответственности'!$E$1</definedName>
    <definedName name="ROIV_OTV_TECH_ORG_ID_COLUMN_MARKER">'Привлечение к ответственности'!$A$1</definedName>
    <definedName name="RST_ORG_ID">Титульный!$F$72</definedName>
    <definedName name="SKI_number">TEHSHEET!$I$2:$I$21</definedName>
    <definedName name="StartDateList">TEHSHEET!$G$46:$G$53</definedName>
    <definedName name="tblEnd_1_B_FHD">'Показатели ФХД'!$J$131</definedName>
    <definedName name="tblEnd_1_B_FHD_TKO">'ТКО. Показатели ФХД'!$J$47</definedName>
    <definedName name="tblEnd_1_B_FHD_TKO_TRANS">'ТКО. Транс. Показатели ФХД'!$J$38</definedName>
    <definedName name="tblEnd_1_B_KNE">'Показатели КНЭ'!$J$101</definedName>
    <definedName name="tblEnd_1_B_OTEP">'Показатели ОТЭП'!$N$34</definedName>
    <definedName name="tblEnd_1_B_STANDARTS">'Стандарты качества'!$L$13</definedName>
    <definedName name="tblEnd_1_CHANGE_INFO">'Сведения об изменении'!$E$15</definedName>
    <definedName name="tblEnd_1_DIFFERENTIATION">Дифференциация!$M$17</definedName>
    <definedName name="tblEnd_1_DIFFERENTIATION_TARIFF">'Перечень тарифов'!$W$221</definedName>
    <definedName name="tblEnd_1_DIFFERENTIATION_TKO">'Дифференциация тариф показатель'!$AI$41</definedName>
    <definedName name="tblEnd_1_ED">ЭД!$H$14</definedName>
    <definedName name="tblEnd_1_IP_DETAILED">'ИП. Детализация'!$AH$14</definedName>
    <definedName name="tblEnd_1_IP_FIN_PLAN">'ИП. Финансовый план'!$K$58</definedName>
    <definedName name="tblEnd_1_IP_MAIN">ИП!$AB$14</definedName>
    <definedName name="tblEnd_1_IP_QRE">'ИП. КНЭ'!$FX$21</definedName>
    <definedName name="tblEnd_1_OFFER">Предложение!$L$490</definedName>
    <definedName name="tblEnd_1_ORG_INFO">'Общая информация об организации'!$F$52</definedName>
    <definedName name="tblEnd_1_ORG_TERRITORY">'Сведения по территориям'!$K$14</definedName>
    <definedName name="tblEnd_1_ORG_VD">'Общая информация по ВД'!$AI$14</definedName>
    <definedName name="tblEnd_1_ORG_VD_TKO">'Виды объектов'!$I$17</definedName>
    <definedName name="tblEnd_1_P_PROCEDURE_TC">'Порядок ТП'!$H$42</definedName>
    <definedName name="tblEnd_1_P_T_TERMS">Договоры!$F$28</definedName>
    <definedName name="tblEnd_1_Q_LIMIT">Ограничения!$K$40</definedName>
    <definedName name="tblEnd_1_Q_PH">'Потребительские характеристики'!$K$21</definedName>
    <definedName name="tblEnd_1_Q_TP">ТП!$I$23</definedName>
    <definedName name="tblEnd_1_R_B_Purch">'Сведения о закупках'!$G$15</definedName>
    <definedName name="tblEnd_1_R_Offer">Предложение!$L$490</definedName>
    <definedName name="tblEnd_1_ROIV_CASE">'Дела об установлении тарифов'!$K$12</definedName>
    <definedName name="tblEnd_1_ROIV_CASE_PUC">'Дела об утверждении ПУЦ'!$K$12</definedName>
    <definedName name="tblEnd_1_ROIV_INFO">'Орган регулирования'!$F$25</definedName>
    <definedName name="tblEnd_1_ROIV_ORG">'Перечень организаций'!$I$11</definedName>
    <definedName name="tblEnd_1_ROIV_OTV">'Привлечение к ответственности'!$M$16</definedName>
    <definedName name="tblEnd_1_TARIFF_A">'ТС. Т-ТЭ | &gt;=25МВт'!$AT$180</definedName>
    <definedName name="tblEnd_1_TARIFF_A_COLDVSNA">'ХВС. Т-пит'!$AJ$54</definedName>
    <definedName name="tblEnd_1_TARIFF_A_HOTVSNA">'ГВС. Т-гор.вода'!$AR$55</definedName>
    <definedName name="tblEnd_1_TARIFF_A_VOTV">'ВО. Т-во'!$AJ$54</definedName>
    <definedName name="tblEnd_1_TARIFF_B">'ТС. Т-ТЭ | ТСО'!$AT$112</definedName>
    <definedName name="tblEnd_1_TARIFF_B_COLDVSNA">'ХВС. Т-тех'!$AJ$54</definedName>
    <definedName name="tblEnd_1_TARIFF_B_HOTVSNA">'ГВС. Т-транс'!$AR$55</definedName>
    <definedName name="tblEnd_1_TARIFF_B_VOTV">'ВО. Т-транс'!$AJ$54</definedName>
    <definedName name="tblEnd_1_TARIFF_C">'ТС. Т-ТН'!$AT$96</definedName>
    <definedName name="tblEnd_1_TARIFF_C_COLDVSNA">'ХВС. Т-транс'!$AJ$54</definedName>
    <definedName name="tblEnd_1_TARIFF_C_HOTVSNA">'ГВС. Т-подкл'!$BB$64</definedName>
    <definedName name="tblEnd_1_TARIFF_C_VOTV">'ВО. Т-подкл'!$BB$64</definedName>
    <definedName name="tblEnd_1_TARIFF_D">'ТС. Т-гор.вода'!$AY$146</definedName>
    <definedName name="tblEnd_1_TARIFF_D_COLDVSNA">'ХВС. Т-подвоз'!$AJ$54</definedName>
    <definedName name="tblEnd_1_TARIFF_E_COLDVSNA">'ХВС. Т-подкл'!$BB$64</definedName>
    <definedName name="tblEnd_1_TARIFF_E1">'ТС. Т-передача ТЭ'!$AL$58</definedName>
    <definedName name="tblEnd_1_TARIFF_E2">'ТС. Т-передача ТН'!$AL$58</definedName>
    <definedName name="tblEnd_1_TARIFF_F">'ТС. Резерв мощности'!$AL$82</definedName>
    <definedName name="tblEnd_1_TARIFF_G">'ТС. Т-подкл'!$AT$63</definedName>
    <definedName name="tblEnd_1_TARIFF_H">'ТС. Т-подкл(инд)'!$AJ$57</definedName>
    <definedName name="tblEnd_1_TARIFF_I">'ТС. Т-ТЭ | предел'!$AL$54</definedName>
    <definedName name="tblEnd_1_TARIFF_I_1">'ТС. Т-ТЭ | индикат'!$AL$58</definedName>
    <definedName name="tblEnd_1_TERRITORY">'Список территорий'!$I$22</definedName>
    <definedName name="tblStart_1_B_FHD">'Показатели ФХД'!$I$30</definedName>
    <definedName name="tblStart_1_B_FHD_TKO">'ТКО. Показатели ФХД'!$I$15</definedName>
    <definedName name="tblStart_1_B_FHD_TKO_TRANS">'ТКО. Транс. Показатели ФХД'!$I$15</definedName>
    <definedName name="tblStart_1_B_KNE">'Показатели КНЭ'!$I$12</definedName>
    <definedName name="tblStart_1_B_OTEP">'Показатели ОТЭП'!$M$15</definedName>
    <definedName name="tblStart_1_B_STANDARTS">'Стандарты качества'!$L$10</definedName>
    <definedName name="tblStart_1_CHANGE_INFO">'Сведения об изменении'!$E$12</definedName>
    <definedName name="tblStart_1_DIFFERENTIATION">Дифференциация!$E$13</definedName>
    <definedName name="tblStart_1_DIFFERENTIATION_TARIFF">'Перечень тарифов'!$G$13</definedName>
    <definedName name="tblStart_1_DIFFERENTIATION_TKO">'Дифференциация тариф показатель'!$K$11</definedName>
    <definedName name="tblStart_1_ED">ЭД!$E$12</definedName>
    <definedName name="tblStart_1_IP_DETAILED">'ИП. Детализация'!$I$13</definedName>
    <definedName name="tblStart_1_IP_FIN_PLAN">'ИП. Финансовый план'!$J$14</definedName>
    <definedName name="tblStart_1_IP_MAIN">ИП!$H$11</definedName>
    <definedName name="tblStart_1_IP_QRE">'ИП. КНЭ'!$O$18</definedName>
    <definedName name="tblStart_1_OFFER">Предложение!$H$22</definedName>
    <definedName name="tblStart_1_ORG_INFO">'Общая информация об организации'!$F$13</definedName>
    <definedName name="tblStart_1_ORG_TERRITORY">'Сведения по территориям'!$G$12</definedName>
    <definedName name="tblStart_1_ORG_VD">'Общая информация по ВД'!$F$12</definedName>
    <definedName name="tblStart_1_ORG_VD_TKO">'Виды объектов'!$E$14</definedName>
    <definedName name="tblStart_1_P_PROCEDURE_TC">'Порядок ТП'!$G$22</definedName>
    <definedName name="tblStart_1_P_T_TERMS">Договоры!$F$14</definedName>
    <definedName name="tblStart_1_Q_LIMIT">Ограничения!$I$32</definedName>
    <definedName name="tblStart_1_Q_PH">'Потребительские характеристики'!$I$19</definedName>
    <definedName name="tblStart_1_Q_TP">ТП!$H$15</definedName>
    <definedName name="tblStart_1_R_B_Purch">'Сведения о закупках'!$F$10</definedName>
    <definedName name="tblStart_1_R_Offer">Предложение!$H$22</definedName>
    <definedName name="tblStart_1_ROIV_CASE">'Дела об установлении тарифов'!$G$10</definedName>
    <definedName name="tblStart_1_ROIV_CASE_PUC">'Дела об утверждении ПУЦ'!$G$10</definedName>
    <definedName name="tblStart_1_ROIV_INFO">'Орган регулирования'!$F$12</definedName>
    <definedName name="tblStart_1_ROIV_ORG">'Перечень организаций'!$F$9</definedName>
    <definedName name="tblStart_1_ROIV_OTV">'Привлечение к ответственности'!$K$13</definedName>
    <definedName name="tblStart_1_TARIFF_A">'ТС. Т-ТЭ | &gt;=25МВт'!$AD$43</definedName>
    <definedName name="tblStart_1_TARIFF_A_COLDVSNA">'ХВС. Т-пит'!$AC$41</definedName>
    <definedName name="tblStart_1_TARIFF_A_HOTVSNA">'ГВС. Т-гор.вода'!$AG$42</definedName>
    <definedName name="tblStart_1_TARIFF_A_VOTV">'ВО. Т-во'!$AC$41</definedName>
    <definedName name="tblStart_1_TARIFF_B">'ТС. Т-ТЭ | ТСО'!$AD$43</definedName>
    <definedName name="tblStart_1_TARIFF_B_COLDVSNA">'ХВС. Т-тех'!$AC$41</definedName>
    <definedName name="tblStart_1_TARIFF_B_HOTVSNA">'ГВС. Т-транс'!$AG$42</definedName>
    <definedName name="tblStart_1_TARIFF_B_VOTV">'ВО. Т-транс'!$AC$41</definedName>
    <definedName name="tblStart_1_TARIFF_C">'ТС. Т-ТН'!$AD$43</definedName>
    <definedName name="tblStart_1_TARIFF_C_COLDVSNA">'ХВС. Т-транс'!$AC$41</definedName>
    <definedName name="tblStart_1_TARIFF_C_HOTVSNA">'ГВС. Т-подкл'!$AD$46</definedName>
    <definedName name="tblStart_1_TARIFF_C_VOTV">'ВО. Т-подкл'!$AD$46</definedName>
    <definedName name="tblStart_1_TARIFF_D">'ТС. Т-гор.вода'!$AG$49</definedName>
    <definedName name="tblStart_1_TARIFF_D_COLDVSNA">'ХВС. Т-подвоз'!$AC$41</definedName>
    <definedName name="tblStart_1_TARIFF_E_COLDVSNA">'ХВС. Т-подкл'!$AD$46</definedName>
    <definedName name="tblStart_1_TARIFF_E1">'ТС. Т-передача ТЭ'!$AD$43</definedName>
    <definedName name="tblStart_1_TARIFF_E2">'ТС. Т-передача ТН'!$AD$43</definedName>
    <definedName name="tblStart_1_TARIFF_F">'ТС. Резерв мощности'!$AD$43</definedName>
    <definedName name="tblStart_1_TARIFF_G">'ТС. Т-подкл'!$AB$45</definedName>
    <definedName name="tblStart_1_TARIFF_H">'ТС. Т-подкл(инд)'!$AB$42</definedName>
    <definedName name="tblStart_1_TARIFF_I">'ТС. Т-ТЭ | предел'!$AD$43</definedName>
    <definedName name="tblStart_1_TARIFF_I_1">'ТС. Т-ТЭ | индикат'!$AD$43</definedName>
    <definedName name="tblStart_1_TERRITORY">'Список территорий'!$G$12</definedName>
    <definedName name="TECH_ORG_ID">Титульный!$F$1</definedName>
    <definedName name="TEMPLATE_DATA_POINT">DATA_NPA!$T$11:$X$16</definedName>
    <definedName name="TEMPLATE_DATA_POINT_FHD">DATA_NPA!$T$18:$W$146</definedName>
    <definedName name="TEMPLATE_GROUP">TEHSHEET!$E$45</definedName>
    <definedName name="TEMPLATE_NAME_FORM_LIST">DATA_FORMS!$D$3:$H$35</definedName>
    <definedName name="TEMPLATE_NOTE_POINT">DATA_NPA!$Z$11:$AD$15</definedName>
    <definedName name="TEMPLATE_NOTE_POINT_FHD">DATA_NPA!$Z$18:$AD$146</definedName>
    <definedName name="TEMPLATE_NUMBER_FORM_LIST">DATA_FORMS!$D$2:$H$2</definedName>
    <definedName name="TEMPLATE_NUMBER_POINT_FHD">DATA_NPA!$O$18:$S$146</definedName>
    <definedName name="TEMPLATE_ORG_DATA_POINT">DATA_NPA!$Z$3:$AD$9</definedName>
    <definedName name="TEMPLATE_SPHERE">TEHSHEET!$E$36</definedName>
    <definedName name="TEMPLATE_SPHERE_LIST">DATA_FORMS!$D$1:$H$1</definedName>
    <definedName name="TEMPLATE_SPHERE_LIST_FOR_NOTE">DATA_NPA!$Z$2:$AD$2</definedName>
    <definedName name="TEMPLATE_SPHERE_LIST_FOR_NPA">DATA_NPA!$T$2:$X$2</definedName>
    <definedName name="TEMPLATE_SPHERE_RUS">TEHSHEET!$F$36</definedName>
    <definedName name="TEMPLATE_SPHERE_RUS_2">TEHSHEET!$G$36</definedName>
    <definedName name="TemplateState">TEHSHEET!$E$16</definedName>
    <definedName name="TER_ID">TEHSHEET!$E$62</definedName>
    <definedName name="TERMS_LINK">Договоры!$F$12:$F$22</definedName>
    <definedName name="TERMS_NAME_FORM">DATA_FORMS!$C$5</definedName>
    <definedName name="TERMS_NUM_CONTRACT_COLUMN_MARKER">Договоры!$D$8</definedName>
    <definedName name="TERMS_P_1">DATA_NPA!$M$148</definedName>
    <definedName name="TERMS_TKO_TRANS_DATA">Договоры!$E$25:$F$26</definedName>
    <definedName name="TERRITORY_CheckC">'Список территорий'!$E$11:$I$21</definedName>
    <definedName name="TERRITORY_ID">TEHSHEET!$E$56</definedName>
    <definedName name="TERRITORY_LIST_ID">'Список территорий'!$F$11:$F$21</definedName>
    <definedName name="TERRITORY_MO_LIST">'Список территорий'!$H$11:$H$21</definedName>
    <definedName name="TERRITORY_MR_LIST">'Список территорий'!$G$11:$G$21</definedName>
    <definedName name="TERRITORY_NAME_COL">'Список территорий'!$G$1:$I$1</definedName>
    <definedName name="TERRITORY_POINT_NUMBER_1">'Список территорий'!$A:$A</definedName>
    <definedName name="TITLE_BUHG_FLAG">Титульный!$F$53</definedName>
    <definedName name="TITLE_CONNECTION_FLAG">Титульный!$F$49</definedName>
    <definedName name="TITLE_DATA_TYPE">Титульный!$F$17</definedName>
    <definedName name="TITLE_DATE_BUHG">Титульный!$F$54</definedName>
    <definedName name="TITLE_DATE_CHANGE">Титульный!$F$18</definedName>
    <definedName name="TITLE_DATE_CHANGE_PERIOD">Титульный!$F$19</definedName>
    <definedName name="TITLE_DATE_FIL">Титульный!$F$13</definedName>
    <definedName name="TITLE_DATE_PARKING">Титульный!$H$5</definedName>
    <definedName name="TITLE_DATE_PR">Титульный!$F$21</definedName>
    <definedName name="TITLE_DATE_PR_CHANGE">Титульный!$F$26</definedName>
    <definedName name="TITLE_DIFFERENTIATION_TYPE">Титульный!$F$41</definedName>
    <definedName name="TITLE_FIL_YEAR">Титульный!$F$14</definedName>
    <definedName name="TITLE_FLAG_DIFF_SELLER">Титульный!$F$46</definedName>
    <definedName name="TITLE_FLAG_INTERNET">Титульный!$F$39</definedName>
    <definedName name="TITLE_FLAG_IP">Титульный!$F$58</definedName>
    <definedName name="TITLE_FLAG_IP_DETAILED">Титульный!$F$60</definedName>
    <definedName name="TITLE_FLAG_NO_DIFF_COMPONENT">Титульный!$F$47</definedName>
    <definedName name="TITLE_FLAG_NOT_REG_PRICE">Титульный!$F$51</definedName>
    <definedName name="TITLE_FLAG_OTV_ROIV">Титульный!$F$10</definedName>
    <definedName name="TITLE_FLAG_REG_PRICE_IP">Титульный!$F$59</definedName>
    <definedName name="TITLE_FLAG_TKO_TRANS">Титульный!$F$62</definedName>
    <definedName name="TITLE_FLAG_TOP80_ACTIVITY">Титульный!$F$56</definedName>
    <definedName name="TITLE_HEADER_PR_CHANGE">Титульный!$F$25</definedName>
    <definedName name="TITLE_IP_DETAILED_METHOD_LIST">TEHSHEET!$AZ$15:$AZ$17</definedName>
    <definedName name="TITLE_IST_PUB">Титульный!$F$24</definedName>
    <definedName name="TITLE_IST_PUB_CHANGE">Титульный!$F$29</definedName>
    <definedName name="TITLE_NAME_OR_PR">Титульный!$F$23</definedName>
    <definedName name="TITLE_NAME_OR_PR_CHANGE">Титульный!$F$28</definedName>
    <definedName name="TITLE_NUMBER_PR">Титульный!$F$22</definedName>
    <definedName name="TITLE_NUMBER_PR_CHANGE">Титульный!$F$27</definedName>
    <definedName name="TITLE_PERIOD_END">Титульный!$F$12</definedName>
    <definedName name="TITLE_PERIOD_START">Титульный!$F$11</definedName>
    <definedName name="TITLE_PRICE_INDICATORS_GRAPH">Титульный!$F$44</definedName>
    <definedName name="TITLE_PRICE_INDICATORS_LEVEL">Титульный!$F$43</definedName>
    <definedName name="TITLE_STRUCTURE_INFO_ROIV">Титульный!$F$9</definedName>
    <definedName name="TITLE_TYPE_ORG">Титульный!$F$36</definedName>
    <definedName name="TKO_PT_VED_ID">TEHSHEET!$CC$19:$CC$24</definedName>
    <definedName name="TKO_PT_VED_NAME">TEHSHEET!$CD$19:$CD$24</definedName>
    <definedName name="TKO_PT_VED_NAME_LIST">TEHSHEET!$CC$19:$CD$24</definedName>
    <definedName name="TP_NAME_FORM">DATA_FORMS!$C$3</definedName>
    <definedName name="TP_NUMBER_FORM">DATA_FORMS!$C$2</definedName>
    <definedName name="TP_P_A">DATA_NPA!$M$11</definedName>
    <definedName name="TP_P_B">DATA_NPA!$M$12</definedName>
    <definedName name="TP_P_G">DATA_NPA!$M$15</definedName>
    <definedName name="TP_P_NOTE_A">DATA_NPA!$N$11</definedName>
    <definedName name="TP_P_NOTE_B">DATA_NPA!$N$12</definedName>
    <definedName name="TP_P_NOTE_G">DATA_NPA!$N$15</definedName>
    <definedName name="TP_P_NOTE_G_1">DATA_NPA!$N$16</definedName>
    <definedName name="TP_P_NOTE_V">DATA_NPA!$N$13</definedName>
    <definedName name="TP_P_NOTE_V_1">DATA_NPA!$N$14</definedName>
    <definedName name="TP_P_V">DATA_NPA!$M$13</definedName>
    <definedName name="TP_P_V_1">DATA_NPA!$M$14</definedName>
    <definedName name="TYPE_TKO_LIST">TEHSHEET!$AZ$85:$AZ$87</definedName>
    <definedName name="UNIT_CONNECT_LIST">TEHSHEET!$AZ$106:$AZ$108</definedName>
    <definedName name="VDET_END_DATE">TEHSHEET!$F$32</definedName>
    <definedName name="VDET_START_DATE">TEHSHEET!$E$32</definedName>
    <definedName name="version">Инструкция!$B$3</definedName>
    <definedName name="VOTV_FIN_SRC_LIST">TEHSHEET!$BL$4:$BL$36</definedName>
    <definedName name="VOTV_FIN_SRC_VLD_LIST">TEHSHEET!$BL$39:$BL$62</definedName>
    <definedName name="VOTV_IP_EVENT_CI_STAGE_LIST">TEHSHEET!$BL$97:$BL$100</definedName>
    <definedName name="VOTV_IP_EVENT_GROUP_LIST">TEHSHEET!$BL$69:$BL$76</definedName>
    <definedName name="VOTV_IP_EVENT_SUBGROUP_1_LIST">TEHSHEET!$BL$80:$BL$83</definedName>
    <definedName name="VOTV_IP_EVENT_SUBGROUP_3_LIST">TEHSHEET!$BL$87:$BL$88</definedName>
    <definedName name="VOTV_IP_EVENT_SUBGROUP_5_LIST">TEHSHEET!$BL$92:$BL$93</definedName>
    <definedName name="VOTV_IP_EVENT_TYPE_LIST">TEHSHEET!$BL$108</definedName>
    <definedName name="VOTV_PT_VED_ID">TEHSHEET!$BZ$19:$BZ$21</definedName>
    <definedName name="VOTV_PT_VED_NAME">TEHSHEET!$CA$19:$CA$21</definedName>
    <definedName name="VOTV_PT_VED_NAME_LIST">TEHSHEET!$BZ$19:$CA$21</definedName>
    <definedName name="VOTV_TARIFF_A_VOTV_ADD_HL_COLUMN_MARKER">'ВО. Т-во'!$T$34</definedName>
    <definedName name="VOTV_TARIFF_A_VOTV_DEL_HL_DATA_DIFF_COLUMN_MARKER">'ВО. Т-во'!$R$34</definedName>
    <definedName name="VOTV_TARIFF_A_VOTV_DEL_HL_FLAG_DIFF_COLUMN_MARKER">'ВО. Т-во'!$P$34</definedName>
    <definedName name="VOTV_TARIFF_A_VOTV_DEL_HL_GC_COLUMN_MARKER">'ВО. Т-во'!$Q$34</definedName>
    <definedName name="VOTV_TARIFF_A_VOTV_DELETE_PERIOD_ROW_MARKER">'ВО. Т-во'!$O$35</definedName>
    <definedName name="VOTV_TARIFF_A_VOTV_FLAG_BLOCK_COLUMN_MARKER">'ВО. Т-во'!$L$36</definedName>
    <definedName name="VOTV_TARIFF_A_VOTV_FLAG_BLOCK_ROW_MARKER">'ВО. Т-во'!$O$20</definedName>
    <definedName name="VOTV_TARIFF_A_VOTV_NUM_CS_COLUMN_MARKER">'ВО. Т-во'!$G$36</definedName>
    <definedName name="VOTV_TARIFF_A_VOTV_NUM_DATA_DIFF_COLUMN_MARKER">'ВО. Т-во'!$K$36</definedName>
    <definedName name="VOTV_TARIFF_A_VOTV_NUM_FLAG_DIFF_COLUMN_MARKER">'ВО. Т-во'!$I$36</definedName>
    <definedName name="VOTV_TARIFF_A_VOTV_NUM_GC_COLUMN_MARKER">'ВО. Т-во'!$J$36</definedName>
    <definedName name="VOTV_TARIFF_A_VOTV_NUM_NTAR_COLUMN_MARKER">'ВО. Т-во'!$E$36</definedName>
    <definedName name="VOTV_TARIFF_A_VOTV_NUM_TER_COLUMN_MARKER">'ВО. Т-во'!$F$36</definedName>
    <definedName name="VOTV_TARIFF_B_VOTV_ADD_HL_COLUMN_MARKER">'ВО. Т-транс'!$T$34</definedName>
    <definedName name="VOTV_TARIFF_B_VOTV_DEL_HL_DATA_DIFF_COLUMN_MARKER">'ВО. Т-транс'!$R$34</definedName>
    <definedName name="VOTV_TARIFF_B_VOTV_DEL_HL_FLAG_DIFF_COLUMN_MARKER">'ВО. Т-транс'!$P$34</definedName>
    <definedName name="VOTV_TARIFF_B_VOTV_DEL_HL_GC_COLUMN_MARKER">'ВО. Т-транс'!$Q$34</definedName>
    <definedName name="VOTV_TARIFF_B_VOTV_DELETE_PERIOD_ROW_MARKER">'ВО. Т-транс'!$O$35</definedName>
    <definedName name="VOTV_TARIFF_B_VOTV_FLAG_BLOCK_COLUMN_MARKER">'ВО. Т-транс'!$L$36</definedName>
    <definedName name="VOTV_TARIFF_B_VOTV_FLAG_BLOCK_ROW_MARKER">'ВО. Т-транс'!$O$20</definedName>
    <definedName name="VOTV_TARIFF_B_VOTV_NUM_CS_COLUMN_MARKER">'ВО. Т-транс'!$G$36</definedName>
    <definedName name="VOTV_TARIFF_B_VOTV_NUM_DATA_DIFF_COLUMN_MARKER">'ВО. Т-транс'!$K$36</definedName>
    <definedName name="VOTV_TARIFF_B_VOTV_NUM_FLAG_DIFF_COLUMN_MARKER">'ВО. Т-транс'!$I$36</definedName>
    <definedName name="VOTV_TARIFF_B_VOTV_NUM_GC_COLUMN_MARKER">'ВО. Т-транс'!$J$36</definedName>
    <definedName name="VOTV_TARIFF_B_VOTV_NUM_NTAR_COLUMN_MARKER">'ВО. Т-транс'!$E$36</definedName>
    <definedName name="VOTV_TARIFF_B_VOTV_NUM_TER_COLUMN_MARKER">'ВО. Т-транс'!$F$36</definedName>
    <definedName name="VOTV_TARIFF_C_VOTV_ADD_HL_COLUMN_MARKER">'ВО. Т-подкл'!$T$38</definedName>
    <definedName name="VOTV_TARIFF_C_VOTV_ADD_HL_DIAMETERS_COLUMN_MARKER">'ВО. Т-подкл'!$AK$38</definedName>
    <definedName name="VOTV_TARIFF_C_VOTV_ADD_HL_LEN_COLUMN_MARKER">'ВО. Т-подкл'!$AO$38</definedName>
    <definedName name="VOTV_TARIFF_C_VOTV_ADD_HL_LOAD_COLUMN_MARKER">'ВО. Т-подкл'!$AG$38</definedName>
    <definedName name="VOTV_TARIFF_C_VOTV_ADD_HL_NETS_COLUMN_MARKER">'ВО. Т-подкл'!$AS$38</definedName>
    <definedName name="VOTV_TARIFF_C_VOTV_DEL_HL_DATA_DIFF_COLUMN_MARKER">'ВО. Т-подкл'!$R$38</definedName>
    <definedName name="VOTV_TARIFF_C_VOTV_DEL_HL_DIAMETERS_COLUMN_MARKER">'ВО. Т-подкл'!$AI$38</definedName>
    <definedName name="VOTV_TARIFF_C_VOTV_DEL_HL_FLAG_DIFF_COLUMN_MARKER">'ВО. Т-подкл'!$P$38</definedName>
    <definedName name="VOTV_TARIFF_C_VOTV_DEL_HL_GC_COLUMN_MARKER">'ВО. Т-подкл'!$Q$38</definedName>
    <definedName name="VOTV_TARIFF_C_VOTV_DEL_HL_LEN_COLUMN_MARKER">'ВО. Т-подкл'!$AM$38</definedName>
    <definedName name="VOTV_TARIFF_C_VOTV_DEL_HL_LOAD_COLUMN_MARKER">'ВО. Т-подкл'!$AE$38</definedName>
    <definedName name="VOTV_TARIFF_C_VOTV_DEL_HL_NETS_COLUMN_MARKER">'ВО. Т-подкл'!$AQ$38</definedName>
    <definedName name="VOTV_TARIFF_C_VOTV_DELETE_PERIOD_ROW_MARKER">'ВО. Т-подкл'!$O$39</definedName>
    <definedName name="VOTV_TARIFF_C_VOTV_FLAG_BLOCK_COLUMN_MARKER">'ВО. Т-подкл'!$L$44</definedName>
    <definedName name="VOTV_TARIFF_C_VOTV_FLAG_BLOCK_ROW_MARKER">'ВО. Т-подкл'!$O$24</definedName>
    <definedName name="VOTV_TARIFF_C_VOTV_NUM_CS_COLUMN_MARKER">'ВО. Т-подкл'!$G$44</definedName>
    <definedName name="VOTV_TARIFF_C_VOTV_NUM_DATA_DIFF_COLUMN_MARKER">'ВО. Т-подкл'!$K$44</definedName>
    <definedName name="VOTV_TARIFF_C_VOTV_NUM_DIAMETERS_COLUMN_MARKER">'ВО. Т-подкл'!$AJ$38</definedName>
    <definedName name="VOTV_TARIFF_C_VOTV_NUM_FLAG_DIFF_COLUMN_MARKER">'ВО. Т-подкл'!$I$44</definedName>
    <definedName name="VOTV_TARIFF_C_VOTV_NUM_GC_COLUMN_MARKER">'ВО. Т-подкл'!$J$44</definedName>
    <definedName name="VOTV_TARIFF_C_VOTV_NUM_LEN_COLUMN_MARKER">'ВО. Т-подкл'!$AN$38</definedName>
    <definedName name="VOTV_TARIFF_C_VOTV_NUM_LOAD_COLUMN_MARKER">'ВО. Т-подкл'!$AF$38</definedName>
    <definedName name="VOTV_TARIFF_C_VOTV_NUM_NETS_COLUMN_MARKER">'ВО. Т-подкл'!$AR$38</definedName>
    <definedName name="VOTV_TARIFF_C_VOTV_NUM_NTAR_COLUMN_MARKER">'ВО. Т-подкл'!$E$44</definedName>
    <definedName name="VOTV_TARIFF_C_VOTV_NUM_TER_COLUMN_MARKER">'ВО. Т-подкл'!$F$44</definedName>
    <definedName name="VSNA_FIN_SRC_LIST">TEHSHEET!$BJ$4:$BJ$34</definedName>
    <definedName name="VSNA_FIN_SRC_VLD_LIST">TEHSHEET!$BJ$39:$BJ$60</definedName>
    <definedName name="VSNA_IP_EVENT_CI_STAGE_LIST">TEHSHEET!$BJ$97:$BJ$100</definedName>
    <definedName name="VSNA_IP_EVENT_GROUP_LIST">TEHSHEET!$BJ$69:$BJ$76</definedName>
    <definedName name="VSNA_IP_EVENT_SUBGROUP_1_LIST">TEHSHEET!$BJ$80:$BJ$83</definedName>
    <definedName name="VSNA_IP_EVENT_SUBGROUP_3_LIST">TEHSHEET!$BJ$87:$BJ$88</definedName>
    <definedName name="VSNA_IP_EVENT_SUBGROUP_5_LIST">TEHSHEET!$BJ$92:$BJ$93</definedName>
    <definedName name="VSNA_IP_EVENT_TYPE_LIST">TEHSHEET!$BJ$108</definedName>
    <definedName name="VTAR_ID">TEHSHEET!$E$59</definedName>
    <definedName name="Y_N_DIFFERENTIATION_AREA">Дифференциация!$F$12:$F$16</definedName>
    <definedName name="Y_N_DIFFERENTIATION_SYSTEM">Дифференциация!$J$12:$J$16</definedName>
    <definedName name="YEAR_IP_LIST">TEHSHEET!$BE$2:$BE$72</definedName>
    <definedName name="year_list">TEHSHEET!$C$2:$C$6</definedName>
    <definedName name="year_list1">TEHSHEET!$B$2:$B$27</definedName>
    <definedName name="REESTR_IP_RANGE">REESTR_IP!$A$2:$I$58</definedName>
    <definedName name="VD_LIST">REESTR_VED!$A$2:$B$11</definedName>
    <definedName name="VD_ID_LIST">REESTR_VED!$A$2:$A$11</definedName>
    <definedName name="VD_NAME_LIST">REESTR_VED!$B$2:$B$11</definedName>
    <definedName name="et_B_FHD20_1">et_union_hor!$127:$135</definedName>
    <definedName name="ter_1">'Список территорий'!$G$13:$I$13</definedName>
    <definedName name="pt_ntar_30">'ТС. Т-ТЭ | &gt;=25МВт'!$69:$94</definedName>
    <definedName name="pt_ter_30">'ТС. Т-ТЭ | &gt;=25МВт'!$70:$81</definedName>
    <definedName name="pt_cs_30">'ТС. Т-ТЭ | &gt;=25МВт'!$71:$80</definedName>
    <definedName name="pt_ist_te_30">'ТС. Т-ТЭ | &gt;=25МВт'!$72:$79</definedName>
    <definedName name="ter_51">'Список территорий'!$G$16:$I$16</definedName>
    <definedName name="ter_511">'Список территорий'!$G$19:$I$19</definedName>
    <definedName name="pt_ter_31">'ТС. Т-ТЭ | &gt;=25МВт'!$56:$67</definedName>
    <definedName name="pt_cs_31">'ТС. Т-ТЭ | &gt;=25МВт'!$57:$66</definedName>
    <definedName name="pt_ist_te_31">'ТС. Т-ТЭ | &gt;=25МВт'!$58:$65</definedName>
    <definedName name="pt_ter_32">'ТС. Т-ТЭ | &gt;=25МВт'!$82:$93</definedName>
    <definedName name="pt_cs_32">'ТС. Т-ТЭ | &gt;=25МВт'!$83:$92</definedName>
    <definedName name="pt_ist_te_32">'ТС. Т-ТЭ | &gt;=25МВт'!$84:$91</definedName>
    <definedName name="pt_ntar_301">'ТС. Т-ТЭ | &gt;=25МВт'!$95:$108</definedName>
    <definedName name="pt_ter_33">'ТС. Т-ТЭ | &gt;=25МВт'!$96:$107</definedName>
    <definedName name="pt_cs_33">'ТС. Т-ТЭ | &gt;=25МВт'!$97:$106</definedName>
    <definedName name="pt_ist_te_33">'ТС. Т-ТЭ | &gt;=25МВт'!$98:$105</definedName>
    <definedName name="pt_ntar_3011">'ТС. Т-ТЭ | &gt;=25МВт'!$109:$122</definedName>
    <definedName name="pt_ter_34">'ТС. Т-ТЭ | &gt;=25МВт'!$110:$121</definedName>
    <definedName name="pt_cs_34">'ТС. Т-ТЭ | &gt;=25МВт'!$111:$120</definedName>
    <definedName name="pt_ist_te_34">'ТС. Т-ТЭ | &gt;=25МВт'!$112:$119</definedName>
    <definedName name="pt_ntar_30111">'ТС. Т-ТЭ | &gt;=25МВт'!$123:$136</definedName>
    <definedName name="pt_ter_35">'ТС. Т-ТЭ | &gt;=25МВт'!$124:$135</definedName>
    <definedName name="pt_cs_35">'ТС. Т-ТЭ | &gt;=25МВт'!$125:$134</definedName>
    <definedName name="pt_ist_te_35">'ТС. Т-ТЭ | &gt;=25МВт'!$126:$133</definedName>
    <definedName name="pt_ntar_301111">'ТС. Т-ТЭ | &gt;=25МВт'!$137:$150</definedName>
    <definedName name="pt_ter_36">'ТС. Т-ТЭ | &gt;=25МВт'!$138:$149</definedName>
    <definedName name="pt_cs_36">'ТС. Т-ТЭ | &gt;=25МВт'!$139:$148</definedName>
    <definedName name="pt_ist_te_36">'ТС. Т-ТЭ | &gt;=25МВт'!$140:$147</definedName>
    <definedName name="pt_ntar_3011111">'ТС. Т-ТЭ | &gt;=25МВт'!$151:$164</definedName>
    <definedName name="pt_ter_37">'ТС. Т-ТЭ | &gt;=25МВт'!$152:$163</definedName>
    <definedName name="pt_cs_37">'ТС. Т-ТЭ | &gt;=25МВт'!$153:$162</definedName>
    <definedName name="pt_ist_te_37">'ТС. Т-ТЭ | &gt;=25МВт'!$154:$161</definedName>
    <definedName name="pt_ntar_30111111">'ТС. Т-ТЭ | &gt;=25МВт'!$165:$178</definedName>
    <definedName name="pt_ter_38">'ТС. Т-ТЭ | &gt;=25МВт'!$166:$177</definedName>
    <definedName name="pt_cs_38">'ТС. Т-ТЭ | &gt;=25МВт'!$167:$176</definedName>
    <definedName name="pt_ist_te_38">'ТС. Т-ТЭ | &gt;=25МВт'!$168:$175</definedName>
    <definedName name="pt_ter_39">'ТС. Т-ТЭ | &gt;=25МВт'!#REF!</definedName>
    <definedName name="pt_cs_39">'ТС. Т-ТЭ | &gt;=25МВт'!#REF!</definedName>
    <definedName name="pt_ist_te_39">'ТС. Т-ТЭ | &gt;=25МВт'!#REF!</definedName>
    <definedName name="pt_ntar_3011111111">'ТС. Т-ТЭ | ТСО'!$57:$70</definedName>
    <definedName name="pt_ter_40">'ТС. Т-ТЭ | ТСО'!$58:$69</definedName>
    <definedName name="pt_cs_40">'ТС. Т-ТЭ | ТСО'!$59:$68</definedName>
    <definedName name="pt_ist_te_40">'ТС. Т-ТЭ | ТСО'!$60:$67</definedName>
    <definedName name="pt_ntar_30111111111">'ТС. Т-ТЭ | ТСО'!$71:$84</definedName>
    <definedName name="pt_ter_41">'ТС. Т-ТЭ | ТСО'!$72:$83</definedName>
    <definedName name="pt_cs_41">'ТС. Т-ТЭ | ТСО'!$73:$82</definedName>
    <definedName name="pt_ist_te_41">'ТС. Т-ТЭ | ТСО'!$74:$81</definedName>
    <definedName name="pt_ntar_301111111111">'ТС. Т-ТЭ | ТСО'!$85:$110</definedName>
    <definedName name="pt_ter_42">'ТС. Т-ТЭ | ТСО'!$86:$97</definedName>
    <definedName name="pt_cs_42">'ТС. Т-ТЭ | ТСО'!$87:$96</definedName>
    <definedName name="pt_ist_te_42">'ТС. Т-ТЭ | ТСО'!$88:$95</definedName>
    <definedName name="pt_ter_43">'ТС. Т-ТЭ | ТСО'!$98:$109</definedName>
    <definedName name="pt_cs_43">'ТС. Т-ТЭ | ТСО'!$99:$108</definedName>
    <definedName name="pt_ist_te_43">'ТС. Т-ТЭ | ТСО'!$100:$107</definedName>
    <definedName name="pt_ntar_3011111111111">'ТС. Т-ТН'!$69:$94</definedName>
    <definedName name="pt_ter_44">'ТС. Т-ТН'!$70:$81</definedName>
    <definedName name="pt_cs_44">'ТС. Т-ТН'!$71:$80</definedName>
    <definedName name="pt_ist_te_44">'ТС. Т-ТН'!$72:$79</definedName>
    <definedName name="pt_ter_45">'ТС. Т-ТН'!$56:$67</definedName>
    <definedName name="pt_cs_45">'ТС. Т-ТН'!$57:$66</definedName>
    <definedName name="pt_ist_te_45">'ТС. Т-ТН'!$58:$65</definedName>
    <definedName name="pt_ter_46">'ТС. Т-ТН'!$82:$93</definedName>
    <definedName name="pt_cs_46">'ТС. Т-ТН'!$83:$92</definedName>
    <definedName name="pt_ist_te_46">'ТС. Т-ТН'!$84:$91</definedName>
    <definedName name="pt_ntar_30111111111111">'ТС. Т-гор.вода'!$65:$80</definedName>
    <definedName name="pt_ter_47">'ТС. Т-гор.вода'!$66:$79</definedName>
    <definedName name="pt_cs_47">'ТС. Т-гор.вода'!$67:$78</definedName>
    <definedName name="pt_ist_te_47">'ТС. Т-гор.вода'!$68:$77</definedName>
    <definedName name="pt_ntar_301111111111111">'ТС. Т-гор.вода'!$81:$96</definedName>
    <definedName name="pt_ter_48">'ТС. Т-гор.вода'!$82:$95</definedName>
    <definedName name="pt_cs_48">'ТС. Т-гор.вода'!$83:$94</definedName>
    <definedName name="pt_ist_te_48">'ТС. Т-гор.вода'!$84:$93</definedName>
    <definedName name="pt_ntar_3011111111111111">'ТС. Т-гор.вода'!$97:$112</definedName>
    <definedName name="pt_ter_49">'ТС. Т-гор.вода'!$98:$111</definedName>
    <definedName name="pt_cs_49">'ТС. Т-гор.вода'!$99:$110</definedName>
    <definedName name="pt_ist_te_49">'ТС. Т-гор.вода'!$100:$109</definedName>
    <definedName name="pt_ntar_30111111111111111">'ТС. Т-гор.вода'!$113:$128</definedName>
    <definedName name="pt_ter_50">'ТС. Т-гор.вода'!$114:$127</definedName>
    <definedName name="pt_cs_50">'ТС. Т-гор.вода'!$115:$126</definedName>
    <definedName name="pt_ist_te_50">'ТС. Т-гор.вода'!$116:$125</definedName>
    <definedName name="pt_ntar_301111111111111111">'ТС. Т-гор.вода'!$129:$144</definedName>
    <definedName name="pt_ter_51">'ТС. Т-гор.вода'!$130:$143</definedName>
    <definedName name="pt_cs_51">'ТС. Т-гор.вода'!$131:$142</definedName>
    <definedName name="pt_ist_te_51">'ТС. Т-гор.вода'!$132:$141</definedName>
    <definedName name="pt_ter_52">'ТС. Резерв мощности'!$56:$67</definedName>
    <definedName name="pt_cs_52">'ТС. Резерв мощности'!$57:$66</definedName>
    <definedName name="pt_ist_te_52">'ТС. Резерв мощности'!$58:$65</definedName>
    <definedName name="pt_ter_53">'ТС. Резерв мощности'!$68:$79</definedName>
    <definedName name="pt_cs_53">'ТС. Резерв мощности'!$69:$78</definedName>
    <definedName name="pt_ist_te_53">'ТС. Резерв мощности'!$70:$77</definedName>
    <definedName name="DESCRIPTION_TERRITORY">REESTR_DS!$B$2:$B$4</definedName>
    <definedName name="_xlnm._FilterDatabase" localSheetId="59">Проверка!$B$4:$E$5</definedName>
  </definedNames>
  <calcPr calcId="0" iterate="1" iterateCount="100" iterateDelta="0.001"/>
</workbook>
</file>

<file path=xl/comments1.xml><?xml version="1.0" encoding="utf-8"?>
<comments xmlns="http://schemas.openxmlformats.org/spreadsheetml/2006/main">
  <authors>
    <author>Author</author>
  </authors>
  <commentList>
    <comment ref="E37" authorId="0">
      <text>
        <r>
          <rPr>
            <sz val="9"/>
            <color indexed="81"/>
            <rFont val="Arial"/>
            <family val="2"/>
          </rPr>
          <t>ОСН - Общая система налогообложения
УСН - Упрощённая система налогообложения
ЕСХН - Единый сельскохозяйственный налог
ПСН - Патентная система налогообложения
НПД - Налог на профессиональный доход</t>
        </r>
      </text>
    </comment>
  </commentList>
</comments>
</file>

<file path=xl/comments2.xml><?xml version="1.0" encoding="utf-8"?>
<comments xmlns="http://schemas.openxmlformats.org/spreadsheetml/2006/main">
  <authors>
    <author>Author</author>
  </authors>
  <commentList>
    <comment ref="AZ1" authorId="0">
      <text>
        <r>
          <rPr>
            <sz val="9"/>
            <color indexed="81"/>
            <rFont val="Tahoma"/>
            <family val="2"/>
          </rPr>
          <t>Тип организации</t>
        </r>
      </text>
    </comment>
    <comment ref="L6" authorId="0">
      <text>
        <r>
          <rPr>
            <sz val="9"/>
            <color indexed="81"/>
            <rFont val="Tahoma"/>
            <family val="2"/>
          </rPr>
          <t>тут будет больше 0, если выбран хотя бы один метод, отличный от экономически обоснованных</t>
        </r>
      </text>
    </comment>
  </commentList>
</comments>
</file>

<file path=xl/comments3.xml><?xml version="1.0" encoding="utf-8"?>
<comments xmlns="http://schemas.openxmlformats.org/spreadsheetml/2006/main">
  <authors>
    <author>Author</author>
  </authors>
  <commentList>
    <comment ref="P2" authorId="0">
      <text>
        <r>
          <rPr>
            <sz val="9"/>
            <color indexed="81"/>
            <rFont val="Arial"/>
            <family val="2"/>
          </rPr>
          <t>сюда же для некоторых формул может входить:
- VOTV
- HOTVSNA</t>
        </r>
      </text>
    </comment>
    <comment ref="U2" authorId="0">
      <text>
        <r>
          <rPr>
            <sz val="9"/>
            <color indexed="81"/>
            <rFont val="Arial"/>
            <family val="2"/>
          </rPr>
          <t>сюда же для некоторых формул может входить:
- VOTV
- HOTVSNA</t>
        </r>
      </text>
    </comment>
  </commentList>
</comments>
</file>

<file path=xl/sharedStrings.xml><?xml version="1.0" encoding="utf-8"?>
<sst xmlns="http://schemas.openxmlformats.org/spreadsheetml/2006/main" count="13773" uniqueCount="3158">
  <si>
    <t xml:space="preserve"> (требуется обновление)</t>
  </si>
  <si>
    <t>Код отчёта: PP110.OPEN.INFO.PRICE.HEAT.EIAS</t>
  </si>
  <si>
    <t>Версия отчёта: 1.1.1</t>
  </si>
  <si>
    <t>Условные обозначения</t>
  </si>
  <si>
    <t>A</t>
  </si>
  <si>
    <t xml:space="preserve"> - предназначенные для заполнения</t>
  </si>
  <si>
    <t xml:space="preserve"> - ссылки и автозаполняемые поля</t>
  </si>
  <si>
    <t xml:space="preserve"> - с формулами и константами</t>
  </si>
  <si>
    <t xml:space="preserve"> - обязательные для заполнения</t>
  </si>
  <si>
    <t>Работа с реестрами</t>
  </si>
  <si>
    <t>Если в предложенном Вам списке необходимая организация, территория или объект отсутствуют, обновите списки с помощью элементов управления на листах. Если после обновления Вам не удалось найти необходимую позицию в списке, обратитесь к ответственному за поддержание реестра Вашего региона либо в Отдел сопровождения пользователей ЕИАС.</t>
  </si>
  <si>
    <t>Проверка отчёта</t>
  </si>
  <si>
    <t>• При сохранении отчётной формы осуществляется проверка корректности данных_x000D_
• Для каждого сообщения возможны 2 статуса: ошибка и предупреждение_x000D_
• При наличии сообщений со статусом «Ошибка» файл будет отклонён системой и не будет загружен в хранилище данных, сообщения со статусом «Предупреждение» носят информационный характер, и такой файл будет принят к обработке системой</t>
  </si>
  <si>
    <t>26467270</t>
  </si>
  <si>
    <t>Flag_Row_Size</t>
  </si>
  <si>
    <t>Субъект РФ</t>
  </si>
  <si>
    <t>Мурманская область</t>
  </si>
  <si>
    <t>Состав раскрываемой информации</t>
  </si>
  <si>
    <t>Привлечение к ответственности за указанный период отсутствует</t>
  </si>
  <si>
    <t>нет</t>
  </si>
  <si>
    <t>PRICE, REQUEST</t>
  </si>
  <si>
    <t>Начало_x000D_
периода регулирования</t>
  </si>
  <si>
    <t>Как заполнить?</t>
  </si>
  <si>
    <t>Начало периода регулирования</t>
  </si>
  <si>
    <t>Окончание_x000D_
периода регулирования</t>
  </si>
  <si>
    <t>Окончание периода регулирования</t>
  </si>
  <si>
    <t>ORG</t>
  </si>
  <si>
    <t>Дата_x000D_
предоставления информации</t>
  </si>
  <si>
    <t/>
  </si>
  <si>
    <t>Дата предоставления информации</t>
  </si>
  <si>
    <t>BALANCE, QUARTER, TERMS</t>
  </si>
  <si>
    <t>Год</t>
  </si>
  <si>
    <t>Отчётный период (год)</t>
  </si>
  <si>
    <t>QUARTER</t>
  </si>
  <si>
    <t>Квартал</t>
  </si>
  <si>
    <t>Отчётный период (квартал)</t>
  </si>
  <si>
    <t>Тип отчёта</t>
  </si>
  <si>
    <t>изменения в раскрытой ранее информации</t>
  </si>
  <si>
    <t>Дата внесения изменений в информацию, подлежащую раскрытию</t>
  </si>
  <si>
    <t>Отображается, если тип отчёта - изменение</t>
  </si>
  <si>
    <t>Данный блок предлагается заполнять из отчётной формы BALANCE.CALC.TARIFF.ххх.хххх</t>
  </si>
  <si>
    <t>44/65; 44/66</t>
  </si>
  <si>
    <t>Наименование органа регулирования, принявшего решение об утверждении тарифов</t>
  </si>
  <si>
    <t>Комитет по тарифному регулированию Мурманской области</t>
  </si>
  <si>
    <t>Источник официального опубликования решения</t>
  </si>
  <si>
    <t xml:space="preserve">Официальный электронный бюллетень Правительства Мурманской области </t>
  </si>
  <si>
    <t>Открывается, если Тип отчёта "изменения в раскрытой ранее информации"</t>
  </si>
  <si>
    <t>53/77; 53/49</t>
  </si>
  <si>
    <t>Наименование органа регулирования, принявшего решение об изменении тарифов</t>
  </si>
  <si>
    <t>Официальный электронный бюллетень Правительства Мурманской области</t>
  </si>
  <si>
    <t>ПАО "ТГК-1" (филиал "Кольский")</t>
  </si>
  <si>
    <t>Наименование (описание) обособленного подразделения</t>
  </si>
  <si>
    <t>ИНН</t>
  </si>
  <si>
    <t>7841312071</t>
  </si>
  <si>
    <t>КПП</t>
  </si>
  <si>
    <t>519001001</t>
  </si>
  <si>
    <t>Тип теплоснабжающей организации</t>
  </si>
  <si>
    <t>Единая теплоснабжающая организация в ценовой зоне теплоснабжения</t>
  </si>
  <si>
    <t>Система налогообложения</t>
  </si>
  <si>
    <t>ОСН</t>
  </si>
  <si>
    <t>Отсутствует Интернет в границах территории МО, где организация осуществляет регулируемые виды деятельности</t>
  </si>
  <si>
    <t>Опубликовать индикативный предельный уровень цен на тепловую энергию (мощность)</t>
  </si>
  <si>
    <t>График поэтапного равномерного доведения предельного уровня цены на тепловую энергию (мощность)</t>
  </si>
  <si>
    <r>
      <t xml:space="preserve">Тариф на горячую воду предлагается </t>
    </r>
    <r>
      <rPr>
        <b/>
        <charset val="204"/>
        <family val="2"/>
        <rFont val="Tahoma"/>
        <sz val="9"/>
      </rPr>
      <t>с (!)</t>
    </r>
    <r>
      <rPr>
        <charset val="204"/>
        <family val="2"/>
        <rFont val="Tahoma"/>
        <sz val="9"/>
      </rPr>
      <t xml:space="preserve"> разбивкой по поставщикам</t>
    </r>
  </si>
  <si>
    <r>
      <t xml:space="preserve">Тариф на горячую воду предлагается </t>
    </r>
    <r>
      <rPr>
        <b/>
        <charset val="204"/>
        <family val="2"/>
        <rFont val="Tahoma"/>
        <sz val="9"/>
      </rPr>
      <t>без (!)</t>
    </r>
    <r>
      <rPr>
        <charset val="204"/>
        <family val="2"/>
        <rFont val="Tahoma"/>
        <sz val="9"/>
      </rPr>
      <t xml:space="preserve"> разбивки на компоненты</t>
    </r>
  </si>
  <si>
    <t>да</t>
  </si>
  <si>
    <t>Организация осуществляет поставку товаров (оказание услуг) только по нерегулируемым ценам</t>
  </si>
  <si>
    <t>Регулируемая организация осуществляет сдачу годового бухгалтерского баланса в налоговые органы</t>
  </si>
  <si>
    <t>Дата направления годового бухгалтерского баланса в налоговые органы</t>
  </si>
  <si>
    <t>Превышает ли выручка от регулируемой деятельности 80% совокупной выручки за отчетный год</t>
  </si>
  <si>
    <t>Организация выполняет инвестиционную программу</t>
  </si>
  <si>
    <t>Детализация инвестиционных программ осуществляется</t>
  </si>
  <si>
    <t>Оператор по обращению с твёрдыми коммунальными отходами, осуществляет деятельность по транспортированию твёрдых коммунальных отходов</t>
  </si>
  <si>
    <t>Почтовый адрес регулируемой организации</t>
  </si>
  <si>
    <t>184355, Мурманская обл., Кольский р-н, п. Мурмаши, ул. Советская, д.2</t>
  </si>
  <si>
    <t>Фамилия, имя, отчество руководителя</t>
  </si>
  <si>
    <t>Информация скрыта на основании Указа Президента РФ от 27.10.2023 №903 и Приказа ПАО «ТГК-1» от 26.12.2024 №200</t>
  </si>
  <si>
    <t>Ответственный за заполнение формы</t>
  </si>
  <si>
    <t>Фамилия, имя, отчество</t>
  </si>
  <si>
    <t>Синельцева Е.В.</t>
  </si>
  <si>
    <t>Должность</t>
  </si>
  <si>
    <t>ведущий экономист</t>
  </si>
  <si>
    <t>Контактный телефон</t>
  </si>
  <si>
    <t>8 (81553) 69447</t>
  </si>
  <si>
    <t>E-mail</t>
  </si>
  <si>
    <t>Sineltseva.EV@tgc1.ru</t>
  </si>
  <si>
    <t>Flag_Col_Size</t>
  </si>
  <si>
    <t>МР</t>
  </si>
  <si>
    <t>МО</t>
  </si>
  <si>
    <t>ОКТМО</t>
  </si>
  <si>
    <t>Муниципальный район</t>
  </si>
  <si>
    <t>Муниципальное образование</t>
  </si>
  <si>
    <t>№ п/п</t>
  </si>
  <si>
    <t>Наименование</t>
  </si>
  <si>
    <t>3</t>
  </si>
  <si>
    <t>4</t>
  </si>
  <si>
    <t>6</t>
  </si>
  <si>
    <t>7</t>
  </si>
  <si>
    <t>размерженный МР</t>
  </si>
  <si>
    <t>флаг используемости территории на листе Перечень тарифов</t>
  </si>
  <si>
    <t>копия территорий</t>
  </si>
  <si>
    <t>МР (ОКТМО)</t>
  </si>
  <si>
    <t>ter_1</t>
  </si>
  <si>
    <t>31</t>
  </si>
  <si>
    <t>город Апатиты</t>
  </si>
  <si>
    <t>47519000</t>
  </si>
  <si>
    <t>Добавить МО</t>
  </si>
  <si>
    <t>2</t>
  </si>
  <si>
    <t>×</t>
  </si>
  <si>
    <t>ter_51</t>
  </si>
  <si>
    <t>32</t>
  </si>
  <si>
    <t>город Кировск</t>
  </si>
  <si>
    <t>47522000</t>
  </si>
  <si>
    <t>ter_511</t>
  </si>
  <si>
    <t>27</t>
  </si>
  <si>
    <t>Печенгский муниципальный округ</t>
  </si>
  <si>
    <t>47515000</t>
  </si>
  <si>
    <t>Добавить территорию оказания услуг</t>
  </si>
  <si>
    <t>Добавить территорию действия тарифа</t>
  </si>
  <si>
    <t>Вид деятельности</t>
  </si>
  <si>
    <t>Дифференциация по территориям</t>
  </si>
  <si>
    <t>Дифференциация по централизованным системам</t>
  </si>
  <si>
    <t>да/нет</t>
  </si>
  <si>
    <t>1</t>
  </si>
  <si>
    <t>5</t>
  </si>
  <si>
    <t>8</t>
  </si>
  <si>
    <t>ID_DIFF</t>
  </si>
  <si>
    <t>VD</t>
  </si>
  <si>
    <t>AREA</t>
  </si>
  <si>
    <t>SYSTEM</t>
  </si>
  <si>
    <t>diff_1</t>
  </si>
  <si>
    <t>a</t>
  </si>
  <si>
    <t>Добавить централизованную систему</t>
  </si>
  <si>
    <t>Добавить описание территории</t>
  </si>
  <si>
    <t>Добавить вид деятельности</t>
  </si>
  <si>
    <t>Вид тарифа</t>
  </si>
  <si>
    <t>Наименование тарифа</t>
  </si>
  <si>
    <t>Дифференциация по_x000D_
 МО (территориям)</t>
  </si>
  <si>
    <t>Дифференциация по _x000D_
централизованным системам</t>
  </si>
  <si>
    <t>Дифференциация по источникам тепловой энергии</t>
  </si>
  <si>
    <t>Примечание</t>
  </si>
  <si>
    <t>Установлен для организации</t>
  </si>
  <si>
    <t>Описание</t>
  </si>
  <si>
    <t>TER_ID</t>
  </si>
  <si>
    <t>VTAR_ID</t>
  </si>
  <si>
    <t>VD_ID</t>
  </si>
  <si>
    <t>ID_VTAR</t>
  </si>
  <si>
    <t>ID_NTAR</t>
  </si>
  <si>
    <t>ID_TER</t>
  </si>
  <si>
    <t>ID_CS</t>
  </si>
  <si>
    <t>ID_IST_TE</t>
  </si>
  <si>
    <t>ВидТарифа</t>
  </si>
  <si>
    <t>ВидДеятельности</t>
  </si>
  <si>
    <t>НаименованиеТарифа</t>
  </si>
  <si>
    <t>Территория</t>
  </si>
  <si>
    <t>ЦентрализованнаяСистема</t>
  </si>
  <si>
    <t>ИсточникТепловойЭнергии</t>
  </si>
  <si>
    <t>№ п.п НаименованиеТарифа</t>
  </si>
  <si>
    <t>№ п.п Территория</t>
  </si>
  <si>
    <t>№ п.п ЦентрализованнаяСистема</t>
  </si>
  <si>
    <t>№ п.п ИсточникТепловойЭнергии</t>
  </si>
  <si>
    <t>9</t>
  </si>
  <si>
    <t>10</t>
  </si>
  <si>
    <t>11</t>
  </si>
  <si>
    <t>12</t>
  </si>
  <si>
    <t>13</t>
  </si>
  <si>
    <t>14</t>
  </si>
  <si>
    <t>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t>
  </si>
  <si>
    <t>Тарифы на тепловую энергию (мощность) на коллекторах источника тепловой энергии. Для потребителей, в случае отсутствия дифференциации тарифов по схеме подключения. Муниципальный округ город Апатиты с подведомственной территорией Мурманской области, муниципальный округ город Кировск с подведомственной территорией Мурманской области</t>
  </si>
  <si>
    <t>открытая система теплоснабжения г. Апатиты</t>
  </si>
  <si>
    <t>Апатитская ТЭЦ</t>
  </si>
  <si>
    <t>"4190066"; "4190068"; "4190070"</t>
  </si>
  <si>
    <t>pIns_PT_VTAR_A</t>
  </si>
  <si>
    <t>pt_ntar_1</t>
  </si>
  <si>
    <t>pt_ter_1</t>
  </si>
  <si>
    <t>pt_cs_1</t>
  </si>
  <si>
    <t>pt_ist_te_1</t>
  </si>
  <si>
    <t>Добавить источник для дифференциации</t>
  </si>
  <si>
    <t>Добавить централизованную систему для дифференциации</t>
  </si>
  <si>
    <t>открытая система теплоснабжения г. Кировск</t>
  </si>
  <si>
    <t>pt_ter_31</t>
  </si>
  <si>
    <t>pt_cs_31</t>
  </si>
  <si>
    <t>pt_ist_te_31</t>
  </si>
  <si>
    <t>Добавить территорию для дифференциации</t>
  </si>
  <si>
    <t>Льготные тарифы на тепловую энергию, поставляемую группе потребителей "население". Для потребителей, в случае отсутствия дифференциации тарифов по схеме подключения. Муниципальный округ город Апатиты с подведомственной территорией Мурманской области</t>
  </si>
  <si>
    <t>pt_ntar_30</t>
  </si>
  <si>
    <t>pt_ter_30</t>
  </si>
  <si>
    <t>pt_cs_30</t>
  </si>
  <si>
    <t>pt_ist_te_30</t>
  </si>
  <si>
    <t>pt_ter_32</t>
  </si>
  <si>
    <t>pt_cs_32</t>
  </si>
  <si>
    <t>pt_ist_te_32</t>
  </si>
  <si>
    <t>Льготные тарифы на тепловую энергию, поставляемую группе потребителей "потребители (кроме населения)". Для потребителей, подключенных к тепловым сетям ПАО "ТГК-1". Муниципальный округ город Апатиты с подведомственной территорией Мурманской области</t>
  </si>
  <si>
    <t>pt_ntar_301</t>
  </si>
  <si>
    <t>pt_ter_33</t>
  </si>
  <si>
    <t>pt_cs_33</t>
  </si>
  <si>
    <t>pt_ist_te_33</t>
  </si>
  <si>
    <t>Льготные тарифы на тепловую энергию, поставляемую группе потребителей "потребители (кроме населения)". Для потребителей, подключенных к тепловым сетям АО "Апатитыэнерго". Муниципальный округ город Апатиты с подведомственной территорией Мурманской области</t>
  </si>
  <si>
    <t>pt_ntar_3011</t>
  </si>
  <si>
    <t>pt_ter_34</t>
  </si>
  <si>
    <t>pt_cs_34</t>
  </si>
  <si>
    <t>pt_ist_te_34</t>
  </si>
  <si>
    <t>Льготные тарифы на тепловую энергию, поставляемую группе потребителей "потребители (кроме населения)". Для потребителей в случае отсутствия дифференциации тарифов по схеме подключения. Муниципальный округ город Кировск с подведомственной территорией Мурманской области</t>
  </si>
  <si>
    <t>pt_ntar_30111</t>
  </si>
  <si>
    <t>pt_ter_35</t>
  </si>
  <si>
    <t>pt_cs_35</t>
  </si>
  <si>
    <t>pt_ist_te_35</t>
  </si>
  <si>
    <t>Тарифы на тепловую энергию, поставляемую потребителям. Для потребителей, подключенных к тепловым сетям ПАО "ТГК-1". Муниципальный  округ город Апатиты с подведомственной территорией Мурманской области</t>
  </si>
  <si>
    <t>pt_ntar_301111</t>
  </si>
  <si>
    <t>pt_ter_36</t>
  </si>
  <si>
    <t>pt_cs_36</t>
  </si>
  <si>
    <t>pt_ist_te_36</t>
  </si>
  <si>
    <t>Тарифы на тепловую энергию, поставляемую потребителям. Для потребителей, подключенных к тепловым сетям АО "Апатитыэнерго". Муниципальный округ город Апатиты с подведомственной территорией Мурманской области</t>
  </si>
  <si>
    <t>pt_ntar_3011111</t>
  </si>
  <si>
    <t>pt_ter_37</t>
  </si>
  <si>
    <t>pt_cs_37</t>
  </si>
  <si>
    <t>pt_ist_te_37</t>
  </si>
  <si>
    <t>Тарифы на тепловую энергию, поставляемую потребителям. Для потребителей в случае отсутствия дифференциации тарифов по схеме подключения. Муниципальный округ город Кировск с подведомственной территорией Мурманской области</t>
  </si>
  <si>
    <t>pt_ntar_30111111</t>
  </si>
  <si>
    <t>pt_ter_38</t>
  </si>
  <si>
    <t>pt_cs_38</t>
  </si>
  <si>
    <t>pt_ist_te_38</t>
  </si>
  <si>
    <t>Добавить наименование тарифа</t>
  </si>
  <si>
    <t>Тарифы на тепловую энергию (мощность), поставляемую теплоснабжающими организациями потребителям, другим теплоснабжающим организациям</t>
  </si>
  <si>
    <t xml:space="preserve">Льготные тарифы на тепловую энергию, поставляемую группе потребителей "население". Для потребителей, в случае отсутствия дифференциации тарифов по схеме подключения. Населенный пункт Раякоски Печенгского муниципального округа Мурманской области
</t>
  </si>
  <si>
    <t>закрытая система теплоснабжения нп Раякоски</t>
  </si>
  <si>
    <t>Электрокотельные нп Раякоски</t>
  </si>
  <si>
    <t>"4190064"; "4190066"; "4190068"; "4190070"</t>
  </si>
  <si>
    <t>pIns_PT_VTAR_B</t>
  </si>
  <si>
    <t>pt_ntar_2</t>
  </si>
  <si>
    <t>pt_ter_2</t>
  </si>
  <si>
    <t>pt_cs_2</t>
  </si>
  <si>
    <t>pt_ist_te_2</t>
  </si>
  <si>
    <t>Льготные тарифы на тепловую энергию, поставляемую группе потребителей "потребители (кроме населения)". Для потребителей, в случае отсутствия дифференциации тарифов по схеме подключения. Населенный пункт Раякоски Печенгского муниципального округа Мурманской области</t>
  </si>
  <si>
    <t>pt_ntar_3011111111</t>
  </si>
  <si>
    <t>pt_ter_40</t>
  </si>
  <si>
    <t>pt_cs_40</t>
  </si>
  <si>
    <t>pt_ist_te_40</t>
  </si>
  <si>
    <t>Тарифы на тепловую энергию, поставляемую потребителям. Для потребителей в случае отсутствия дифференциации тарифов по схеме подключения. Населенный пункт Раякоски Печенгского муниципального округа Мурманской области</t>
  </si>
  <si>
    <t>pt_ntar_30111111111</t>
  </si>
  <si>
    <t>pt_ter_41</t>
  </si>
  <si>
    <t>pt_cs_41</t>
  </si>
  <si>
    <t>pt_ist_te_41</t>
  </si>
  <si>
    <t>Тарифы на тепловую энергию, поставляемую теплоснабжающим, теплосетевым организациям, приобретающим тепловую энергию с целью компенсации потерь. Для теплоснабжающих, теплосетевых организаций, приобретающих тепловую энергию на коллекторах источника тепловой энергии (Апатитская ТЭЦ). Муниципальный округ город Кировск с подведомственной территорией Мурманской области, Муниципальный округ город Апатиты с подведомственной территорией Мурманской области</t>
  </si>
  <si>
    <t>pt_ntar_301111111111</t>
  </si>
  <si>
    <t>pt_ter_42</t>
  </si>
  <si>
    <t>pt_cs_42</t>
  </si>
  <si>
    <t>pt_ist_te_42</t>
  </si>
  <si>
    <t>pt_ter_43</t>
  </si>
  <si>
    <t>pt_cs_43</t>
  </si>
  <si>
    <t>pt_ist_te_43</t>
  </si>
  <si>
    <t>Тарифы на теплоноситель, поставляемый теплоснабжающими организациями потребителям, другим теплоснабжающим организациям</t>
  </si>
  <si>
    <t>Тарифы на теплоноситель, поставляемый группе потребителей "население". Муниципальный округ город Апатиты с подведомственной территорией Мурманской области, муниципальный округ город Кировск с подведомственной территорией Мурманской области</t>
  </si>
  <si>
    <t>"4190067"; "4190069"; "4190070"</t>
  </si>
  <si>
    <t>pIns_PT_VTAR_C</t>
  </si>
  <si>
    <t>pt_ntar_3</t>
  </si>
  <si>
    <t>pt_ter_3</t>
  </si>
  <si>
    <t>pt_cs_3</t>
  </si>
  <si>
    <t>pt_ist_te_3</t>
  </si>
  <si>
    <t>pt_ter_45</t>
  </si>
  <si>
    <t>pt_cs_45</t>
  </si>
  <si>
    <t>pt_ist_te_45</t>
  </si>
  <si>
    <t>Тарифы на теплоноситель, поставляемый потребителям. Муниципальный округ город Апатиты с подведомственной территорией Мурманской области, муниципальный округ город Кировск с подведомственной территорией Мурманской области</t>
  </si>
  <si>
    <t>pt_ntar_3011111111111</t>
  </si>
  <si>
    <t>pt_ter_44</t>
  </si>
  <si>
    <t>pt_cs_44</t>
  </si>
  <si>
    <t>pt_ist_te_44</t>
  </si>
  <si>
    <t>pt_ter_46</t>
  </si>
  <si>
    <t>pt_cs_46</t>
  </si>
  <si>
    <t>pt_ist_te_46</t>
  </si>
  <si>
    <t>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t>
  </si>
  <si>
    <t>Тарифы на горячую воду в открытых системах теплоснабжения (горячее водоснабжение), поставляемую группе потребителей "население". Муниципальный округ город Апатиты с подведомственной территорией Мурманской области.</t>
  </si>
  <si>
    <t>pIns_PT_VTAR_D</t>
  </si>
  <si>
    <t>pt_ntar_4</t>
  </si>
  <si>
    <t>pt_ter_4</t>
  </si>
  <si>
    <t>pt_cs_4</t>
  </si>
  <si>
    <t>pt_ist_te_4</t>
  </si>
  <si>
    <t>Тарифы на горячую воду в открытых системах теплоснабжения (горячее водоснабжение), поставляемую группе потребителей "население". Муниципальный округ город Кировск с подведомственной территорией Мурманской области.</t>
  </si>
  <si>
    <t>pt_ntar_30111111111111</t>
  </si>
  <si>
    <t>pt_ter_47</t>
  </si>
  <si>
    <t>pt_cs_47</t>
  </si>
  <si>
    <t>pt_ist_te_47</t>
  </si>
  <si>
    <t>Тарифы на горячую воду в открытых системах теплоснабжения (горячее водоснабжение), поставляемую потребителям. Муниципальный округ город Апатиты с подведомственной территорией Мурманской области. Для потребителей на коллекторах источника тепловой энергии Апатитская ТЭЦ</t>
  </si>
  <si>
    <t>pt_ntar_301111111111111</t>
  </si>
  <si>
    <t>pt_ter_48</t>
  </si>
  <si>
    <t>pt_cs_48</t>
  </si>
  <si>
    <t>pt_ist_te_48</t>
  </si>
  <si>
    <t>Тарифы на горячую воду в открытых системах теплоснабжения (горячее водоснабжение), поставляемую потребителям. Муниципальный округ город Апатиты с подведомственной территорией Мурманской области. Для потребителей, подключенных к тепловым сетям ПАО "ТГК-1"</t>
  </si>
  <si>
    <t>pt_ntar_3011111111111111</t>
  </si>
  <si>
    <t>pt_ter_49</t>
  </si>
  <si>
    <t>pt_cs_49</t>
  </si>
  <si>
    <t>pt_ist_te_49</t>
  </si>
  <si>
    <t>Тарифы на горячую воду в открытых системах теплоснабжения (горячее водоснабжение), поставляемую потребителям. Муниципальный округ город Апатиты с подведомственной территорией Мурманской области. Для потребителей, подключенных к тепловым сетям АО "Апатитыэнерго"</t>
  </si>
  <si>
    <t>pt_ntar_30111111111111111</t>
  </si>
  <si>
    <t>pt_ter_50</t>
  </si>
  <si>
    <t>pt_cs_50</t>
  </si>
  <si>
    <t>pt_ist_te_50</t>
  </si>
  <si>
    <t>Тарифы на горячую воду в открытых системах теплоснабжения (горячее водоснабжение), поставляемую потребителям. Муниципальный округ город Кировск с подведомственной территорией Мурманской области. Для потребителей в случае отсутствия дифференциации тарифов по схеме подключения</t>
  </si>
  <si>
    <t>pt_ntar_301111111111111111</t>
  </si>
  <si>
    <t>pt_ter_51</t>
  </si>
  <si>
    <t>pt_cs_51</t>
  </si>
  <si>
    <t>pt_ist_te_51</t>
  </si>
  <si>
    <t>Тарифы на услуги по передаче тепловой энергии</t>
  </si>
  <si>
    <t>pIns_PT_VTAR_E1</t>
  </si>
  <si>
    <t>pt_ntar_5</t>
  </si>
  <si>
    <t>pt_ter_5</t>
  </si>
  <si>
    <t>pt_cs_5</t>
  </si>
  <si>
    <t>pt_ist_te_5</t>
  </si>
  <si>
    <t>Тарифы на услуги по передаче теплоносителя</t>
  </si>
  <si>
    <t>pIns_PT_VTAR_E2</t>
  </si>
  <si>
    <t>pt_ntar_6</t>
  </si>
  <si>
    <t>pt_ter_6</t>
  </si>
  <si>
    <t>pt_cs_6</t>
  </si>
  <si>
    <t>pt_ist_te_6</t>
  </si>
  <si>
    <t>Плата за услуги по поддержанию резервной тепловой мощности при отсутствии потребления тепловой энергии</t>
  </si>
  <si>
    <t xml:space="preserve">Плата за услуги по поддержанию резервной тепловой мощности. </t>
  </si>
  <si>
    <t>"4190073"</t>
  </si>
  <si>
    <t>pIns_PT_VTAR_F</t>
  </si>
  <si>
    <t>pt_ntar_7</t>
  </si>
  <si>
    <t>pt_ter_7</t>
  </si>
  <si>
    <t>pt_cs_7</t>
  </si>
  <si>
    <t>pt_ist_te_7</t>
  </si>
  <si>
    <t>pt_ter_52</t>
  </si>
  <si>
    <t>pt_cs_52</t>
  </si>
  <si>
    <t>pt_ist_te_52</t>
  </si>
  <si>
    <t>pt_ter_53</t>
  </si>
  <si>
    <t>pt_cs_53</t>
  </si>
  <si>
    <t>pt_ist_te_53</t>
  </si>
  <si>
    <t>Плата за подключение (технологическое присоединение) к системе теплоснабжения</t>
  </si>
  <si>
    <t>pIns_PT_VTAR_G</t>
  </si>
  <si>
    <t>pt_ntar_8</t>
  </si>
  <si>
    <t>pt_ter_8</t>
  </si>
  <si>
    <t>pt_cs_8</t>
  </si>
  <si>
    <t>pt_ist_te_8</t>
  </si>
  <si>
    <t>Плата за подключение (технологическое присоединение) к системе теплоснабжения (индивидуальная)</t>
  </si>
  <si>
    <t>pIns_PT_VTAR_H</t>
  </si>
  <si>
    <t>pt_ntar_20</t>
  </si>
  <si>
    <t>pt_ter_20</t>
  </si>
  <si>
    <t>pt_cs_20</t>
  </si>
  <si>
    <t>pt_ist_te_20</t>
  </si>
  <si>
    <t>Предельный уровень цены на тепловую энергию (мощность), поставляемую теплоснабжающими организациями потребителям</t>
  </si>
  <si>
    <t>pIns_PT_VTAR_I</t>
  </si>
  <si>
    <t>pt_ntar_21</t>
  </si>
  <si>
    <t>pt_ter_21</t>
  </si>
  <si>
    <t>pt_cs_21</t>
  </si>
  <si>
    <t>pt_ist_te_21</t>
  </si>
  <si>
    <t>Информация о регулируемых ценах (тарифах) на товары (услуги) единой теплоснабжающей организации в ценовых зонах теплоснабжения включает сведения:</t>
  </si>
  <si>
    <t>- о предельном уровне цены на тепловую энергию (мощность), поставляемую потребителям, об индикативном предельном уровне цены на тепловую энергию (мощность) и о графике поэтапного равномерного доведения предельного уровня цены на тепловую энергию (мощность) (при наличии), определяемых в соответствии с Правилами определения в ценовых зонах теплоснабжения предельного уровня цены на тепловую энергию (мощность), включая правила индексации предельного уровня цены на тепловую энергию (мощность), утвержденными ПП РФ от 15 декабря 2017 г. № 1562 "Об определении в ценовых зонах теплоснабжения предельного уровня цены на тепловую энергию (мощность), включая индексацию предельного уровня цены на тепловую энергию (мощность), и технико-экономических параметров работы котельных и тепловых сетей, используемых для расчета предельного уровня цены на тепловую энергию (мощность)";</t>
  </si>
  <si>
    <t>-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23.4 ФЗ "О теплоснабжении";</t>
  </si>
  <si>
    <t>- о тарифах на горячую воду, поставляемую единой теплоснабжающей организацией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t>
  </si>
  <si>
    <t>- о плате за подключение (технологическое присоединение) к системе теплоснабжения, применяемой в случае, установленном частью 9 статьи 23.4 ФЗ "О теплоснабжении".</t>
  </si>
  <si>
    <t>Информация о регулируемых ценах (тарифах) на товары (услуги) теплоснабжающей организации и теплосетевой организации в ценовых зонах теплоснабжения включает сведения:</t>
  </si>
  <si>
    <t>- о тарифах на теплоноситель в виде воды, поставляемый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23.4 ФЗ "О теплоснабжении";</t>
  </si>
  <si>
    <t>- о тарифах на товары (услуги) в сфере теплоснабжения в случаях, указанных в частях 12.1 - 12.4 статьи 10 ФЗ "О теплоснабжении"</t>
  </si>
  <si>
    <t>Тариф на питьевую воду (питьевое водоснабжение)</t>
  </si>
  <si>
    <t>pIns_PT_VTAR_A_COLDVSNA</t>
  </si>
  <si>
    <t>pt_ntar_9</t>
  </si>
  <si>
    <t>pt_ter_9</t>
  </si>
  <si>
    <t>pt_cs_9</t>
  </si>
  <si>
    <t>Тариф на техническую воду</t>
  </si>
  <si>
    <t>pIns_PT_VTAR_B_COLDVSNA</t>
  </si>
  <si>
    <t>pt_ntar_10</t>
  </si>
  <si>
    <t>pt_ter_10</t>
  </si>
  <si>
    <t>pt_cs_10</t>
  </si>
  <si>
    <t>Тариф на транспортировку воды</t>
  </si>
  <si>
    <t>pIns_PT_VTAR_C_COLDVSNA</t>
  </si>
  <si>
    <t>pt_ntar_11</t>
  </si>
  <si>
    <t>pt_ter_11</t>
  </si>
  <si>
    <t>pt_cs_11</t>
  </si>
  <si>
    <t>Тариф на подвоз воды</t>
  </si>
  <si>
    <t>pIns_PT_VTAR_D_COLDVSNA</t>
  </si>
  <si>
    <t>pt_ntar_12</t>
  </si>
  <si>
    <t>pt_ter_12</t>
  </si>
  <si>
    <t>pt_cs_12</t>
  </si>
  <si>
    <t>Тариф на подключение (технологическое присоединение) к централизованной системе холодного водоснабжения</t>
  </si>
  <si>
    <t>pIns_PT_VTAR_E_COLDVSNA</t>
  </si>
  <si>
    <t>pt_ntar_13</t>
  </si>
  <si>
    <t>pt_ter_13</t>
  </si>
  <si>
    <t>pt_cs_13</t>
  </si>
  <si>
    <t>Тариф на горячую воду (горячее водоснабжение)</t>
  </si>
  <si>
    <t>pIns_PT_VTAR_A_HOTVSNA</t>
  </si>
  <si>
    <t>pt_ntar_14</t>
  </si>
  <si>
    <t>pt_ter_14</t>
  </si>
  <si>
    <t>pt_cs_14</t>
  </si>
  <si>
    <t>Тариф на транспортировку горячей воды</t>
  </si>
  <si>
    <t>pIns_PT_VTAR_B_HOTVSNA</t>
  </si>
  <si>
    <t>pt_ntar_15</t>
  </si>
  <si>
    <t>pt_ter_15</t>
  </si>
  <si>
    <t>pt_cs_15</t>
  </si>
  <si>
    <t>Тариф на подключение (технологическое присоединение) к централизованной системе горячего водоснабжения</t>
  </si>
  <si>
    <t>pIns_PT_VTAR_C_HOTVSNA</t>
  </si>
  <si>
    <t>pt_ntar_16</t>
  </si>
  <si>
    <t>pt_ter_16</t>
  </si>
  <si>
    <t>pt_cs_16</t>
  </si>
  <si>
    <t>Тариф на водоотведение</t>
  </si>
  <si>
    <t>pIns_PT_VTAR_A_VOTV</t>
  </si>
  <si>
    <t>pt_ntar_17</t>
  </si>
  <si>
    <t>pt_ter_17</t>
  </si>
  <si>
    <t>pt_cs_17</t>
  </si>
  <si>
    <t>Тариф на транспортировку сточных вод</t>
  </si>
  <si>
    <t>pIns_PT_VTAR_B_VOTV</t>
  </si>
  <si>
    <t>pt_ntar_18</t>
  </si>
  <si>
    <t>pt_ter_18</t>
  </si>
  <si>
    <t>pt_cs_18</t>
  </si>
  <si>
    <t>Тариф на подключение (технологическое присоединение) к централизованной системе водоотведения</t>
  </si>
  <si>
    <t>pIns_PT_VTAR_C_VOTV</t>
  </si>
  <si>
    <t>pt_ntar_19</t>
  </si>
  <si>
    <t>pt_ter_19</t>
  </si>
  <si>
    <t>pt_cs_19</t>
  </si>
  <si>
    <t>fdif</t>
  </si>
  <si>
    <t>fdif_e</t>
  </si>
  <si>
    <t>fdif_1</t>
  </si>
  <si>
    <t>Дифференциация тарифов в области обращения с твердыми коммунальными отходами</t>
  </si>
  <si>
    <t>Дифференциация по технологическим особенностям</t>
  </si>
  <si>
    <t>Дифференциация по территории оказания услуг</t>
  </si>
  <si>
    <t>Дифференциация по виду твердых коммунальных отходов</t>
  </si>
  <si>
    <t>Дифференциация по классу опасности твердых коммунальных отходов</t>
  </si>
  <si>
    <t>Комментарий</t>
  </si>
  <si>
    <t>Дифференциация, да/нет</t>
  </si>
  <si>
    <t>Значение</t>
  </si>
  <si>
    <t>Тарифы</t>
  </si>
  <si>
    <t>Прочие показатели</t>
  </si>
  <si>
    <t>AREA_ID</t>
  </si>
  <si>
    <t>Оказание услуги по обращению с твердыми коммунальными отходами региональным оператором</t>
  </si>
  <si>
    <t>Единый тариф на услугу регионального оператора по обращению с твердыми коммунальными отходами</t>
  </si>
  <si>
    <t>Тариф на обработку твердых коммунальных отходов</t>
  </si>
  <si>
    <t>Тариф на обезвреживание твердых коммунальных отходов</t>
  </si>
  <si>
    <t>Тариф на захоронение твердых коммунальных отходов</t>
  </si>
  <si>
    <t>Тариф на энергетическую утилизацию</t>
  </si>
  <si>
    <t>Фирменное наименование юридического лица (согласно уставу регулируемой организации)</t>
  </si>
  <si>
    <t>Параметры формы</t>
  </si>
  <si>
    <t>Описание параметров формы</t>
  </si>
  <si>
    <t>Наименование параметра</t>
  </si>
  <si>
    <t>Информация</t>
  </si>
  <si>
    <t>Субъект Российской Федерации</t>
  </si>
  <si>
    <t>Указывается наименование субъекта Российской Федерации</t>
  </si>
  <si>
    <t>x</t>
  </si>
  <si>
    <t>2.2</t>
  </si>
  <si>
    <t>идентификационный номер налогоплательщика (ИНН)</t>
  </si>
  <si>
    <t>Указывается идентификационный номер налогоплательщика.</t>
  </si>
  <si>
    <t>2.3</t>
  </si>
  <si>
    <t>код причины постановки на учет (КПП)</t>
  </si>
  <si>
    <t>Указывается код причины постановки на учет (при наличии).</t>
  </si>
  <si>
    <t>5.1</t>
  </si>
  <si>
    <t>Сведения о присвоении статуса единой теплоснабжающей организации:</t>
  </si>
  <si>
    <t>Информация в строках 5.x.1 - 5.x.4 указывается только едиными теплоснабжающими организациями.</t>
  </si>
  <si>
    <t>наименование органа, принявшего решение о присвоении статуса единой теплоснабжающей организации</t>
  </si>
  <si>
    <t>дата решения</t>
  </si>
  <si>
    <t>Дата принятия решения о присвоении статуса единой теплоснабжающей организации указывается в виде «ДД.ММ.ГГГГ».</t>
  </si>
  <si>
    <t>номер решения</t>
  </si>
  <si>
    <t>границы зоны (зон) деятельности</t>
  </si>
  <si>
    <t>Указывается описание зоны (зон) деятельности единой теплоснабжающей организации.</t>
  </si>
  <si>
    <t>Добавить сведения</t>
  </si>
  <si>
    <t>Данные должностного лица, ответственного за размещение данных</t>
  </si>
  <si>
    <t>3.1</t>
  </si>
  <si>
    <t>фамилия, имя и отчество должностного лица</t>
  </si>
  <si>
    <t>3.1.1</t>
  </si>
  <si>
    <t>фамилия должностного лица</t>
  </si>
  <si>
    <t>3.1.2</t>
  </si>
  <si>
    <t>имя должностного лица</t>
  </si>
  <si>
    <t>3.1.3</t>
  </si>
  <si>
    <t>отчество должностного лица</t>
  </si>
  <si>
    <t>3.2</t>
  </si>
  <si>
    <t>должность</t>
  </si>
  <si>
    <t>3.3</t>
  </si>
  <si>
    <t>контактный телефон</t>
  </si>
  <si>
    <t>3.4</t>
  </si>
  <si>
    <t>адрес электронной почты</t>
  </si>
  <si>
    <t>Указывается наименование субъекта Российской Федерации, муниципального района, города, иного населенного пункта, улицы, номер дома, при необходимости указывается корпус, строение, литера или дополнительная территория._x000D_
Данные указываются согласно наименованиям адресных объектов в ФГИС ЕИАС.</t>
  </si>
  <si>
    <t>Добавить контактный телефон</t>
  </si>
  <si>
    <t>Указывается при наличии</t>
  </si>
  <si>
    <t>Режим работы</t>
  </si>
  <si>
    <t>Указывается режим работы регулируемой организации. В случае наличия нескольких режимов работы регулируемой организации, информация по каждому из них указывается в отдельной строке.</t>
  </si>
  <si>
    <t>режим работы абонентских отделов</t>
  </si>
  <si>
    <t>Указывается режим работы абонентских отделов регулируемой организации. В случае наличия нескольких абонентских отделов и (или) режимов работы абонентских отделов, информация по каждому из них указывается в отдельной строке.</t>
  </si>
  <si>
    <t>режим работы сбытовых подразделений</t>
  </si>
  <si>
    <t>Указывается режим работы сбытовых подразделений регулируемой организации. В случае наличия нескольких сбытовых подразделений и (или) режимов работы сбытовых подразделений, информация по каждому из них указывается в отдельной строке.</t>
  </si>
  <si>
    <t>режим работы диспетчерских служб</t>
  </si>
  <si>
    <t>Указывается режим работы диспетчерских служб регулируемой организации. В случае наличия нескольких диспетчерских служб и (или) режимов работы диспетчерских служб, информация по каждому из них указывается в отдельной строке.</t>
  </si>
  <si>
    <t>Добавить режим работы</t>
  </si>
  <si>
    <t>В случае наличия дополнительных режимов работы регулируемой организации (подразделений регулируемой организации) информация по каждому из них указывается в отдельной строке.</t>
  </si>
  <si>
    <t>Наличие или отсутствие утвержденной в установленном порядке инвестиционной программы</t>
  </si>
  <si>
    <t>BLOCK_MAIN_INFO_OBJECT_HEAT</t>
  </si>
  <si>
    <t>BLOCK_MAIN_INFO_OBJECT_VOTV</t>
  </si>
  <si>
    <t>BLOCK_MAIN_INFO_OBJECT_COLDVSNA</t>
  </si>
  <si>
    <t>BLOCK_MAIN_INFO_OBJECT_HOTVSNA</t>
  </si>
  <si>
    <t>D:T</t>
  </si>
  <si>
    <t>Протяженность магистральных сетей (в однотрубном исчислении), км.</t>
  </si>
  <si>
    <t>Протяженность разводящих сетей (в однотрубном исчислении), км.</t>
  </si>
  <si>
    <t>Теплоэлектростанции</t>
  </si>
  <si>
    <t>Тепловые станции</t>
  </si>
  <si>
    <t>Котельные</t>
  </si>
  <si>
    <t>Количество центральных тепловых пунктов, шт.</t>
  </si>
  <si>
    <t>Протяженность канализационных сетей (в однотрубном исчислении), км.</t>
  </si>
  <si>
    <t>Количество насосных станций, шт.</t>
  </si>
  <si>
    <t>Количество очистных сооружений, шт.</t>
  </si>
  <si>
    <t>Протяженность водопроводных сетей (в однотрубном исчислении), км</t>
  </si>
  <si>
    <t>Количество скважин, шт.</t>
  </si>
  <si>
    <t>Количество подкачивающих насосных станций, шт.</t>
  </si>
  <si>
    <t>Протяженность сетей горячего водоснабжения (в однотрубном исчислении), км</t>
  </si>
  <si>
    <t>Количество теплоэлектростанций, шт.</t>
  </si>
  <si>
    <t>Установленная электрическая мощность</t>
  </si>
  <si>
    <t>Единицы изменения</t>
  </si>
  <si>
    <t>Установленная тепловая мощность, Гкал/ч</t>
  </si>
  <si>
    <t>Количество тепловых станций, шт.</t>
  </si>
  <si>
    <t>Количество котельных, шт.</t>
  </si>
  <si>
    <t>0</t>
  </si>
  <si>
    <t>Значения протяженности сетей, показателей в блоках "Теплоэлектростанции", "Тепловые станции", "Котельные" (за исключением колонки "Единицы измерения"), количества центральных тепловых пунктов указываются в виде целых и неотрицательных чисел._x000D_
В случае отсутствия тепловых сетей, теплоэлектростанций, тепловых станций, котельных, центральных тепловых пунктов в соответствующей колонке указывается значение 0._x000D_
В колонке "Единицы измерения" в блоке "Теплоэлектростанции" выбирается одно из значений: кВт*ч или МВт._x000D_
В случае оказания услуг в нескольких системах теплоснабжения информация по каждой из них указывается в отдельной строке.</t>
  </si>
  <si>
    <t>Значения протяженности сетей, количества насосных станций, количества очистных сооружений указываются в виде целых и  неотрицательных чисел._x000D_
В случае отсутствия канализационных сетей, насосных станций, очистных сооружений в соответствующей колонке указывается значение 0._x000D_
В случае осуществления регулируемых видов деятельности в нескольких централизованных системах водоотведения информация по каждой из них указывается в отдельной строке._x000D_
В случае осуществления регулируемых видов деятельности с использованием одной централизованной системы водоотведения на территории нескольких субъектов Российской Федерации значение показателя указывается в целом по данной централизованной системе</t>
  </si>
  <si>
    <t>Значения протяженности сетей, количества скважин, количества подкачивающих насосных станций указываются в виде целых и неотрицательных чисел._x000D_
В случае отсутствия водопроводных сетей, скважин, подкачивающих станций в соответствующей колонке указывается значение 0._x000D_
В случае осуществления регулируемых видов деятельности в нескольких централизованных системах холодного водоснабжения информация по каждой из них указывается в отдельной строке._x000D_
В случае осуществления регулируемых видов деятельности с использованием одной централизованной системы холодного водоснабжения на территории нескольких субъектов Российской Федерации значение показателя указывается в целом по данной централизованной системе.</t>
  </si>
  <si>
    <t>Значения протяженности сетей, количества центральных тепловых пунктов указываются в виде целых и неотрицательных чисел._x000D_
В случае отсутствия водопроводных сетей, центральных тепловых пунктов в соответствующей колонке указывается значение 0._x000D_
В случае осуществления регулируемых видов деятельности в нескольких централизованных системах горячего водоснабжения информация по каждой из них указывается в отдельной строке.</t>
  </si>
  <si>
    <t>n</t>
  </si>
  <si>
    <t>64235586; 64235587</t>
  </si>
  <si>
    <t>Добавить вид объекта</t>
  </si>
  <si>
    <t>Форма 2. Вид деятельности и виды объектов, используемых для оказания услуг в области обращения с твердыми коммунальными отходами, и их количество</t>
  </si>
  <si>
    <t>Вид объекта, используемых для оказания услуг в области обращения с твердыми коммунальными отходами</t>
  </si>
  <si>
    <t>Количество объектов, используемых для оказания услуг в области обращения с твердыми коммунальными отходами, шт.</t>
  </si>
  <si>
    <t>Значение количества объектов, используемых для оказания услуг в области обращения с твердыми коммунальными отходами, указывается в виде целых и неотрицательных чисел._x000D_
В случае отсутствия объектов того или иного вида, используемых для оказания услуг в области обращения с твердыми коммунальными отходами, указывается значение «0»._x000D_
В случае оказания услуг по нескольким видам деятельности информация по каждому из них указывается отдельно._x000D_
В случае наличия нескольких видов объектов, используемых для оказания услуг в области обращения с твердыми коммунальными отходами, информация по каждому из них указывается отдельно.</t>
  </si>
  <si>
    <t>Информация об отсутствии сети "Интернет" &lt;1&gt;</t>
  </si>
  <si>
    <t>Отсутствует доступ к сети "Интернет"</t>
  </si>
  <si>
    <t>Ссылка на документ</t>
  </si>
  <si>
    <t>В случае отсутствия доступа к сети "Интернет" на территории выбранного муниципального образования в колонке "Отсутствует доступ к сети "Интернет" указывается "Да"._x000D_
В колонке "Ссылка на документ" указывается материал в виде ссылки на документ, подтверждающий отсутствие сети "Интернет" на территории выбранного муниципального образования, предварительно загруженный в хранилище данных ФГИС ЕИАС._x000D_
В случае отсутствия доступа к сети "Интернет" на территории нескольких муниципальных районов (муниципальных образований) информация по каждому из них указывается в отдельной строке.</t>
  </si>
  <si>
    <t>Омский муниципальный район</t>
  </si>
  <si>
    <t>Ачаирское сельское поселение</t>
  </si>
  <si>
    <t>52644404</t>
  </si>
  <si>
    <t>Ачаирское сельское поселение (52644404)</t>
  </si>
  <si>
    <t>Указывается наименование тарифа в случае утверждения нескольких тарифов._x000D_
В случае наличия нескольких тарифов информация по ним указывается в отдельных строках.</t>
  </si>
  <si>
    <t>Территория действия тарифа</t>
  </si>
  <si>
    <t>Указывается наименование территории действия тарифа при наличии дифференциации тарифа по территориальному признаку._x000D_
В случае дифференциации тарифов по территориальному признаку информация по ним указывается в отдельных строках.</t>
  </si>
  <si>
    <t xml:space="preserve">Наименование системы теплоснабжения </t>
  </si>
  <si>
    <t>Указывается наименование системы теплоснабжения при наличии дифференциации тарифа по системам теплоснабжения._x000D_
В случае дифференциации тарифов по системам теплоснабжения информация по ним указывается в отдельных строках.</t>
  </si>
  <si>
    <t xml:space="preserve">Источник тепловой энергии  </t>
  </si>
  <si>
    <t>Указывается наименование источника тепловой энергии_x000D_
В случае дифференциации тарифов по источникам тепловой энергии информация по ним указывается в отдельных строках.</t>
  </si>
  <si>
    <t>SCHEME</t>
  </si>
  <si>
    <t>Схема подключения теплопотребляющей установки к коллектору источника тепловой энергии</t>
  </si>
  <si>
    <t>Указывается схема подключения теплопотребляющей установки к коллектору источника тепловой энергии только для тарифов на тепловую энергию и за услуги по поддержанию резервной мощности_x000D_
Значение выбирается из перечня:_x000D_
   - без дифференциации_x000D_
   - к коллектору источника тепловой энергии_x000D_
   - к тепловой сети без дополнительного преобразования на тепловых пунктах, эксплуатируемых теплоснабжающей организацией_x000D_
   - к тепловой сети после тепловых пунктов (на тепловых пунктах), эксплуатируемых теплоснабжающей организацией_x000D_
В случае дифференциации тарифов по схемам подключения теплопотребляющей установки к коллектору источника тепловой энергии информация по ним указывается в отдельных строках.</t>
  </si>
  <si>
    <t>GROUP_CONSUMER</t>
  </si>
  <si>
    <t>Группа потребителей</t>
  </si>
  <si>
    <t>Указывается группа потребителей при наличии дифференциации тарифа по группам потребителей._x000D_
Значение выбирается из перечня:_x000D_
   - организации-перепродавцы;_x000D_
   - бюджетные организации;_x000D_
   - население;_x000D_
   - прочие;_x000D_
   - без дифференциации._x000D_
В случае дифференциации тарифов группам потребителей информация по ним указывается в отдельных строках.</t>
  </si>
  <si>
    <t>TN</t>
  </si>
  <si>
    <t>В колонке «Параметр дифференциации тарифов» указывается вид теплоносителя._x000D_
Значение выбирается из перечня:_x000D_
   - вода;_x000D_
   - пар;_x000D_
   - отборный пар, 1.2 – 2.5 кг/см2;_x000D_
   - отборный пар, 2.5 – 7 кг/см2;_x000D_
   - отборный пар, 7 – 13 кг/см2;_x000D_
   - отборный пар, &gt; 13 кг/см2;_x000D_
   - острый и редуцированный пар;_x000D_
   - горячая вода в системе централизованного теплоснабжения на отопление;_x000D_
   - горячая вода в системе централизованного теплоснабжения на горячее водоснабжение;_x000D_
   - прочее._x000D_
При утверждении двухставочного тарифа колонка «Одноставочный тариф» не заполняется._x000D_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«ДД.ММ.ГГГГ»._x000D_
В случае отсутствия даты окончания действия тарифа в колонке «Дата окончания» указывается «нет». Информация в колонке «Ставка за содержание тепловой мощности, тыс. руб./Гкал/ч/мес» указывается только для тарифа по поддержанию резервной мощности._x000D_
В случае дифференциации тарифов по периодам действия тарифа информация по ним указывается в отдельных колонках._x000D_
В случае дифференциации тарифов по видам теплоносителя информация по ним указывается в отдельных строках.</t>
  </si>
  <si>
    <t>Добавить вид теплоносителя (параметры теплоносителя)</t>
  </si>
  <si>
    <t>Добавить группу потребителей</t>
  </si>
  <si>
    <t>Добавить схему подключения</t>
  </si>
  <si>
    <t>PERIOD_FROM_FIRST_ROW</t>
  </si>
  <si>
    <t>FLAG_BLOCK_COLUMN</t>
  </si>
  <si>
    <t>SPR</t>
  </si>
  <si>
    <t>FLAG_START_DATE</t>
  </si>
  <si>
    <t>FLAG_ETC_PERIOD</t>
  </si>
  <si>
    <t>FLAG_END_DATE</t>
  </si>
  <si>
    <t>Дата документа об утверждении тарифов</t>
  </si>
  <si>
    <t>Номер документа об утверждении тарифов</t>
  </si>
  <si>
    <t>Дата подачи заявления об утверждении тарифов</t>
  </si>
  <si>
    <t>Номер подачи заявления об утверждении тарифов</t>
  </si>
  <si>
    <t>dp</t>
  </si>
  <si>
    <t>Параметр дифференциации тарифа</t>
  </si>
  <si>
    <t>Величина и срок действия тарифа</t>
  </si>
  <si>
    <t>Наличие других периодов действия тарифа</t>
  </si>
  <si>
    <t>Наличие других сроков действия тарифа</t>
  </si>
  <si>
    <t>Добавить срок действия</t>
  </si>
  <si>
    <t>Одноставочный тариф,_x000D_
руб./Гкал</t>
  </si>
  <si>
    <t>Ставка за содержание тепловой мощности,_x000D_
тыс. руб./Гкал/ч/мес.</t>
  </si>
  <si>
    <t>Двухставочный тариф</t>
  </si>
  <si>
    <t>Срок действия</t>
  </si>
  <si>
    <t>NUM_NTAR</t>
  </si>
  <si>
    <t>NUM_TER</t>
  </si>
  <si>
    <t>NUM_CS</t>
  </si>
  <si>
    <t>NUM_IST_TE</t>
  </si>
  <si>
    <t>NUM_SCHEME</t>
  </si>
  <si>
    <t>NUM_GC</t>
  </si>
  <si>
    <t>NUM_TN</t>
  </si>
  <si>
    <t>ставка за тепловую энергию,_x000D_
руб./Гкал</t>
  </si>
  <si>
    <t>ставка за содержание тепловой мощности,_x000D_
тыс. руб./Гкал/ч/мес</t>
  </si>
  <si>
    <t>дата начала</t>
  </si>
  <si>
    <t>дата окончания</t>
  </si>
  <si>
    <t>к коллектору источника тепловой энергии</t>
  </si>
  <si>
    <t>без дифференциации</t>
  </si>
  <si>
    <t>вода</t>
  </si>
  <si>
    <t>население</t>
  </si>
  <si>
    <t>Период действия</t>
  </si>
  <si>
    <t>Одноставочный тариф,_x000D_
руб./куб.м</t>
  </si>
  <si>
    <t>В колонке «Параметр дифференциации тарифов» указывается вид теплоносителя._x000D_
Значение выбирается из перечня:_x000D_
   - вода;_x000D_
   - пар;_x000D_
   - отборный пар, 1.2 – 2.5 кг/см2;_x000D_
   - отборный пар, 2.5 – 7 кг/см2;_x000D_
   - отборный пар, 7 – 13 кг/см2;_x000D_
   - отборный пар, &gt; 13 кг/см2;_x000D_
   - острый и редуцированный пар;_x000D_
   - горячая вода в системе централизованного теплоснабжения на отопление;_x000D_
   - горячая вода в системе централизованного теплоснабжения на горячее водоснабжение;_x000D_
   - прочее._x000D_
При утверждении двухставочного тарифа тариф колонка "Одноставочный тариф" не заполняется._x000D_
При подаче утверждении одноставочного тарифа колонки в блоке "Двухставочный тариф" не заполняются.Информация в колонке "Двухставочный тариф" не указывается для тарифа на теплоноситель._x000D_
Даты начала и окончания действия тарифов указываются в виде "ДД.ММ.ГГГГ"._x000D_
В случае отсутствия даты окончания действия тарифа в колонке "Дата окончания" указывается "Нет".В случае дифференциации тарифов по видам теплоносителя информация по ним указывается в отдельных строках.</t>
  </si>
  <si>
    <t>Указывается вид теплоносителя. _x000D_
Значение выбирается из перечня:_x000D_
   - вода;_x000D_
   - пар;_x000D_
   - отборный пар, 1.2 – 2.5 кг/см2;_x000D_
   - отборный пар, 2.5 – 7 кг/см2;_x000D_
   - отборный пар, 7 – 13 кг/см2;_x000D_
   - отборный пар, &gt; 13 кг/см2;_x000D_
   - острый и редуцированный пар;_x000D_
   - горячая вода в системе централизованного теплоснабжения на отопление;_x000D_
   - горячая вода в системе централизованного теплоснабжения на горячее водоснабжение;_x000D_
   - прочее._x000D_
В случае дифференциации тарифов по видам теплоносителя информация по ним указывается в отдельных строках.</t>
  </si>
  <si>
    <t>В колонке "Параметр дифференциации тарифов" указывается наименование поставщика в случае наличия дифференциации компонента двухставочного тарифа на горячую воду по поставщикам._x000D_
При утверждении двухставочного тарифа колонка "Одноставочный тариф" не заполняется._x000D_
При утверждении одноставочного тарифа колонки в блоке "Двухставочный тариф" не заполняются._x000D_
В случае отсутствия разбивки тарифа на компоненты колонки "Компонент на теплоноситель, руб./куб. м" и "Одноставочный компонент на тепловую энергию, руб/Гкал" не заполняются._x000D_
Даты начала и окончания действия тарифов указываются в виде "ДД.ММ.ГГГГ"._x000D_
В случае отсутствия даты окончания действия тарифа в колонке "Дата окончания" указывается "Нет"._x000D_
В случае дифференциации тарифов по поставщикам информация по ним указывается в отдельных строках.</t>
  </si>
  <si>
    <t>Добавить наименование поставщика</t>
  </si>
  <si>
    <t>Одноставочный тариф на горячую воду,_x000D_
руб./куб. м</t>
  </si>
  <si>
    <t>Двухкомпонентный тариф на горячую воду</t>
  </si>
  <si>
    <t>Компонент на теплоноситель,_x000D_
руб./куб. м</t>
  </si>
  <si>
    <t>Компонента на тепловую энергию</t>
  </si>
  <si>
    <t>Одноставочный компонент тарифа на тепловую энергию,_x000D_
руб/Гкал</t>
  </si>
  <si>
    <t>Двухставочный компонент тарифа на тепловую энергию</t>
  </si>
  <si>
    <t>NUM_CONS</t>
  </si>
  <si>
    <t>ставка за потребление горячей воды,_x000D_
руб./куб. м</t>
  </si>
  <si>
    <t>ставка за содержание тепловой мощности в компоненте на тепловую энергию,_x000D_
тыс. руб./Гкал/ч в мес.</t>
  </si>
  <si>
    <t>горячая вода в системе централизованного теплоснабжения на горячее водоснабжение</t>
  </si>
  <si>
    <t>В колонке "Параметр дифференциации тарифа/Заявитель" указывается наименование категории потребителей, к которой относится тариф._x000D_
Даты начала и окончания указываются в виде "ДД.ММ.ГГГГ"._x000D_
В случае отсутствия даты окончания тарифа в колонке "Дата окончания" указывается "Нет"._x000D_
В случае наличия дифференциации по подключаемой нагрузке, диапазону диаметров, типу прокладки тепловых сетей,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</si>
  <si>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Добавить диапазон диаметров тепловых сетей</t>
  </si>
  <si>
    <t>Добавить тип прокладки тепловых сетей</t>
  </si>
  <si>
    <t>Добавить подключаемую тепловую нагрузку</t>
  </si>
  <si>
    <t>Добавить строку</t>
  </si>
  <si>
    <t>FLAG</t>
  </si>
  <si>
    <t>LOAD</t>
  </si>
  <si>
    <t>NETS</t>
  </si>
  <si>
    <t>DIAMETERS</t>
  </si>
  <si>
    <t>Параметр дифференциации тарифа/ заявитель/ наименование объекта/адрес</t>
  </si>
  <si>
    <t>Подключаемая тепловая нагрузка,_x000D_
Гкал/ч</t>
  </si>
  <si>
    <t>Тип прокладки тепловых сетей</t>
  </si>
  <si>
    <t>Диаметр тепловых сетей,_x000D_
мм</t>
  </si>
  <si>
    <t>Плата за подключение (технологическое присоединение)</t>
  </si>
  <si>
    <t>с НДС</t>
  </si>
  <si>
    <t>без НДС</t>
  </si>
  <si>
    <t>В колонке "Параметр дифференциации тарифа/заявитель/наименование объекта/адрес" указывается наименование категории потребителей, к которой относится тариф._x000D_
Даты начала и окончания указываются в виде "ДД.ММ.ГГГГ"._x000D_
В случае отсутствия даты окончания тарифа в колонке "Дата окончания" указывается "Нет"._x000D_
В случае наличия дифференциации по подключаемой нагрузке, диапазону диаметров, типу прокладки тепловых сетей,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</si>
  <si>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Наименование централизованной системы холодного водоснабжения</t>
  </si>
  <si>
    <t>Указывается наименование централизованной системы холодного водоснабжения при наличии дифференциации тарифа по централизованным системам холодного водоснабжения._x000D_
В случае дифференциации тарифов по централизованным системам холодного водоснабжения информация по ним указывается в отдельных строках.</t>
  </si>
  <si>
    <t>Наименование признака дифференциации</t>
  </si>
  <si>
    <t>Указывается наименование дополнительного признака дифференциации (при наличии)._x000D_
Дифференциация тарифа осуществляется в соответствии с законодательством в сфере водоснабжения и водоотведения._x000D_
В случае дифференциации тарифов по дополнительным признакам информация по ним указывается в отдельных строках.</t>
  </si>
  <si>
    <t>Указывается группа потребителей при наличии дифференциации тарифа по группам потребителей._x000D_
Значение выбирается из перечня:_x000D_
  - Организации-перепродавцы;_x000D_
  - Бюджетные организации;_x000D_
  - Население;_x000D_
  - Прочие;_x000D_
  - Без дифференциации._x000D_
В случае дифференциации тарифов по группам потребителей информация по ним указывается в отдельных строках.</t>
  </si>
  <si>
    <t>Добавить значение признака дифференциации</t>
  </si>
  <si>
    <t>В случае наличия нескольких значений признака дифференциации тарифов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</si>
  <si>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Добавить наименование признака дифференциации</t>
  </si>
  <si>
    <t>Одноставочный тариф</t>
  </si>
  <si>
    <t>NUM_FLAG_DIFF</t>
  </si>
  <si>
    <t>NUM_DATA_DIFF</t>
  </si>
  <si>
    <t>Одноставочный тариф,_x000D_
руб./куб. м</t>
  </si>
  <si>
    <t>ставка платы за объем поданной воды,_x000D_
руб./куб. м</t>
  </si>
  <si>
    <t>ставка платы за содержание мощности,_x000D_
руб./куб. м в час</t>
  </si>
  <si>
    <t>pt_ist_te_9</t>
  </si>
  <si>
    <t>pt_ist_te_10</t>
  </si>
  <si>
    <t>pt_ist_te_11</t>
  </si>
  <si>
    <t>pt_ist_te_12</t>
  </si>
  <si>
    <t>Заявитель</t>
  </si>
  <si>
    <t>Наименование объекта, адрес</t>
  </si>
  <si>
    <t>В колонке "Параметр дифференциации тарифа/Заявитель" указывается наименование категории потребителей/заявителя, к которой относится тариф._x000D_
Даты начала и окончания указываются в виде "ДД.ММ.ГГГГ"._x000D_
В случае отсутствия даты окончания тарифа в колонке "Дата окончания" указывается "Нет"._x000D_
В случае дифференциации по категориям потребителей/заявителям, подключаемой нагрузке, диапазону диаметров, протяженности, условиям прокладки водопроводной сети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</si>
  <si>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Добавить условия прокладки сетей</t>
  </si>
  <si>
    <t>Добавить протяженность водопроводной сети</t>
  </si>
  <si>
    <t>Добавить диапазон диаметров водопроводной сети</t>
  </si>
  <si>
    <t>Добавить подключаемую нагрузку</t>
  </si>
  <si>
    <t>DIAMETERS_2</t>
  </si>
  <si>
    <t>Параметр дифференциации тарифа/Заявитель/Наименование объекта/Адрес</t>
  </si>
  <si>
    <t>Подключаемая нагрузка водопроводной сети,_x000D_
куб. м/сут</t>
  </si>
  <si>
    <t>Диапазон диаметров водопроводной сети,_x000D_
мм</t>
  </si>
  <si>
    <t>Протяженность водопроводной сети,_x000D_
км</t>
  </si>
  <si>
    <t>Условия прокладки сетей</t>
  </si>
  <si>
    <t>Ставка тарифа за подключаемую нагрузку водопроводной сети,_x000D_
тыс. руб./куб. м в сутки</t>
  </si>
  <si>
    <t>Ставка тарифа за протяженность водопроводной сети диаметром d,_x000D_
тыс. руб./км</t>
  </si>
  <si>
    <t>Срок действия тарифов</t>
  </si>
  <si>
    <t>pt_ist_te_13</t>
  </si>
  <si>
    <t>Наименование централизованной системы водоотведения</t>
  </si>
  <si>
    <t>Указывается наименование централизованной системы водоотведения при наличии дифференциации тарифа по централизованным системам водоотведения._x000D_
В случае дифференциации тарифов по централизованным системам водоотведения информация по ним указывается в отдельных строках.</t>
  </si>
  <si>
    <t>одноставочный тариф,_x000D_
руб./куб. м</t>
  </si>
  <si>
    <t>ставка платы за объем _x000D_
принятых сточных вод,_x000D_
руб./куб. м</t>
  </si>
  <si>
    <t>pt_ist_te_17</t>
  </si>
  <si>
    <t>pt_ist_te_18</t>
  </si>
  <si>
    <t>Добавить протяженность сети</t>
  </si>
  <si>
    <t>Добавить диапазон диаметров</t>
  </si>
  <si>
    <t>Подключаемая нагрузка канализационной сети,_x000D_
куб. м/сут</t>
  </si>
  <si>
    <t>Диапазон диаметров канализационной сети,_x000D_
мм</t>
  </si>
  <si>
    <t>Протяженность канализационной  сети,_x000D_
км</t>
  </si>
  <si>
    <t>Ставка тарифа за подключаемую нагрузку канализационной сети,_x000D_
тыс. руб./куб. м в сутки</t>
  </si>
  <si>
    <t>Ставка тарифа за протяженность канализационной сети диаметром d,_x000D_
тыс. руб./км</t>
  </si>
  <si>
    <t>pt_ist_te_19</t>
  </si>
  <si>
    <t>Наименование централизованной системы горячего водоснабжения</t>
  </si>
  <si>
    <t>Указывается наименование централизованной системы горячего водоснабжения при наличии дифференциации тарифа по централизованным системам горячего водоснабжения._x000D_
В случае дифференциации тарифов по централизованным системам горячего водоснабжения информация по ним указывается в отдельных строках.</t>
  </si>
  <si>
    <t>Одноставочный тариф, руб./куб. м</t>
  </si>
  <si>
    <t>Компонент на холодную воду</t>
  </si>
  <si>
    <t>Компонент на тепловую энергию</t>
  </si>
  <si>
    <t>Одноставочный, руб./куб.м</t>
  </si>
  <si>
    <t>Двухставочный тариф</t>
  </si>
  <si>
    <t>Одноставочный, руб./Гкал</t>
  </si>
  <si>
    <t>Ставка за содержание системы, руб./куб. м в час</t>
  </si>
  <si>
    <t>Ставка за объём поданной воды, руб./куб.м</t>
  </si>
  <si>
    <t>Ставка за тепловую энергию, руб./Гкал</t>
  </si>
  <si>
    <t>Ставка за содержание тепловой мощности, руб./Гкал в час в месяц</t>
  </si>
  <si>
    <t>pt_ist_te_14</t>
  </si>
  <si>
    <t>pt_ist_te_15</t>
  </si>
  <si>
    <t>pt_ist_te_16</t>
  </si>
  <si>
    <t>vt</t>
  </si>
  <si>
    <t>х</t>
  </si>
  <si>
    <t>В колонке «Наименование параметра» указывается вид приобретаемого топлива._x000D_
Если приобретается несколько видов топлива, то информация по каждому из них указывается отдельно.</t>
  </si>
  <si>
    <t>общая стоимость</t>
  </si>
  <si>
    <t>объём</t>
  </si>
  <si>
    <t>В колонке «Единица измерения» указываются единицы измерения объема приобретаемого топлива._x000D_
В колонке «Информация» указывается величина объема приобретаемого топлива.</t>
  </si>
  <si>
    <t>стоимость за единицу объёма</t>
  </si>
  <si>
    <t>тыс. руб.</t>
  </si>
  <si>
    <t>стоимость доставки</t>
  </si>
  <si>
    <t>способ приобретения</t>
  </si>
  <si>
    <t>Указываются прочие расходы, которые подлежат отнесению на регулируемые виды деятельности в соответствии с законодательством.</t>
  </si>
  <si>
    <t>Гкал/ч</t>
  </si>
  <si>
    <t>Указывается установленная тепловая мощность для источника тепловой энергии.</t>
  </si>
  <si>
    <t>%</t>
  </si>
  <si>
    <t>Указывается показатель использования по производственному объекту как процент объем перекачки по отношению к пиковому дню отчетного года.</t>
  </si>
  <si>
    <t>кг у. т./Гкал</t>
  </si>
  <si>
    <t>Указывается норматив удельного расхода условного топлива при производстве тепловой энергии источниками тепловой энергии для отдельного источника тепловой энергии.</t>
  </si>
  <si>
    <t>кг усл. топл./Гкал</t>
  </si>
  <si>
    <t>Указывается фактический удельный расход условного топлива при производстве тепловой энергии источниками тепловой энергии для отдельного источника тепловой энергии.</t>
  </si>
  <si>
    <t>Территория оказания услуг</t>
  </si>
  <si>
    <t>Централизованная система</t>
  </si>
  <si>
    <t>Единица измерения</t>
  </si>
  <si>
    <t>p</t>
  </si>
  <si>
    <t>HEAT_P1</t>
  </si>
  <si>
    <t>Добавить вид топлива</t>
  </si>
  <si>
    <t>HOTVSNA_P1</t>
  </si>
  <si>
    <t>руб.</t>
  </si>
  <si>
    <t>тыс. кВт·ч</t>
  </si>
  <si>
    <t>HEAT_P6</t>
  </si>
  <si>
    <t>NOT_HOTVSNA</t>
  </si>
  <si>
    <t>отсутствует</t>
  </si>
  <si>
    <t>NOT_HEAT_P1</t>
  </si>
  <si>
    <t>Добавить прочие расходы</t>
  </si>
  <si>
    <t>HEAT_P2</t>
  </si>
  <si>
    <t>NOT_HEAT_P2</t>
  </si>
  <si>
    <t>COLDVSNA_P1</t>
  </si>
  <si>
    <t>тыс. куб. м</t>
  </si>
  <si>
    <t>HOTVSNA_P2</t>
  </si>
  <si>
    <t>тыс. Гкал</t>
  </si>
  <si>
    <t>VOTV_P1</t>
  </si>
  <si>
    <t>HEAT_P3</t>
  </si>
  <si>
    <t>Добавить источник тепловой энергии</t>
  </si>
  <si>
    <t>В случае наличия нескольких источников тепловой энергии установленная тепловая мощность по каждому из них указывается в отдельных строках.</t>
  </si>
  <si>
    <t>hyp</t>
  </si>
  <si>
    <t>тыс. Гкал/год</t>
  </si>
  <si>
    <t>человек</t>
  </si>
  <si>
    <t>HEAT_P4</t>
  </si>
  <si>
    <t>VSNA</t>
  </si>
  <si>
    <t>тыс. кВт·ч на тыс. куб. м</t>
  </si>
  <si>
    <t>COLDVSNA_P2</t>
  </si>
  <si>
    <t>Добавить производственный объект</t>
  </si>
  <si>
    <t>В случае наличия нескольких производственных объектов информация по каждому из них указывается в отдельной строке.</t>
  </si>
  <si>
    <t>HEAT_P5</t>
  </si>
  <si>
    <t>В случае наличия нескольких источников тепловой энергии норматив удельного расхода условного топлива по каждому из них указывается в отдельных строках.</t>
  </si>
  <si>
    <t>В случае наличия нескольких источников тепловой энергии фактический удельный расход условного топлива по каждому из них указывается в отдельных строках.</t>
  </si>
  <si>
    <t>тыс. кВт.ч/Гкал</t>
  </si>
  <si>
    <t>куб.м/Гкал</t>
  </si>
  <si>
    <t>Способ приобретения</t>
  </si>
  <si>
    <t>Реквизиты договора</t>
  </si>
  <si>
    <t>Наименование товара/услуги</t>
  </si>
  <si>
    <t>Объем приобретенных товаров, услуг</t>
  </si>
  <si>
    <t>Единица измерения объема</t>
  </si>
  <si>
    <t>Стоимость, тыс. руб.</t>
  </si>
  <si>
    <t>Доля расходов, % (от суммы расходов по указанной статье)</t>
  </si>
  <si>
    <t>NOTSHOW</t>
  </si>
  <si>
    <t>Информация об объемах товаров и услуг, их стоимости и способах приобретения у организаций, в том числе:</t>
  </si>
  <si>
    <t>Указывается сумма стоимости приобретения товаров и услуг у организаций, сумма оплаты услуг которых превышает 20% суммы расходов на капитальный и текущий ремонт основных производственных средства</t>
  </si>
  <si>
    <t>i</t>
  </si>
  <si>
    <t>Расходы на услуги производственного характера, выполняемые по договорам с организациями на проведение регламентных работ в рамках технологического процесса. Из них товары и услуги, приобретенные у организаций, сумма оплаты услуг которых превышает 20% суммы расходов по статье:</t>
  </si>
  <si>
    <t>Указывается сумма стоимости приобретения товаров и услуг у организаций, сумма оплаты услуг которых превышает 20% суммы расходов на услуги производственного характера</t>
  </si>
  <si>
    <t>L.HEAT.POWER.DYN</t>
  </si>
  <si>
    <t>Установленная тепловая мощность объекта основных фондов</t>
  </si>
  <si>
    <t>ЧСЛ</t>
  </si>
  <si>
    <t>НОМЕР</t>
  </si>
  <si>
    <t>Форма 9. Информация об основных технико-экономических параметрах деятельности единой теплоснабжающей организации в ценовых зонах теплоснабжения, об основных технико-экономических параметрах деятельности теплоснабжающей организации в ценовых зонах теплоснабжения и теплосетевой организации в ценовых зонах теплоснабжения</t>
  </si>
  <si>
    <t>ВЭД</t>
  </si>
  <si>
    <t>РАЙОН</t>
  </si>
  <si>
    <t>НМОБ</t>
  </si>
  <si>
    <t>НОМЕР2</t>
  </si>
  <si>
    <t>ДЕТ</t>
  </si>
  <si>
    <t>L.ACC.STATEMENTS</t>
  </si>
  <si>
    <t>Годовая бухгалтерская (финансовая) отчетность</t>
  </si>
  <si>
    <t>СТР</t>
  </si>
  <si>
    <t>Не определено</t>
  </si>
  <si>
    <t>Годовая бухгалтерская (финансовая) отчетность, включая бухгалтерский баланс и приложения к нему</t>
  </si>
  <si>
    <t>p3</t>
  </si>
  <si>
    <t>Указывается ссылка на документ, предварительно загруженный в хранилище файлов ФГИС ЕИАС.</t>
  </si>
  <si>
    <t>L.HEAT.POWER</t>
  </si>
  <si>
    <t>Установленная тепловая мощность объектов основных фондов</t>
  </si>
  <si>
    <t>Установленная тепловая мощность объектов основных фондов, используемых для теплоснабжения, в том числе по каждому источнику тепловой энергии</t>
  </si>
  <si>
    <t>Указывается суммарная установленная тепловая мощность объектов основных фондов, используемых для осуществления теплоснабжения.</t>
  </si>
  <si>
    <t>2.0</t>
  </si>
  <si>
    <t>L.HEAT.LOAD</t>
  </si>
  <si>
    <t>Тепловая нагрузка по договорам теплоснабжения</t>
  </si>
  <si>
    <t>Информация раскрывается только единой теплоснабжающей организацией в ценовых зонах теплоснабжения.</t>
  </si>
  <si>
    <t>L.VOLUME.ENERGY.PRODUCED</t>
  </si>
  <si>
    <t>Объем вырабатываемой тепловой энергии</t>
  </si>
  <si>
    <t>Объем вырабатываемой единой теплоснабжающей организацией в ценовых зонах теплоснабжения тепловой энергии, теплоснабжающей организацией в ценовых зонах теплоснабжения и передаваемой теплосетевой организацией в ценовых зонах теплоснабжения тепловой энергии</t>
  </si>
  <si>
    <t>L.VOLUME.ENERGY.PURCHASED</t>
  </si>
  <si>
    <t>Объем приобретаемой тепловой энергии</t>
  </si>
  <si>
    <t>Объем приобретаемой единой теплоснабжающей организацией в ценовых зонах теплоснабжения тепловой энергии</t>
  </si>
  <si>
    <t>L.VOLUME.ENERGY.RELEASED</t>
  </si>
  <si>
    <t>Объем тепловой энергии, отпускаемой потребителям по договорам</t>
  </si>
  <si>
    <t xml:space="preserve">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 </t>
  </si>
  <si>
    <t>Указывается общий объем тепловой энергии, отпускаемой потребителям._x000D_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t>
  </si>
  <si>
    <t>L.RELEASED.BY.PU</t>
  </si>
  <si>
    <t xml:space="preserve">Объем тепловой энергии по приборам учета </t>
  </si>
  <si>
    <t>6.1</t>
  </si>
  <si>
    <t xml:space="preserve">по приборам учета </t>
  </si>
  <si>
    <t>L.RELEASED.BY.CALC</t>
  </si>
  <si>
    <t xml:space="preserve">Объем тепловой энергии расчетным путем </t>
  </si>
  <si>
    <t>6.2</t>
  </si>
  <si>
    <t xml:space="preserve">расчетным путем </t>
  </si>
  <si>
    <t>L.RELEASED.BY.NORMATIVE</t>
  </si>
  <si>
    <t>Объем тепловой энергии по нормативам потребления</t>
  </si>
  <si>
    <t>6.3</t>
  </si>
  <si>
    <t>по нормативам потребления коммунальных услуг и нормативам потребления коммунальных ресурсов</t>
  </si>
  <si>
    <t>L.VOLUME.LOSSES.PLAN</t>
  </si>
  <si>
    <t>Плановый объем потерь при передаче тепловой энергии</t>
  </si>
  <si>
    <t xml:space="preserve">тыс. Гкал/год </t>
  </si>
  <si>
    <t>L.VOLUME.LOSSES.FACT</t>
  </si>
  <si>
    <t>Фактический объем потерь при передаче тепловой энергии</t>
  </si>
  <si>
    <t>L.UNIT.COST.PLAN</t>
  </si>
  <si>
    <t>Плановый удельный расход условного топлива при производстве тепловой энергии</t>
  </si>
  <si>
    <t xml:space="preserve">Плановый удельный расход условного топлива при производстве тепловой энергии источниками тепловой энергии с распределением по источникам тепловой энергии </t>
  </si>
  <si>
    <t>L.UNIT.COST.FACT</t>
  </si>
  <si>
    <t>Фактический удельный расход условного топлива при производстве тепловой энергии</t>
  </si>
  <si>
    <t xml:space="preserve">Фактический удельный расход условного топлива при производстве тепловой энергии источниками тепловой энергии с распределением по источникам тепловой энергии </t>
  </si>
  <si>
    <t>L.PRODUCTION.STAFF</t>
  </si>
  <si>
    <t>Среднесписочная численность основного производственного персонала</t>
  </si>
  <si>
    <t>L.ADMINISTRATIVE STAFF</t>
  </si>
  <si>
    <t>Среднесписочная численность административно-управленческого персонала</t>
  </si>
  <si>
    <t>L.UNIT.COST.EE</t>
  </si>
  <si>
    <t>Удельный расход электрической энергии</t>
  </si>
  <si>
    <t xml:space="preserve">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 </t>
  </si>
  <si>
    <t>L.UNIT.COST.COLD.WATER</t>
  </si>
  <si>
    <t>Удельный расход холодной воды</t>
  </si>
  <si>
    <t xml:space="preserve">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 </t>
  </si>
  <si>
    <t>куб. м/Гкал</t>
  </si>
  <si>
    <t>L.CONDITION.INFO</t>
  </si>
  <si>
    <t>Информация о показателях технико-экономического состояния систем теплоснабжения</t>
  </si>
  <si>
    <t>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 информация о показателях физического износа объектов теплоснабжения, информация о показателях энергетической эффективности объектов теплоснабжения</t>
  </si>
  <si>
    <t>L.STANDARDS.OTHER</t>
  </si>
  <si>
    <t>Прочие стандарты</t>
  </si>
  <si>
    <t>Форма 10. Информация о стандартах качества обслуживания единой теплоснабжающей организацией в ценовых зонах теплоснабжения потре-бителей тепловой энергии и стандартах взаимодействия единой теплоснабжающей организации в ценовых зонах теплоснабжения с теплоснабжающими организациями в ценовых зонах теплоснабжения, владеющими на праве собственности и (или) ином законном основании источниками тепловой энергии, о выполнении соглашения об исполнении схемы теплоснабжения</t>
  </si>
  <si>
    <t xml:space="preserve">L.STANDARDS.SERVICE.QUALITY </t>
  </si>
  <si>
    <t>Стандарты качества обслуживания</t>
  </si>
  <si>
    <t>Стандарты качества обслуживания единой теплоснабжающей организацией в ценовых зонах теплоснабжения потребителей тепловой энергии</t>
  </si>
  <si>
    <t>Информация включает сведения о месте их опубликования.</t>
  </si>
  <si>
    <t>L.STANDARDS.INTERACTION</t>
  </si>
  <si>
    <t>Стандарты взаимодействия</t>
  </si>
  <si>
    <t>Стандарты взаимодействия единой теплоснабжающей организации в ценовых зонах теплоснабжения с теплоснабжающими организациями в ценовых зонах теплоснабжения, владеющими на праве собственности и (или) ином законном основании источниками тепловой энергии</t>
  </si>
  <si>
    <t>L.STANDARDS.AGREEMENT</t>
  </si>
  <si>
    <t>Информация о выполнении соглашения</t>
  </si>
  <si>
    <t>Информация о выполнении соглашения об исполнении схемы теплоснабжения</t>
  </si>
  <si>
    <t>Информация включает сведения о достижении целевых показателей испол-нения схемы теплоснабжения единой теплоснабжающей организацией в це-новых зонах теплоснабжения и выполнении сторонами соглашения обяза-тельств, включенных в указанное соглашение в соответствии с Федеральным законом от 27 июля 2010 г. № 190-ФЗ «О теплоснабжении».</t>
  </si>
  <si>
    <t>Добавить стандарты</t>
  </si>
  <si>
    <t>Указываются прочие расходы, которые подлежат отнесению на регулируемые виды деятельности в соответствии с законодательством в области обращения с твёрдыми коммунальными отходами.</t>
  </si>
  <si>
    <t>Форма 5. Информация об основных показателях финансово-хозяйственной деятельности организации в части регулируемых видов деятельности за отчётный год</t>
  </si>
  <si>
    <t>Выручка от регулируемого вида деятельности</t>
  </si>
  <si>
    <t xml:space="preserve">Указывается выручка от регулируемого вида деятельности </t>
  </si>
  <si>
    <t>Себестоимость оказываемых услуг по обращению с твёрдыми коммунальными отходами по регулируемому виду деятельности, включая:</t>
  </si>
  <si>
    <t xml:space="preserve">Указывается суммарная себестоимость </t>
  </si>
  <si>
    <t>2.1</t>
  </si>
  <si>
    <t>производственные расходы, в том числе:</t>
  </si>
  <si>
    <t>Указывается общая сумма производственных расходов.</t>
  </si>
  <si>
    <t>2.1.1</t>
  </si>
  <si>
    <t>расходы на оплату труда основного производственного персонала</t>
  </si>
  <si>
    <t>Указывается общая сумма расходов на оплату труда и страховых взносов производственного персонала.</t>
  </si>
  <si>
    <t>2.1.2</t>
  </si>
  <si>
    <t>страховые взносы на обязательное социальное страхование, выплачиваемые из фонда оплаты труда основного производственного персонала</t>
  </si>
  <si>
    <t>ремонтные расходы, включая:</t>
  </si>
  <si>
    <t>Указывается общая сумма ремонтных расходов</t>
  </si>
  <si>
    <t>2.2.1</t>
  </si>
  <si>
    <t>расходы на текущий ремонт</t>
  </si>
  <si>
    <t>2.2.2</t>
  </si>
  <si>
    <t>расходы на капитальный ремонт</t>
  </si>
  <si>
    <t>административные расходы, в том числе:</t>
  </si>
  <si>
    <t>Указывается общая сумма расходов на оплату труда и страховых взносов административно-управленческого персонала</t>
  </si>
  <si>
    <t>2.3.1</t>
  </si>
  <si>
    <t>расходы на оплату труда</t>
  </si>
  <si>
    <t>2.3.2</t>
  </si>
  <si>
    <t xml:space="preserve">страховые взносы на обязательное социальное страхование, выплачиваемые из фонда оплаты труда административно-управленческого персонала </t>
  </si>
  <si>
    <t>2.4</t>
  </si>
  <si>
    <t>расходы на амортизацию основных средств и нематериальных активов:</t>
  </si>
  <si>
    <t>Указывается общая сумма расходов на амортизацию основных средства и нематериальных активов</t>
  </si>
  <si>
    <t>2.4.1</t>
  </si>
  <si>
    <t>расходы на амортизацию основных средств</t>
  </si>
  <si>
    <t>2.4.2</t>
  </si>
  <si>
    <t>расходы на амортизацию нематериальных активов</t>
  </si>
  <si>
    <t>2.5</t>
  </si>
  <si>
    <t>расходы на арендную плату</t>
  </si>
  <si>
    <t>2.6</t>
  </si>
  <si>
    <t>расходы на лизинговые платежи</t>
  </si>
  <si>
    <t>2.7</t>
  </si>
  <si>
    <t xml:space="preserve"> расходы на концессионную плату</t>
  </si>
  <si>
    <t>2.8</t>
  </si>
  <si>
    <t>прочие расходы, которые подлежат отнесению на регулируемые виды деятельности, в том числе:</t>
  </si>
  <si>
    <t>Указывается общая сумма прочих расходов, которые подлежат отнесению на регулируемые виды деятельности в соответствии с законодательством в области обращения с твёрдыми коммунальными отходами.</t>
  </si>
  <si>
    <t>В случае наличия нескольких видов прочих расходов информация указывается в отдельных строках.</t>
  </si>
  <si>
    <t>2.9</t>
  </si>
  <si>
    <t>расходы на транспортирование твёрдых коммунальных отходов</t>
  </si>
  <si>
    <t>Указывается сумма расходов на оплату выполняемых сторонними организациями услуг, связанных с осуществлением деятельности по транспортированию твёрдых коммунальных отходов в соответствии с договорами, заключенными региональным оператором с операторами, осуществляющими транспортирование твёрдых коммунальных отходов, при самостоятельном транспортировании твёрдых коммунальных отходов региональным оператором (при их наличии).</t>
  </si>
  <si>
    <t>Чистая прибыль с разбивкой по регулируемым видам деятельности, в том числе:</t>
  </si>
  <si>
    <t>Указывается общая сумма чистой прибыли, полученной от регулируемого вида деятельности.</t>
  </si>
  <si>
    <t>размер расходования чистой прибыли на финансирование мероприятий, предусмотренных инвестиционной программой</t>
  </si>
  <si>
    <t>Изменение стоимости основных фондов, в том числе:</t>
  </si>
  <si>
    <t>Указывается общее изменение стоимости основных фондов.</t>
  </si>
  <si>
    <t>4.1</t>
  </si>
  <si>
    <t>изменение стоимости основных фондов за счет их ввода в эксплуатацию (вывода из эксплуатации)</t>
  </si>
  <si>
    <t>Указываются общее изменение стоимости основных фондов за счет их ввода в эксплуатацию (вывода из эксплуатации).</t>
  </si>
  <si>
    <t>4.1.1</t>
  </si>
  <si>
    <t>изменение стоимости основных фондов за счет их ввода в эксплуатацию</t>
  </si>
  <si>
    <t>Указываются изменение стоимости основных фондов за счет их ввода в эксплуатацию.</t>
  </si>
  <si>
    <t>4.1.2</t>
  </si>
  <si>
    <t>изменение стоимости основных фондов за счет их вывода в эксплуатацию</t>
  </si>
  <si>
    <t>Указываются изменение стоимости основных фондов за счет их вывода из эксплуатации.</t>
  </si>
  <si>
    <t>4.1.3</t>
  </si>
  <si>
    <t>изменение стоимости основных фондов за счет их переоценки</t>
  </si>
  <si>
    <t>Указываются изменение стоимости основных фондов за счет их переоценки.</t>
  </si>
  <si>
    <t>-</t>
  </si>
  <si>
    <t>Указывается ссылка на документ, предварительно загруженный в хранилище файлов ФГИС ЕИАС._x000D_
Раскрывается организацией, выручка от регулируемых видов деятельности которой превышает 80 процентов совокупной выручки за отчетный год.</t>
  </si>
  <si>
    <t>Объём принятых твёрдых коммунальных отходов</t>
  </si>
  <si>
    <t>тыс. куб. м_x000D_
в год</t>
  </si>
  <si>
    <t>Указание объема принятых твёрдых коммунальных отходов необязательно при указании массы принятых твёрдых коммунальных отходов.</t>
  </si>
  <si>
    <t>Масса принятых твёрдых коммунальных отходов</t>
  </si>
  <si>
    <t>тонн в год</t>
  </si>
  <si>
    <t>Указание массы принятых твёрдых коммунальных отходов необязательно при указании объёма принятых твёрдых коммунальных отходов.</t>
  </si>
  <si>
    <t>Среднесписочная численность основного персонала</t>
  </si>
  <si>
    <t>Форма 6. Информация об основных показателях финансово-хозяйственной деятельности организации в отношении деятельности по транспортированию твердых коммунальных отходов за отчетный год</t>
  </si>
  <si>
    <t>Выручка от деятельности</t>
  </si>
  <si>
    <t>Указывается выручка от деятельности</t>
  </si>
  <si>
    <t>Себестоимость оказываемых услуг по регулируемому виду деятельности, включая:</t>
  </si>
  <si>
    <t>Указывается суммарная себестоимость</t>
  </si>
  <si>
    <t>расходы на оплату труда и страховые взносы на обязательное социальное страхование, выплачиваемые из фонда оплаты труда</t>
  </si>
  <si>
    <t>Указывается общая сумма расходов на оплату труда и страховых взносов</t>
  </si>
  <si>
    <t xml:space="preserve">расходы на оплату труда </t>
  </si>
  <si>
    <t xml:space="preserve">страховые взносы на обязательное социальное страхование, выплачиваемые из фонда оплаты труда </t>
  </si>
  <si>
    <t>расходы на топливо и горюче-смазочные материалы для транспортных средств, используемых для транспортирования твёрдых коммунальных отходов</t>
  </si>
  <si>
    <t>расходы на сырье и материалы для текущего технического обслуживания транспортных средств, используемых для транспортирования твёрдых коммунальных отходов</t>
  </si>
  <si>
    <t>ремонтные расходы и расходы на техническое обслуживание в отношении транспортных средств, используемых для транспортирования твёрдых коммунальных отходов (за исключением расходов, указанных в пункте 2.3 данной формы)</t>
  </si>
  <si>
    <t>расходы на амортизацию транспортных средств, используемых для транспортирования твёрдых коммунальных отходов</t>
  </si>
  <si>
    <t>расходы на арендную плату и лизинговые платежи в отношении транспортных средств, используемых для транспортирования твёрдых коммунальных отходов</t>
  </si>
  <si>
    <t>административные расходы (за исключением расходов, предусмотренных пунктами 2.1 и 2.8 данной формы)</t>
  </si>
  <si>
    <t>расходы, связанные с оплатой налогов, сборов и других обязательных платежей (в том числе с обязательным страхованием гражданской ответственности владельцев транспортных средств, оснащением и обеспечением функционирования аппаратуры спутниковой навигации ГЛОНАСС или ГЛОНАСС/GPS)</t>
  </si>
  <si>
    <t>прочие расходы</t>
  </si>
  <si>
    <t>Чистая прибыль в отношении деятельности по транспортированию твёрдых коммунальных отходов</t>
  </si>
  <si>
    <t>Изменение стоимости основных фондов (транспортных средств, используемых для транспортирования твёрдых коммунальных отходов), в том числе:</t>
  </si>
  <si>
    <t>Указывается общее изменение стоимости основных фондов за счет их ввода в эксплуатацию (вывода из эксплуатации), переоценки.</t>
  </si>
  <si>
    <t>Указывается изменение стоимости основных фондов за счет их ввода в эксплуатацию.</t>
  </si>
  <si>
    <t>4.2</t>
  </si>
  <si>
    <t>изменение стоимости основных фондов за счет их вывода из эксплуатации</t>
  </si>
  <si>
    <t>Указывается изменение стоимости основных фондов за счет их вывода из эксплуатации.</t>
  </si>
  <si>
    <t>4.3</t>
  </si>
  <si>
    <t>Указывается изменение стоимости основных фондов за счет их переоценки.</t>
  </si>
  <si>
    <t>Указывается ссылка на документ, предварительно загруженный в хранилище файлов ФГИС ЕИАС._x000D_
Раскрывается организацией, выручка от деятельности по транспортированию твёрдых коммунальных отходов которой превышает 80 процентов совокупной выручки за отчетный год.</t>
  </si>
  <si>
    <t>Объём принятых для транспортирования твёрдых коммунальных отходов</t>
  </si>
  <si>
    <t>Масса принятых для транспортирования твёрдых коммунальных отходов</t>
  </si>
  <si>
    <t>&lt;1&gt;</t>
  </si>
  <si>
    <t>В 2023 году операторы по обращению с твёрдыми коммунальными отходами, осуществляющие деятельность по транспортированию твёрдых коммунальных отходов, раскрывают в данной форме информацию, сформированную на дату раскрытия информации.</t>
  </si>
  <si>
    <t>В случае, если оператор по обращению с твёрдыми коммунальными отходами, осуществляющий деятельность по транспортированию твёрдых коммунальных отходов, обеспечивает транспортирование твёрдых коммунальных отходов в разных зонах деятельности регионального оператора, на разных территориях в пределах одной зоны деятельности регионального оператора, то информация раскрывается по каждой зоне деятельности регионального оператора, по каждой территории в пределах зоны деятельности регионального оператора.</t>
  </si>
  <si>
    <t>Информация, подлежащая раскрытию</t>
  </si>
  <si>
    <t>HEAT</t>
  </si>
  <si>
    <t>Количество аварий на тепловых сетях</t>
  </si>
  <si>
    <t>ед. на км</t>
  </si>
  <si>
    <t>Указывается количество любых нарушений на тепловых сетях в расчете на один километр трубопровода.</t>
  </si>
  <si>
    <t>Количество аварий на источниках тепловой энергии</t>
  </si>
  <si>
    <t>ед. на источник</t>
  </si>
  <si>
    <t>Указывается количество любых нарушений на источниках тепловой энергии</t>
  </si>
  <si>
    <t>Сведения о несоблюдении значений параметров качества теплоснабжения и (или) параметров, отражающих допустимые перерывы в теплоснабжении</t>
  </si>
  <si>
    <t>Информация в данной строке раскрывается только единой теплоснабжающей организацией в ценовых зонах теплоснабжения (обобщенная информация о количестве составленных актов, подтверждающих факт превышения разрешенных отклонений значений параметров, о средней продолжительности устранения превышения разрешенных отклонений значений параметров, о совокупной величине снижения размера платы за тепловую энергию (мощность) потребителям в связи с превышением разрешенных отклонений значений параметров)</t>
  </si>
  <si>
    <t>количество составленных актов, подтверждающих факт превышения разрешенных отклонений значений параметров</t>
  </si>
  <si>
    <t>шт.</t>
  </si>
  <si>
    <t>средняя продолжительность устранения превышения разрешенных отклонений значений параметров</t>
  </si>
  <si>
    <t>дн.</t>
  </si>
  <si>
    <t>совокупная величина снижения размера платы за тепловую энергию (мощность) потребителям в связи с превышением разрешенных отклонений значений параметров</t>
  </si>
  <si>
    <t>Показатели надежности и энергетической эффективности, установленные в соответствии с законодательством Российской Федерации</t>
  </si>
  <si>
    <t>В колонке «Ссылка на документ» указывается материал в виде ссылки на документ, содержащий информацию об установленных показателях, предварительно загруженный в хранилище данных ФГИС ЕИАС._x000D_
В случае, если показатели не утверждены в колонке «Информация» указывается «Не утверждены»._x000D_
Информация в данной строке не раскрывается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t>
  </si>
  <si>
    <t>Плановые показатели надежности объектов теплоснабжения</t>
  </si>
  <si>
    <t>количество прекращений подачи тепловой энергии, теплоносителя в результате технологических нарушений на тепловых сетях на 1 км тепловых сетей</t>
  </si>
  <si>
    <t>ед.в год/км</t>
  </si>
  <si>
    <t>количество прекращений подачи тепловой энергии, теплоносителя в результате технологических нарушений на источниках тепловой энергии на 1 Гкал/час установленной мощности</t>
  </si>
  <si>
    <t xml:space="preserve"> ед.в год/Гкал/час</t>
  </si>
  <si>
    <t xml:space="preserve">Плановые показатели энергетической эффективности объектов теплоснабжения </t>
  </si>
  <si>
    <t>4.2.1</t>
  </si>
  <si>
    <t>удельный расход топлива на производство единицы тепловой энергии, отпускаемой с коллекторов источников тепловой энергии</t>
  </si>
  <si>
    <t>т.у.т./Гкал</t>
  </si>
  <si>
    <t>4.2.2</t>
  </si>
  <si>
    <t>отношение величины технологических потерь к материальной характеристике тепловой сети</t>
  </si>
  <si>
    <t>4.2.1.1</t>
  </si>
  <si>
    <t>при передаче тепловой энергии</t>
  </si>
  <si>
    <t>Гкал/кв.м</t>
  </si>
  <si>
    <t>4.2.1.2</t>
  </si>
  <si>
    <t>при передаче теплоносителя</t>
  </si>
  <si>
    <t>тонн/кв.м</t>
  </si>
  <si>
    <t>4.2.3</t>
  </si>
  <si>
    <t>величина технологических потерь</t>
  </si>
  <si>
    <t>4.2.3.1</t>
  </si>
  <si>
    <t>Гкал/год</t>
  </si>
  <si>
    <t>4.2.3.2</t>
  </si>
  <si>
    <t>при передаче теплоносителя по тепловым сетям</t>
  </si>
  <si>
    <t>тонн/год</t>
  </si>
  <si>
    <t>Доля исполненных в срок договоров о подключении (технологическом присоединении) к системе теплоснабжения</t>
  </si>
  <si>
    <t>Указывается процент от общего количества заключенных договоров о подключении (технологическом присоединении) к системе теплоснабжения._x000D_
_x000D_
Единой теплоснабжающей организацией указывается доля числа исполненных в срок договоров о подключении (технологическом присоединении) к системе теплоснабжения в зоне ее деятельности в ценовых зонах теплоснабжения (процентов общего количества заключенных договоров о подключении (технологическом присоединении) к системе теплоснабжения._x000D_
Информация в данной строке не раскрывается теплоснабжающей организацией в ценовых зонах теплоснабжения и теплосетевой организацией в ценовых зонах теплоснабжения</t>
  </si>
  <si>
    <t>Средняя продолжительность рассмотрения заявок на заключение договоров о подключении (технологическом присоединении) к системе теплоснабжения</t>
  </si>
  <si>
    <t>Единой теплоснабжающей организацией информация раскрывается в зоне ее деятельности в ценовых зонах теплоснабжения_x000D_
Информация в данной строке не раскрывается теплоснабжающей организацией в ценовых зонах теплоснабжения и теплосетевой организацией в ценовых зонах теплоснабжения.</t>
  </si>
  <si>
    <t xml:space="preserve">Едиными теплоснабжающими организациями, теплоснабжающими и теплосетевыми организациями в ценовых зонах теплоснабжения указывается информация об основных потребительских </t>
  </si>
  <si>
    <t>характеристиках товаров и услуг, поставляемых и оказываемых этими организациями в ценовых зонах теплоснабжения.</t>
  </si>
  <si>
    <t>COLDVSNA</t>
  </si>
  <si>
    <t>Количество аварий на системах холодного водоснабжения</t>
  </si>
  <si>
    <t>Указывается количество любых нарушений функционирования системы холодного водоснабжения в расчете на один километр трубопровода.</t>
  </si>
  <si>
    <t>Количество случаев временного ограничения холодного водоснабжения по графику</t>
  </si>
  <si>
    <t>количество случаев ограничения холодного водоснабжения по графику для ограничений сроком менее 24 часов в сутки</t>
  </si>
  <si>
    <t>ед.</t>
  </si>
  <si>
    <t>Указывается суммарное количество ограничения холодного водоснабжения по графику в течение отчетного периода. В расчет принимаются ограничения сроком менее 24 часов каждое.</t>
  </si>
  <si>
    <t>срок действия ограничений холодного водоснабжения по графику для ограничений сроком менее 24 часов в сутки</t>
  </si>
  <si>
    <t>ч</t>
  </si>
  <si>
    <t>Указывается сумма времени ограничения холодного водоснабжения по графику в течение отчетного периода. В расчет принимаются ограничения сроком менее 24 часов каждое.</t>
  </si>
  <si>
    <t>Доля потребителей, в отношении которых ограничено холодное водоснабжение:</t>
  </si>
  <si>
    <t>доля потребителей, в отношении которых ограничено холодное водоснабжение сроком менее 24 часов в сутки</t>
  </si>
  <si>
    <t>Указывается отношение количества потребителей, затронутых как минимум одним ограничением подачи холодной воды по графику длительностью менее 24 часа в течение отчетного периода, и суммарного количества обслуживаемых потребителей.</t>
  </si>
  <si>
    <t>доля потребителей, в отношении которых ограничено холодное водоснабжение сроком 24 часа в сутки и более</t>
  </si>
  <si>
    <t>Указывается отношение количества потребителей, затронутых как минимум одним ограничением подачи холодной воды по графику длительностью 24 часа и более в течение отчетного периода, и суммарного количества обслуживаемых потребителей.</t>
  </si>
  <si>
    <t>Общее количество отобранных проб питьевой воды по следующим показателям</t>
  </si>
  <si>
    <t>мутность</t>
  </si>
  <si>
    <t>цветность</t>
  </si>
  <si>
    <t>хлор остаточный общий, в том числе:</t>
  </si>
  <si>
    <t>4.3.1</t>
  </si>
  <si>
    <t>хлор остаточный связанный</t>
  </si>
  <si>
    <t>4.3.2</t>
  </si>
  <si>
    <t>хлор остаточный свободный</t>
  </si>
  <si>
    <t>4.4</t>
  </si>
  <si>
    <t>общие колиформные бактерии</t>
  </si>
  <si>
    <t>4.5</t>
  </si>
  <si>
    <t>термотолерантные колиформные бактерии</t>
  </si>
  <si>
    <t>Количество отобранных проб питьевой воды, показатели которых не соответствуют нормативам качества питьевой воды в соответствии с санитарно-эпидемиологическими требованиями к питьевой воде (предельно допустимой концентрации в воде) по следующим показателям:</t>
  </si>
  <si>
    <t>5.2</t>
  </si>
  <si>
    <t>5.3</t>
  </si>
  <si>
    <t>5.3.1</t>
  </si>
  <si>
    <t>5.3.2</t>
  </si>
  <si>
    <t>5.4</t>
  </si>
  <si>
    <t>5.5</t>
  </si>
  <si>
    <t>Доля исполненных в срок договоров о подключении (технологическом присоединении) к централизованной системе холодного водоснабжения</t>
  </si>
  <si>
    <t>Указывается процент общего количества заключенных договоров о подключении (технологическом присоединении) к централизованной системе холодного водоснабжения.</t>
  </si>
  <si>
    <t>Средняя продолжительность рассмотрения заявлений о заключении договоров о подключении (технологическом присоединении) к централизованной системе холодного водоснабжения</t>
  </si>
  <si>
    <t>О результатах технического обследования централизованных систем холодного водоснабжения, в том числе:</t>
  </si>
  <si>
    <t>8.1</t>
  </si>
  <si>
    <t>о фактических значениях показателей технико-экономического состояния централизованных систем холодного водоснабжения, включая значения показателей физического износа и энергетической эффективности объектов централизованных систем холодного водоснабжения.</t>
  </si>
  <si>
    <t>HOTVSNA</t>
  </si>
  <si>
    <t>Количество аварий на системах горячего водоснабжения</t>
  </si>
  <si>
    <t>Указывается количество нарушений функционирования системы горячего водоснабжения в расчете на один километр трубопровода.</t>
  </si>
  <si>
    <t>Количество часов (суммарно за календарный год), превышающих установленную продолжительность временного прекращения или ограничения горячего водоснабжения, и доля потребителей (процентов), в отношении которых было осуществлено временное прекращение или ограничение горячего водоснабжения</t>
  </si>
  <si>
    <t>количество часов (суммарно за календарный год), превышающих установленную продолжительность временного прекращения горячего водоснабжения</t>
  </si>
  <si>
    <t>количество часов (суммарно за календарный год), превышающих установленную продолжительность ограничения горячего водоснабжения</t>
  </si>
  <si>
    <t>доля потребителей, в отношении которых было осуществлено временное прекращение горячего водоснабжения</t>
  </si>
  <si>
    <t>доля потребителей, в отношении которых было осуществлено ограничение горячего водоснабжения</t>
  </si>
  <si>
    <t>Количество часов (суммарно за календарный год) отклонения показателей температуры подачи горячей воды от нормативных значений в точке разбора</t>
  </si>
  <si>
    <t>Доля исполненных в срок договоров о подключении (технологическом присоединении) к централизованной системе горячего водоснабжения (процентов общего количества заключенных договоров о подключении (технологическом присоединении) к централизованной системе горячего водоснабжения)</t>
  </si>
  <si>
    <t>Средняя продолжительность рассмотрения заявлений о заключении договоров о подключении (технологическом присоединении) к централизованной системе горячего водоснабжения</t>
  </si>
  <si>
    <t>О результатах технического обследования централизованных систем горячего водоснабжения, в том числе:</t>
  </si>
  <si>
    <t>о фактических значениях показателей технико-экономического состояния централизованных систем горячего водоснабжения, включая значения показателей физического износа и энергетической эффективности объектов централизованных систем горячего водоснабжения</t>
  </si>
  <si>
    <t>VOTV</t>
  </si>
  <si>
    <t>Показатели аварийности на канализационных сетях</t>
  </si>
  <si>
    <t>Указывается количество любых нарушений на канализационных сетях.</t>
  </si>
  <si>
    <t>Количество засоров на самотечных сетях</t>
  </si>
  <si>
    <t>Указывается количество засоров на самотечных сетях.</t>
  </si>
  <si>
    <t>Общее количество отобранных проб на сбросе очищенных (частично очищенных) сточных вод:</t>
  </si>
  <si>
    <t>Указывается суммарное количество проведенных проб на сбросе очищенных вод.</t>
  </si>
  <si>
    <t>взвешенные вещества</t>
  </si>
  <si>
    <t>БПК5</t>
  </si>
  <si>
    <t>аммоний-ион</t>
  </si>
  <si>
    <t>нитрит-анион</t>
  </si>
  <si>
    <t>3.5</t>
  </si>
  <si>
    <t>фосфаты (по Р)</t>
  </si>
  <si>
    <t>3.6</t>
  </si>
  <si>
    <t>нефтепродукты</t>
  </si>
  <si>
    <t>3.7</t>
  </si>
  <si>
    <t>микробиология</t>
  </si>
  <si>
    <t>Количество отобранных проб, показатели которых не соответствуют установленным нормативам состава сточных вод (предельно допустимой концентрации веществ и микроорганизмов) на сбросе очищенных (частично очищенных) сточных вод:</t>
  </si>
  <si>
    <t>Указывается суммарное количество отобранных проб, выявивших несоответствие очищенных сточных вод санитарным нормам (предельно допустимой концентрации) на сбросе очищенных (частично очищенных) сточных вод.</t>
  </si>
  <si>
    <t>4.6</t>
  </si>
  <si>
    <t>4.7</t>
  </si>
  <si>
    <t>Доля исполненных в срок договоров о подключении (технологическом присоединении) к централизованной системе водоотведения</t>
  </si>
  <si>
    <t>Указывается процент от общего количества заключенных договоров о подключении (технологическом присоединении) к централизованной системе водоотведения</t>
  </si>
  <si>
    <t>Средняя продолжительность рассмотрения заявлений о заключении договоров о подключении (технологическом присоединении) к централизованной системе водоотведения</t>
  </si>
  <si>
    <t>О результатах технического обследования централизованных систем водоотведения, в том числе:</t>
  </si>
  <si>
    <t>7.1</t>
  </si>
  <si>
    <t>о фактических значениях показателей технико-экономического состояния централизованных систем водоотведения, включая значения показателей физического износа и энергетической эффективности объектов централизованных систем водоотведения</t>
  </si>
  <si>
    <t>О  нормативах допустимых сбросов загрязняющих веществ в составе сточных вод в водные объекты, установленных для объектов централизованных систем водоотведения, эксплуатируемых организацией водоотведения, в соответствии с законодательством Российской Федерации об охране окружающей среды (о лимитах на сбросы загрязняющих веществ, установленных для объектов централизованных систем водоотведения, эксплуатируемых организацией водоотведения, в соответствии с законодательством Российской Федерации об охране окружающей среды</t>
  </si>
  <si>
    <t>О показателях эффективности удаления загрязняющих веществ очистными сооружениями регулируемых организаций</t>
  </si>
  <si>
    <t>Наименование выведенного источника тепловой энергии</t>
  </si>
  <si>
    <t>В случае вывода из эксплуатации нескольких источников тепловой энергии информация по каждому из них указывается в отдельно.</t>
  </si>
  <si>
    <t>Дата вывода</t>
  </si>
  <si>
    <t>Дата вывода указывается в виде «ДД.ММ.ГГГГ».</t>
  </si>
  <si>
    <t>Наименование тепловой сети</t>
  </si>
  <si>
    <t>В случае вывода из эксплуатации нескольких тепловых сетей информация по каждой из них указывается в отдельно.</t>
  </si>
  <si>
    <t>Описание ограничения подачи тепловой энергии потребителям</t>
  </si>
  <si>
    <t>Дата начала ограничения</t>
  </si>
  <si>
    <t>Дата начала ограничения указывается в виде «ДД.ММ.ГГГГ».</t>
  </si>
  <si>
    <t>Дата завершения ограничения</t>
  </si>
  <si>
    <t>Дата завершения ограничения указывается в виде «ДД.ММ.ГГГГ».</t>
  </si>
  <si>
    <t>Описание прекращения режима потребления</t>
  </si>
  <si>
    <t>В колонке «Ссылка на документ» указывается материал в виде ссылки на документ, обосновывающий прекращение подачи тепловой энергии потребителям, предварительно загруженный в хранилище данных ФГИС ЕИАС.</t>
  </si>
  <si>
    <t>Дата прекращения</t>
  </si>
  <si>
    <t>Дата прекращения указывается в виде «ДД.ММ.ГГГГ».</t>
  </si>
  <si>
    <t>1.0</t>
  </si>
  <si>
    <t>Сведения о выводе источников тепловой энергии из эксплуатации</t>
  </si>
  <si>
    <t>Сведения о выводе тепловых сетей из эксплуатации</t>
  </si>
  <si>
    <t>Добавить тепловую сеть</t>
  </si>
  <si>
    <t>3.0</t>
  </si>
  <si>
    <t>Сведения об основаниях ограничения подачи тепловой энергии</t>
  </si>
  <si>
    <t>Осуществлялось</t>
  </si>
  <si>
    <t>В случае, если ограничения подачи тепловой энергии тепловой энергии не происходили, в колонке «Информация» указывается «Не осуществлялось»._x000D_
Указывается информация о случаях ограничения подачи тепловой энергии потребителям в случаях, предусмотренных законодательством в сфере теплоснабжения._x000D_
В неоднократных ограничений подачи потребления тепловой энергии потребителями информация по каждому случаю указывается отдельно.</t>
  </si>
  <si>
    <t>Добавить ограничение подачи ТЭ</t>
  </si>
  <si>
    <t>4.0</t>
  </si>
  <si>
    <t>Сведения об основаниях прекращения подачи тепловой энергии потребителям</t>
  </si>
  <si>
    <t>В случае, если прекращения подачи тепловой энергии потребителям не происходили, в колонке «Информация» указывается «Не осуществлялось»._x000D_
Указывается информация о случаях прекращения подачи тепловой энергии потребителям, предусмотренных законодательством в сфере теплоснабжения._x000D_
В случае нескольких прекращений подачи тепловой энергии потребителям информация по каждому случаю указывается отдельно.</t>
  </si>
  <si>
    <t>Добавить прекращение подачи ТЭ</t>
  </si>
  <si>
    <t>Наименование ИП</t>
  </si>
  <si>
    <t>Инвестиционная программа разбивается по мероприятиям и (или) группам мероприятий</t>
  </si>
  <si>
    <t>Дата утверждения инвестиционной программы</t>
  </si>
  <si>
    <t>Дата изменения инвестиционной программы</t>
  </si>
  <si>
    <t>Цель инвестиционной программы</t>
  </si>
  <si>
    <t>Наименование исполнительного органа субъекта Российской Федерации (органа местного самоуправления), утвердившего инвестиционную программу</t>
  </si>
  <si>
    <t>Наименование органа местного самоуправления, согласовавшего инвестиционную программу</t>
  </si>
  <si>
    <t>Период реализации инвестиционной программы</t>
  </si>
  <si>
    <t>Решение уполномоченного органа об утверждении инвестиционной программы</t>
  </si>
  <si>
    <t>Решение уполномоченного органа о внесении изменений, корректировке инвестиционной программы</t>
  </si>
  <si>
    <t>О наличии в инвестиционной программе мероприятий, включенных в концессионное(-ые) соглашение(-я)</t>
  </si>
  <si>
    <t>Дата начала</t>
  </si>
  <si>
    <t>Дата окончания</t>
  </si>
  <si>
    <t>Период реализации</t>
  </si>
  <si>
    <t>Вид</t>
  </si>
  <si>
    <t>Номер</t>
  </si>
  <si>
    <t>Дата принятия</t>
  </si>
  <si>
    <t>Тип</t>
  </si>
  <si>
    <t>Наличие</t>
  </si>
  <si>
    <t>Реквизиты концессионного(-ых) соглашения(-ий)</t>
  </si>
  <si>
    <t>ip_1</t>
  </si>
  <si>
    <t>Добавить инвестиционную программу</t>
  </si>
  <si>
    <t>Год реализации инвестиционной программы</t>
  </si>
  <si>
    <t>№ п/п_x000D_
мероприятия</t>
  </si>
  <si>
    <t>Группа, к которой относятся мероприятия инвестиционной программы</t>
  </si>
  <si>
    <t>Мероприятие</t>
  </si>
  <si>
    <t>№ источника</t>
  </si>
  <si>
    <t>О плановых и фактических размерах и источниках финансирования предусмотренных в утвержденной инвестиционной программе с распределением по годам</t>
  </si>
  <si>
    <t>Плановый срок реализации мероприятия и (или) группы мероприятий с распределением по годам</t>
  </si>
  <si>
    <t>Плановый срок ввода в эксплуатацию/выполнения мероприятия и (или) группы мероприятий</t>
  </si>
  <si>
    <t>Фактический срок реализации мероприятия и (или) группы мероприятий с распределением по годам</t>
  </si>
  <si>
    <t>Фактический срок ввода в эксплуатацию/выполнения мероприятия и (или) группы мероприятий</t>
  </si>
  <si>
    <t>Наименование мероприятия</t>
  </si>
  <si>
    <t>Входит в концессионное соглашение</t>
  </si>
  <si>
    <t>Объект инфраструктуры</t>
  </si>
  <si>
    <t>Признак</t>
  </si>
  <si>
    <t>Номер концессионного соглашения</t>
  </si>
  <si>
    <t>№ объекта</t>
  </si>
  <si>
    <t>Наименование объекта</t>
  </si>
  <si>
    <t>Тип объекта</t>
  </si>
  <si>
    <t>Адрес объекта</t>
  </si>
  <si>
    <t>План</t>
  </si>
  <si>
    <t>Факт</t>
  </si>
  <si>
    <t>в том числе</t>
  </si>
  <si>
    <t>Населенный пункт</t>
  </si>
  <si>
    <t>улица, проезд, проспект, переулок, и т.п.</t>
  </si>
  <si>
    <t>дом, корпус, строение</t>
  </si>
  <si>
    <t>Источник финансирования</t>
  </si>
  <si>
    <t>Размер финансирования</t>
  </si>
  <si>
    <t>месяц</t>
  </si>
  <si>
    <t>год</t>
  </si>
  <si>
    <r>
      <rPr>
        <charset val="204"/>
        <family val="2"/>
        <rFont val="Tahoma"/>
        <sz val="9"/>
        <vertAlign val="superscript"/>
      </rPr>
      <t>1</t>
    </r>
    <r>
      <rPr>
        <charset val="204"/>
        <family val="2"/>
        <rFont val="Tahoma"/>
        <sz val="9"/>
      </rPr>
      <t xml:space="preserve"> В соответствии с утвержденной инвестиционной программой</t>
    </r>
  </si>
  <si>
    <t>Источники финансирования</t>
  </si>
  <si>
    <t>Объем фактического выполнения за счет источников финансирования (тыс. руб. без НДС)</t>
  </si>
  <si>
    <t>Всего</t>
  </si>
  <si>
    <t>I</t>
  </si>
  <si>
    <t>Расходы на мероприятия инвестиционной программы</t>
  </si>
  <si>
    <t>Собственные средства</t>
  </si>
  <si>
    <t>1.1</t>
  </si>
  <si>
    <t>Амортизационные отчисления за исключением переоценки основных средств и нематериальных активов</t>
  </si>
  <si>
    <t>1.2</t>
  </si>
  <si>
    <t>Амортизационные отчисления в результате переоценки основных средств и нематериальных активов</t>
  </si>
  <si>
    <t>1.3</t>
  </si>
  <si>
    <t>Капитальные вложения (инвестиции), финансируемые за счет нормативной прибыли, учитываемой в необходимой валовой выручке</t>
  </si>
  <si>
    <t>1.4</t>
  </si>
  <si>
    <t>Экономия расходов, достигнутая регулируемой организацией в результате реализации мероприятий инвестиционной программы за счет амортизационных отчислений</t>
  </si>
  <si>
    <t>1.5</t>
  </si>
  <si>
    <t>Экономия расходов, достигнутая регулируемой организацией в результате реализации мероприятий инвестиционной программы за счет капитальных вложений в составе нормативной прибыли</t>
  </si>
  <si>
    <t>1.6</t>
  </si>
  <si>
    <t>Экономия расходов, достигнутая регулируемой организацией в результате реализации мероприятий инвестиционной программы за счет прочих собственных средств</t>
  </si>
  <si>
    <t>1.7</t>
  </si>
  <si>
    <t>Экономия расходов, достигнутая регулируемой организацией в результате реализации мероприятий инвестиционной программы за счет за счет займов и кредитов</t>
  </si>
  <si>
    <t>1.8</t>
  </si>
  <si>
    <t>Экономия средств, достигнутая регулируемой организацией в результате снижения расходов</t>
  </si>
  <si>
    <t>1.9</t>
  </si>
  <si>
    <t>Средства, полученные за счет платы за подключение (технологическое присоединение)</t>
  </si>
  <si>
    <t>1.10</t>
  </si>
  <si>
    <t>Средства, полученные регулируемой организацией в виде платы за сброс загрязняющих веществ сверх установленных нормативов состава сточных вод</t>
  </si>
  <si>
    <t>1.11</t>
  </si>
  <si>
    <t>Средства, полученные регулируемой организацией в виде платы за негативное воздействие на работу централизованной системы водоотведения</t>
  </si>
  <si>
    <t>1.12</t>
  </si>
  <si>
    <t>Прочие собственные средства</t>
  </si>
  <si>
    <t>Привлеченные средства</t>
  </si>
  <si>
    <t>Займы</t>
  </si>
  <si>
    <t>Кредиты</t>
  </si>
  <si>
    <t>Прочие привлеченные средства</t>
  </si>
  <si>
    <t>Бюджетное финансирование</t>
  </si>
  <si>
    <t>Плата концедента на строительство, модернизацию и (или) реконструкцию объекта концессионного соглашения в размере, предусмотренном заключенным концессионным соглашением</t>
  </si>
  <si>
    <t>Иные бюджетные средства.</t>
  </si>
  <si>
    <t>Прочие источники финансирования</t>
  </si>
  <si>
    <t>ИТОГО по программе</t>
  </si>
  <si>
    <t>II</t>
  </si>
  <si>
    <t>Средства на возврат займов и кредитов, привлекаемых на реализацию мероприятий инвестиционной программы, а также на проценты по таким займам и кредитам*</t>
  </si>
  <si>
    <t>Cредства на возврат займов и кредитов, привлекаемых на реализацию мероприятий инвестиционной программ</t>
  </si>
  <si>
    <t>1.1.1</t>
  </si>
  <si>
    <t>Финансируемые за счет нормативной прибыли, учитываемой в необходимой валовой выручке</t>
  </si>
  <si>
    <t>1.1.2</t>
  </si>
  <si>
    <t>Амортизационные отчисления</t>
  </si>
  <si>
    <t>1.1.3</t>
  </si>
  <si>
    <t>Иные собственные средства</t>
  </si>
  <si>
    <t>1.1.4</t>
  </si>
  <si>
    <t>Средства, полученные регулируемой организацией в виде платы за негативное воздействие абонентов на работу централизованной системы водоотведения</t>
  </si>
  <si>
    <t>1.2.1</t>
  </si>
  <si>
    <t>1.2.2</t>
  </si>
  <si>
    <t xml:space="preserve">Прочие источники </t>
  </si>
  <si>
    <t>Cредства на проценты по займам и кредитам, привлекаемым на реализацию мероприятий инвестиционной программ</t>
  </si>
  <si>
    <t>2.1.3</t>
  </si>
  <si>
    <t>2.1.4</t>
  </si>
  <si>
    <t>WARM FEATURES</t>
  </si>
  <si>
    <t>OTKO FEATURES</t>
  </si>
  <si>
    <t>Цель(-и) ИП</t>
  </si>
  <si>
    <t>Способ утверждения показателей</t>
  </si>
  <si>
    <t>Описание способа утверждения показателей</t>
  </si>
  <si>
    <t>Показатели качества, надежности и бесперебойности, энергетической эффективности</t>
  </si>
  <si>
    <t>Показатели надежности</t>
  </si>
  <si>
    <t xml:space="preserve">Показатели энергетической эффективности </t>
  </si>
  <si>
    <t>Показатели качества питьевой воды</t>
  </si>
  <si>
    <t>Показатели качества горячей воды</t>
  </si>
  <si>
    <t>Показатели надежности и бесперебойности</t>
  </si>
  <si>
    <t>Показатели энергетической эффективности</t>
  </si>
  <si>
    <t>Показатели очистки сточных вод</t>
  </si>
  <si>
    <t>Показатель надежности и бесперебойности</t>
  </si>
  <si>
    <t>Количество прекращений подачи тепловой энергии, теплоносителя в результате технологических нарушений</t>
  </si>
  <si>
    <t>удельный расход топлива на производство единицы тепловой энергии</t>
  </si>
  <si>
    <t>Отношение величины технологических потерь к материальной характеристике тепловой сети</t>
  </si>
  <si>
    <t>Величина технологических потерь</t>
  </si>
  <si>
    <t>Доля проб питьевой воды, подаваемой с источников водоснабжения, водопроводных станций или иных объектов централизованной системы водоснабжения в распределительную водопроводную сеть, не соответствующих установленным требованиям, в общем объёме проб, отобранных по результатам производственного контроля качества питьевой воды</t>
  </si>
  <si>
    <t>Доля проб питьевой воды в распределительной водопроводной сети, не соответствующих установленным требованиям, в общем объёме проб, отобранных по результатам производственного контроля качества питьевой воды</t>
  </si>
  <si>
    <t>Доля проб горячей воды в тепловой сети или в сети горячего водоснабжения, не соответствующих установленным требованиям по температуре, в общем объёме проб, отобранных по результатам производственного контроля качества горячей воды</t>
  </si>
  <si>
    <t>Доля проб горячей воды в тепловой сети или в сети горячего водоснабжения, не соответствующих установленным требованиям (за исключением температуры), в общем объёме проб, отобранных по результатам производственного контроля качества горячей воды</t>
  </si>
  <si>
    <t xml:space="preserve"> Количество перерывов в подаче воды, зафиксированных в местах исполнения обязательств организацией, осуществляющей горячее водоснабжение, холодное водоснабжение, по подаче горячей воды, холодной воды, возникших в результате аварий, повреждений и иных технологических нарушений на объектах централизованной системы холодного водоснабжения, горячего водоснабжения, принадлежащих организации, осуществляющей горячее водоснабжение, холодное водоснабжение, в расчете на протяженность водопроводной сети</t>
  </si>
  <si>
    <t>Доля потерь воды в централизованных системах водоснабжения при транспортировке в общем объёме воды, поданной в водопроводную сеть</t>
  </si>
  <si>
    <t>Удельное количество тепловой энергии, расходуемое на подогрев горячей воды</t>
  </si>
  <si>
    <t>Удельный расход электрической энергии, потребляемой в технологическом процессе</t>
  </si>
  <si>
    <t>доля сточных вод, не подвергающихся очистке, в общем объёме сточных вод, сбрасываемых в централизованные общесплавные или бытовые системы водоотведения</t>
  </si>
  <si>
    <t xml:space="preserve"> доля поверхностных сточных вод, не подвергающихся очистке, в общем объёме поверхностных сточных вод, принимаемых в централизованную ливневую систему водоотведения</t>
  </si>
  <si>
    <t>доля проб сточных вод, не соответствующих установленным нормативам допустимых сбросов, лимитам на сбросы, рассчитанная применительно к видам централизованных систем водоотведения раздельно для централизованной общесплавной (бытовой) и централизованной ливневой систем водоотведения</t>
  </si>
  <si>
    <t>Удельное количество аварий и засоров в расчете на протяженность канализационной сети</t>
  </si>
  <si>
    <t>Удельный расход электрической энергии, потребляемой в технологическом процессе для:</t>
  </si>
  <si>
    <t>на тепловых сетях на 1 км тепловых сетей</t>
  </si>
  <si>
    <t>на источниках тепловой энергии на 1 Гкал/час установленной мощности</t>
  </si>
  <si>
    <t xml:space="preserve">подготовки питьевой воды, на единицу объёма воды, отпускаемой в сеть_x000D_
</t>
  </si>
  <si>
    <t xml:space="preserve">транспортировки питьевой воды, на единицу объёма транспортируемой воды_x000D_
</t>
  </si>
  <si>
    <t>очистки сточных вод, на единицу объёма очищаемых сточных вод</t>
  </si>
  <si>
    <t>транспортировки сточных вод, на единицу объёма транспортируемых сточных вод</t>
  </si>
  <si>
    <t>ед. в год/км</t>
  </si>
  <si>
    <t>Гкал/куб. м</t>
  </si>
  <si>
    <t>кВт*ч/куб. м</t>
  </si>
  <si>
    <t>кВт*ч/куб.м</t>
  </si>
  <si>
    <t>план</t>
  </si>
  <si>
    <t>факт</t>
  </si>
  <si>
    <t>ед</t>
  </si>
  <si>
    <t>5.0</t>
  </si>
  <si>
    <t>Добавить систему</t>
  </si>
  <si>
    <t>Добавить описание формы публичного договора</t>
  </si>
  <si>
    <t>Добавить описание договора</t>
  </si>
  <si>
    <t>сведения о договорах, заключенных в соответствии с частями 2.1 и 2.2 статьи 8 Федерального закона "О теплоснабжении"</t>
  </si>
  <si>
    <t>Статья 8 ФЗ 190-ФЗ_x000D_
2.1. Соглашением сторон договора теплоснабжения и (или) договора поставки тепловой энергии (мощности) и (или) теплоносителя, но не выше цен (тарифов) на соответствующие товары в сфере теплоснабжения, установленных органом регулирования в соответствии с основами ценообразования в сфере теплоснабжения и правилами регулирования цен (тарифов) в сфере теплоснабжения, утвержденными Правительством Российской Федерации, определяются следующие виды цен на товары в сфере теплоснабжения, за исключением тепловой энергии (мощности) и (или) теплоносителя, реализация которых необходима для оказания коммунальных услуг по отоплению и горячему водоснабжению населению и приравненным к нему категориям потребителей:_x000D_
1) цены на тепловую энергию (мощность), производимую и (или) поставляемую с использованием теплоносителя в виде пара теплоснабжающими организациями потребителям, другим теплоснабжающим организациям;_x000D_
2) цены на теплоноситель в виде пара, поставляемый теплоснабжающими организациями потребителям, другим теплоснабжающим организациям;_x000D_
3) цены на тепловую энергию (мощность), теплоноситель, поставляемые теплоснабжающей организацией, владеющей на праве собственности или ином законном основании источником тепловой энергии, потребителю, теплопотребляющие установки которого технологически соединены с этим источником тепловой энергии непосредственно или через тепловую сеть, принадлежащую на праве собственности и (или) ином законном основании указанной теплоснабжающей организации или указанному потребителю, если такие теплопотребляющие установки и такая тепловая сеть не имеют иного технологического соединения с системой теплоснабжения и к тепловым сетям указанного потребителя не присоединены теплопотребляющие установки иных потребителей._x000D_
(часть 2.1 введена Федеральным законом от 01.12.2014 № 404-ФЗ)_x000D_
2.2. С 1 января 2018 года цены, указанные в части 2.1 настоящей статьи, не подлежат регулированию и определяются соглашением сторон договора теплоснабжения и (или) договора поставки тепловой энергии (мощности) и (или) теплоносителя, за исключением случаев:_x000D_
1) реализации тепловой энергии (мощности) и (или) теплоносителя, необходимых для оказания коммунальных услуг по отоплению и горячему водоснабжению населению и приравненным к нему категориям потребителей;_x000D_
2) производства тепловой энергии (мощности), теплоносителя с использованием источника тепловой энергии, установленная мощность которого составляет менее десяти гигакалорий в час, и (или) осуществления поставки теплоснабжающей организацией потребителю тепловой энергии в объеме менее пятидесяти тысяч гигакалорий за 2017 год.</t>
  </si>
  <si>
    <t>Прочие договора</t>
  </si>
  <si>
    <t>Сведения об условиях договоров на оказание услуг по транспортированию твердых коммунальных отходов</t>
  </si>
  <si>
    <t xml:space="preserve"> Форма договора на оказание услуг</t>
  </si>
  <si>
    <t>Указывается форма договора, используемая организацией, в виде ссылки на документ, предварительно загруженный в хранилище файлов ФГИС ЕИАС, либо ссылка на официальный сайт в сети "Интернет", на котором размещена информация._x000D_
В случае наличия нескольких форм таких договоров информация по каждой из них указывается в отдельной строке.</t>
  </si>
  <si>
    <t>Добавить описание формы договора</t>
  </si>
  <si>
    <t>наименование НПА</t>
  </si>
  <si>
    <t>контактный телефон службы</t>
  </si>
  <si>
    <t>адрес службы</t>
  </si>
  <si>
    <t>график работы службы</t>
  </si>
  <si>
    <t>c 01:03 до 18:55</t>
  </si>
  <si>
    <t>Информация о размещении данных на сайте регулируемой организации</t>
  </si>
  <si>
    <t>дата размещения информации</t>
  </si>
  <si>
    <t>Дата размещения информации указывается в виде «ДД.ММ.ГГГГ».</t>
  </si>
  <si>
    <t>адрес страницы сайта в сети «Интернет» и ссылка на документ</t>
  </si>
  <si>
    <t xml:space="preserve">официальный сайт ПАО «ТГК-1» www.tgc1.ru </t>
  </si>
  <si>
    <t>https://portal.eias.ru/Portal/DownloadPage.aspx?type=12&amp;guid=1e291b01-6579-4458-96e8-e65ecce34e9d</t>
  </si>
  <si>
    <t>В колонке «Информация» указывается адрес страницы сайта в сети «Интернет», на которой размещена информация._x000D_
В колонке «Ссылка на документ» указывается ссылка на скриншот страницы сайта в сети «Интернет», предварительно загруженный в хранилище файлов ФГИС ЕИАС, на которой размещена информация.</t>
  </si>
  <si>
    <t>https://portal.eias.ru/Portal/DownloadPage.aspx?type=12&amp;guid=27df82f0-827f-49c4-be73-741c630613a6</t>
  </si>
  <si>
    <t>Заявка на подключение к системе теплоснабжения с перечнем документов</t>
  </si>
  <si>
    <t xml:space="preserve">Указывается ссылка на документ, предварительно загруженный в хранилище файлов ФГИС ЕИАС._x000D_
В случае наличия дополнительных сведений информация по ним указывается в отдельных строках._x000D_
</t>
  </si>
  <si>
    <t xml:space="preserve">Постановление Правительства РФ от 05.07.2018 № 787 «О подключении (технологическом присоединении) к системам теплоснабжения, недискриминационном доступе к услугам в сфере теплоснабжения" </t>
  </si>
  <si>
    <t>В колонке «Информация» указывается полное наименование и реквизиты НПА._x000D_
В случае наличия нескольких НПА каждое из них указывается в отдельной строке.</t>
  </si>
  <si>
    <t>Постановление Правительства РФ от 30.11.2021 № 2115 "Об утверждении правил подключения (технологического присоединения) к системам теплоснабжения, включая правила недискриминационного доступа к услугам по подключению (технологическому присоединению) к системам теплоснабжения</t>
  </si>
  <si>
    <t>5.1.1</t>
  </si>
  <si>
    <t xml:space="preserve"> тел. +7 (815-55) 4-91-00</t>
  </si>
  <si>
    <t>Указывается номер контактного телефона службы, ответственной за прием и обработку заявок о подключении к централизованной системе теплоснабжения. _x000D_
В случае наличия нескольких служб и (или) номеров телефонов, информация по каждому из них указывается в отдельной строке.</t>
  </si>
  <si>
    <t>5.2.1</t>
  </si>
  <si>
    <t>184209, Мурманская область, г. Апатиты, ул. Дзержинского, д. 35
184250, г.Кировск, ул.Парковая, д.14</t>
  </si>
  <si>
    <t>Указывается наименование субъекта Российской Федерации, муниципального района, города, иного населенного пункта, улицы, номер дома, при необходимости указывается корпус, строение, литера или дополнительная территория. Данные указываются согласно наименованиям адресных объектов в ФИАС._x000D_
В случае наличия нескольких служб и (или) адресов, информация по каждому из них указывается в отдельной строке.</t>
  </si>
  <si>
    <t>с 08:00 до 17:00</t>
  </si>
  <si>
    <t>Указывается график работы службы, ответственной за прием и обработку заявок о подключении к централизованной системе теплоснабжения. _x000D_
В случае наличия нескольких служб и (или) графиков работы, информация по каждому из них указывается в отдельной строке.</t>
  </si>
  <si>
    <t>p1</t>
  </si>
  <si>
    <t>Добавить период</t>
  </si>
  <si>
    <t>p2</t>
  </si>
  <si>
    <t>Период действия тарифов</t>
  </si>
  <si>
    <t>с</t>
  </si>
  <si>
    <t>по</t>
  </si>
  <si>
    <t>p1_0</t>
  </si>
  <si>
    <t>Долгосрочные параметры регулирования указываются в случае выбора любого метода регулирования за исключением метода экономически обоснованных затрат в виде ссылки на документ, предварительно загруженный в хранилище файлов ФГИС ЕИАС.</t>
  </si>
  <si>
    <t>Необходимая валовая выручка на соответствующий период, в том числе с разбивкой по годам</t>
  </si>
  <si>
    <t>p2_0</t>
  </si>
  <si>
    <t>В колонке «Информация» указывается описательная информация, характеризующая размещаемые данные._x000D_
В колонке «Ссылка на документ» указывается либо ссылка на документ, предварительно загруженный в хранилище файлов ФГИС ЕИАС, либо ссылка на официальный сайт в сети «Интернет», на котором размещена информация.</t>
  </si>
  <si>
    <t>Форма 12. Информация об основных потребительских характеристиках товаров, услуг регулируемой организации, цены (тарифы) в сфере теплоснабжения на которые подлежат регулированию, об основных потребительских характеристиках товаров (услуг), поставляемых (оказываемых) единой теплоснабжающей организацией в ценовых зонах теплоснабжения, об основных потребительских характеристиках товаров (услуг), поставляемых (оказываемых) теплоснабжающей организацией в ценовых зонах теплоснабжения и теплосетевой организацией в ценовых зонах теплоснабжения</t>
  </si>
  <si>
    <t>Показатели надежности и качества, установленные в соответствии с законодательством Российской Федерации</t>
  </si>
  <si>
    <t>В колонке «Ссылка на документ» указывается материал в виде ссылки на документ, содержащий информацию об установленных показателях надежности и качества, предварительно загруженный в хранилище данных ФГИС ЕИАС._x000D_
В случае, если показатели надежности и качества не утверждены в колонке «Информация» указывается «Не утверждены»._x000D_
Информация в данной строке не указывается теплоснабжающими организациями, теплосетевыми организациями в ценовых зонах теплоснабжения.</t>
  </si>
  <si>
    <t>Информация в строках 3.1 – 3.3 указывается в случае, если организация имеет статус единой теплоснабжающей организации в ценовых зонах теплоснабжения.</t>
  </si>
  <si>
    <t>Доля числа исполненных в срок договоров о подключении</t>
  </si>
  <si>
    <t>Указывается процент общего количества заключенных договоров о подключении (технологическом присоединении)._x000D_
Информация в данной строке не указывается теплоснабжающими организациями, теплосетевыми организациями в ценовых зонах теплоснабжения.</t>
  </si>
  <si>
    <t>Средняя продолжительность рассмотрения заявлений о подключении</t>
  </si>
  <si>
    <t>Гкал/час</t>
  </si>
  <si>
    <t>Информация в данной строке не указывается теплоснабжающими организациями, теплосетевыми организациями в ценовых зонах теплоснабжения.</t>
  </si>
  <si>
    <t>REGION</t>
  </si>
  <si>
    <t>year_list1</t>
  </si>
  <si>
    <t>year_list</t>
  </si>
  <si>
    <t>logical</t>
  </si>
  <si>
    <t>Месяц_x000D_
(MONTH)</t>
  </si>
  <si>
    <t>Квартал_x000D_
(QUARTER)</t>
  </si>
  <si>
    <t>Месяц_x000D_
(kind_of_publication)</t>
  </si>
  <si>
    <t>НДС_x000D_
/kind_of_NDS/</t>
  </si>
  <si>
    <t>Номер СЦХВ(СЦВО)_x000D_
/SKI_number/</t>
  </si>
  <si>
    <t>Единица измерения объема оказываемых услуг ГВС_x000D_
/kind_of_unit_GVS/</t>
  </si>
  <si>
    <t>Метод регулирования_x000D_
/kind_of_control_method/</t>
  </si>
  <si>
    <t>Сколько раз встретилось</t>
  </si>
  <si>
    <t>Вид деятельности, на которую установлен тариф /kind_of_activity_WARM/</t>
  </si>
  <si>
    <t>Вид теплоносителя_x000D_
(kind_of_heat_transfer)</t>
  </si>
  <si>
    <t>Тип данных_x000D_
(kind_of_data_type)</t>
  </si>
  <si>
    <t>Схема подключения_x000D_
(kind_of_scheme_in)_x000D_
(kind_of_scheme_in2)</t>
  </si>
  <si>
    <t>Группы потребителей_x000D_
(kind_of_cons)</t>
  </si>
  <si>
    <t>Тип прокладки тепловых сетей_x000D_
(kind_of_nets)</t>
  </si>
  <si>
    <t>Диапазаны диаметров тепловых сетей_x000D_
(kind_of_diameters)</t>
  </si>
  <si>
    <t>Подключаемая тепловая нагрузка_x000D_
(kind_of_load)</t>
  </si>
  <si>
    <t>Форма 2, таблица Х</t>
  </si>
  <si>
    <t>виды тарифа_x000D_
/kind_group_rates/</t>
  </si>
  <si>
    <t>Заголовок таблицы</t>
  </si>
  <si>
    <t>name_rates_4</t>
  </si>
  <si>
    <t>name_rates_8</t>
  </si>
  <si>
    <t>Подключаемая тепловая нагрузка_x000D_
(kind_of_load3)</t>
  </si>
  <si>
    <t>Вид теплоносителя_x000D_
(kind_of_heat_transfer2)</t>
  </si>
  <si>
    <t>Вид теплоносителя_x000D_
(kind_of_heat_transfer3)</t>
  </si>
  <si>
    <t>Вид топлива_x000D_
(kind_of_fuel)</t>
  </si>
  <si>
    <t>Способ закупки товаров_x000D_
(kind_of_zak)</t>
  </si>
  <si>
    <t>виды тарифа_x000D_
/kind_group_rates_load/</t>
  </si>
  <si>
    <t>виды тарифа_x000D_
/kind_group_rates_load_filter/</t>
  </si>
  <si>
    <t>виды признаков дифференциации_x000D_
/kind_of_diff/</t>
  </si>
  <si>
    <t>Диапазаны диаметров водопроводных сетей_x000D_
(kind_of_diameters2)</t>
  </si>
  <si>
    <t>List_H</t>
  </si>
  <si>
    <t>List_M</t>
  </si>
  <si>
    <t>kind_of_org_type</t>
  </si>
  <si>
    <t>Виды топлива_x000D_
/kind_of_fuels/</t>
  </si>
  <si>
    <t>YEAR_IP_LIST</t>
  </si>
  <si>
    <t>MONTH_IP_LIST</t>
  </si>
  <si>
    <t>COLDVSNA/HOTVSNA</t>
  </si>
  <si>
    <t>OTKO</t>
  </si>
  <si>
    <t>Алтайский край</t>
  </si>
  <si>
    <t>январь</t>
  </si>
  <si>
    <t>I квартал</t>
  </si>
  <si>
    <t>На официальном сайте организации</t>
  </si>
  <si>
    <t>тыс.куб.м/сутки</t>
  </si>
  <si>
    <t>метод экономически обоснованных расходов (затрат)</t>
  </si>
  <si>
    <t>Передача+Сбыт</t>
  </si>
  <si>
    <t>первичное раскрытие информации</t>
  </si>
  <si>
    <t>организации-перепродавцы</t>
  </si>
  <si>
    <t>надземная (наземная)</t>
  </si>
  <si>
    <t>50 - 250 мм</t>
  </si>
  <si>
    <t>не превышает 0,1 Гкал/ч</t>
  </si>
  <si>
    <t>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в соответствии с установленными федеральным органом исполнительной власти в области государственного регулирования тарифов в сфере теплоснабжения предельными (минимальным и (или) максимальным) уровнями указанных тарифов</t>
  </si>
  <si>
    <t>Форма 4.2.1 Информация о величинах тарифов на тепловую энергию, поддержанию резервной тепловой мощности</t>
  </si>
  <si>
    <t>Тариф на теплоноситель, поставляемый потребителям</t>
  </si>
  <si>
    <t>Плата за услуги по поддержанию резервной тепловой мощности при отсутствии потребления тепловой энергии для отдельных категорий (групп) социально значимых потребителей</t>
  </si>
  <si>
    <t>Вода</t>
  </si>
  <si>
    <t>Газ природный по регулируемой цене</t>
  </si>
  <si>
    <t>Конкурс</t>
  </si>
  <si>
    <t>объемы потребления воды абонентами</t>
  </si>
  <si>
    <t>40 мм и менее</t>
  </si>
  <si>
    <t>00</t>
  </si>
  <si>
    <t>Регулируемая организация</t>
  </si>
  <si>
    <t>газ природный по регулируемой цене</t>
  </si>
  <si>
    <t>тыс м3</t>
  </si>
  <si>
    <t>Январь</t>
  </si>
  <si>
    <t>Амурская область</t>
  </si>
  <si>
    <t>февраль</t>
  </si>
  <si>
    <t>II квартал</t>
  </si>
  <si>
    <t>На сайте регулирующего органа</t>
  </si>
  <si>
    <t>УСН</t>
  </si>
  <si>
    <t>метод индексации установленных тарифов</t>
  </si>
  <si>
    <t>Передача</t>
  </si>
  <si>
    <t>пар</t>
  </si>
  <si>
    <t>бюджетные организации</t>
  </si>
  <si>
    <t>подземная (канальная)</t>
  </si>
  <si>
    <t>251 - 400 мм</t>
  </si>
  <si>
    <t>более 0,1 Гкал/ч и не превышает 1,5 Гкал/ч</t>
  </si>
  <si>
    <t>Тарифы на тепловую энергию (мощность), поставляемую другим теплоснабжающим организациям теплоснабжающими организациями</t>
  </si>
  <si>
    <t>Тариф на теплоноситель, поставляемый теплоснабжающей организацией, владеющей источником (источниками) тепловой энергии, на котором производится теплоноситель</t>
  </si>
  <si>
    <t>Плата за услуги по поддержанию резервной тепловой мощности, оказываемые регулируемой организацией, мощность источников тепловой энергии которой используется для поддержания резервной мощности в соответствии со схемой теплоснабжения</t>
  </si>
  <si>
    <t>Отборный пар, 1,2-2,5 кг/см2</t>
  </si>
  <si>
    <t>Пар</t>
  </si>
  <si>
    <t>Газ природный по нерегулируемой цене</t>
  </si>
  <si>
    <t>Аукцион</t>
  </si>
  <si>
    <t>Тарифы на тепловую энергию (мощность), поставляемую потребителям теплоснабжающими организациями в соответствии с установленными предельными (минимальными и (или) максимальными) уровнями указанных тарифов</t>
  </si>
  <si>
    <t>соответствие качества питьевой воды и горячей воды требованиям, установленным санитарными нормами и правилами</t>
  </si>
  <si>
    <t>от 41 мм до 70 мм включительно</t>
  </si>
  <si>
    <t>01</t>
  </si>
  <si>
    <t>газ природный по нерегулируемой цене</t>
  </si>
  <si>
    <t>Февраль</t>
  </si>
  <si>
    <t>HEAT_FIN_SRC_LIST</t>
  </si>
  <si>
    <t>VSNA_FIN_SRC_LIST</t>
  </si>
  <si>
    <t>VOTV_FIN_SRC_LIST</t>
  </si>
  <si>
    <t>OTKO_FIN_SRC_LIST</t>
  </si>
  <si>
    <t>HEAT_PT_TARIFF_NAME_LIST</t>
  </si>
  <si>
    <t>COLDVSNA_PT_TARIFF_NAME_LIST</t>
  </si>
  <si>
    <t>HOTVSNA_PT_TARIFF_NAME_LIST</t>
  </si>
  <si>
    <t>VOTV_PT_TARIFF_NAME_LIST</t>
  </si>
  <si>
    <t>Архангельская область</t>
  </si>
  <si>
    <t>март</t>
  </si>
  <si>
    <t>III квартал</t>
  </si>
  <si>
    <t>ЕСХН</t>
  </si>
  <si>
    <t>куб.м/ч</t>
  </si>
  <si>
    <t>метод обеспечения доходности инвестированного капитала</t>
  </si>
  <si>
    <t>производство комбинированная выработка</t>
  </si>
  <si>
    <t>отборный пар, 1.2-2.5 кг/см2</t>
  </si>
  <si>
    <t>к тепловой сети без дополнительного преобразования на тепловых пунктах, эксплуатируемых теплоснабжающей организацией</t>
  </si>
  <si>
    <t>население и приравненные категории</t>
  </si>
  <si>
    <t>подземная (бесканальная)</t>
  </si>
  <si>
    <t>401 - 550 мм</t>
  </si>
  <si>
    <t>превышает 1,5 Гкал/ч при наличии технической возможности подключения</t>
  </si>
  <si>
    <t>Предельный уровнь цены на тепловую энергию (мощность), поставляемую теплоснабжающими организациями потребителям</t>
  </si>
  <si>
    <t>Плата за услуги по поддержанию резервной тепловой мощности, оказываемые регулируемой организацией, мощность тепловых сетей которой используется для поддержания резервной мощности в соответствии со схемой теплоснабжения</t>
  </si>
  <si>
    <t>Отборный пар, 2,5-7 кг/см2</t>
  </si>
  <si>
    <t>Уголь</t>
  </si>
  <si>
    <t>Аукцион в электронной форме</t>
  </si>
  <si>
    <t>иное</t>
  </si>
  <si>
    <t>от 71 мм до 100 мм включительно</t>
  </si>
  <si>
    <t>02</t>
  </si>
  <si>
    <t>Теплоснабжающая организация в ценовой зоне теплоснабжения</t>
  </si>
  <si>
    <t>газ сжиженный</t>
  </si>
  <si>
    <t>кг</t>
  </si>
  <si>
    <t>Март</t>
  </si>
  <si>
    <t>[ Собственные средства ]</t>
  </si>
  <si>
    <t>HEAT_PT_TARIFF_ID</t>
  </si>
  <si>
    <t>HEAT_PT_TARIFF_NAME</t>
  </si>
  <si>
    <t>COLDVSNA_PT_TARIFF_ID</t>
  </si>
  <si>
    <t>COLDVSNA_PT_TARIFF_NAME</t>
  </si>
  <si>
    <t>HOTVSNA_PT_TARIFF_ID</t>
  </si>
  <si>
    <t>HOTVSNA_PT_TARIFF_NAME</t>
  </si>
  <si>
    <t>VOTV_PT_TARIFF_ID</t>
  </si>
  <si>
    <t>VOTV_PT_TARIFF_NAME</t>
  </si>
  <si>
    <t>Астраханская область</t>
  </si>
  <si>
    <t>апрель</t>
  </si>
  <si>
    <t>IV квартал</t>
  </si>
  <si>
    <t>ПСН</t>
  </si>
  <si>
    <t>метод сравнения аналогов</t>
  </si>
  <si>
    <t>производство (некомбинированная выработка)+передача+сбыт</t>
  </si>
  <si>
    <t>отборный пар, 2.5-7 кг/см2</t>
  </si>
  <si>
    <t>к тепловой сети после тепловых пунктов (на тепловых пунктах), эксплуатируемых теплоснабжающей организацией</t>
  </si>
  <si>
    <t>прочие</t>
  </si>
  <si>
    <t>551 - 700 мм</t>
  </si>
  <si>
    <t>превышает 1,5 Гкал/ч при отсутствии технической возможности подключения</t>
  </si>
  <si>
    <t>Форма 4.2.2 Информация о величинах тарифов на теплоноситель, передачу тепловой энергии, теплоносителя</t>
  </si>
  <si>
    <t>не известна</t>
  </si>
  <si>
    <t>Отборный пар, 7-13 кг/см2</t>
  </si>
  <si>
    <t>Мазут</t>
  </si>
  <si>
    <t>Запрос котировок</t>
  </si>
  <si>
    <t>от 101 мм до 150 мм включительно</t>
  </si>
  <si>
    <t>03</t>
  </si>
  <si>
    <t>Теплосетевая организация в ценовой зоне теплоснабжения</t>
  </si>
  <si>
    <t>газовый конденсат</t>
  </si>
  <si>
    <t>тонны</t>
  </si>
  <si>
    <t>Апрель</t>
  </si>
  <si>
    <t xml:space="preserve">  Прибыль направляемая на инвестиции</t>
  </si>
  <si>
    <t xml:space="preserve">  Нормативная прибыль</t>
  </si>
  <si>
    <t>Тариф на горячую воду в закрытой системе горячего водоснабжения (горячее водоснабжение)</t>
  </si>
  <si>
    <t>Тариф на подключение (технологическое присоединение) к централизованной системе водоотведения в индивидуальном порядке</t>
  </si>
  <si>
    <t>Белгородская область</t>
  </si>
  <si>
    <t>май</t>
  </si>
  <si>
    <t>НПД</t>
  </si>
  <si>
    <t>Вид тарифа на передачу тепловой энергии /kind_of_tariff_unit/</t>
  </si>
  <si>
    <t>производство (некомбинированная выработка)+передача</t>
  </si>
  <si>
    <t>отборный пар, 7-13 кг/см2</t>
  </si>
  <si>
    <t>701 мм и выше</t>
  </si>
  <si>
    <t>Форма 4.2.3 Информация о величинах тарифов на горячую воду (в открытых системах)</t>
  </si>
  <si>
    <t>Отборный пар, &gt; 13 кг/см2</t>
  </si>
  <si>
    <t>Дизельное топливо</t>
  </si>
  <si>
    <t>Единственный поставщик</t>
  </si>
  <si>
    <t>от 151 мм до 200 мм включительно</t>
  </si>
  <si>
    <t>04</t>
  </si>
  <si>
    <t>гшз</t>
  </si>
  <si>
    <t>Май</t>
  </si>
  <si>
    <t xml:space="preserve">  [ Амортизационные отчисления ]</t>
  </si>
  <si>
    <t xml:space="preserve">  Капитальные вложения (инвестиции), финансируемые за счет нормативной прибыли, учитываемой в необходимой валовой выручке</t>
  </si>
  <si>
    <t xml:space="preserve">  Амортизационные отчисления</t>
  </si>
  <si>
    <t>Тариф на подключение к централизованной системе водоотведения</t>
  </si>
  <si>
    <t>Брянская область</t>
  </si>
  <si>
    <t>июнь</t>
  </si>
  <si>
    <t>налогообложение казённых учреждений</t>
  </si>
  <si>
    <t>руб./Гкал/ч/мес</t>
  </si>
  <si>
    <t>производство (некомбинированная выработка)+сбыт</t>
  </si>
  <si>
    <t>отборный пар, &gt; 13 кг/см2</t>
  </si>
  <si>
    <t>Острый и редуцированный пар</t>
  </si>
  <si>
    <t>Дрова</t>
  </si>
  <si>
    <t>Иное</t>
  </si>
  <si>
    <t>от 201 мм до 250 мм включительно</t>
  </si>
  <si>
    <t>05</t>
  </si>
  <si>
    <t>QRE_METHOD_LIST</t>
  </si>
  <si>
    <t>мазут</t>
  </si>
  <si>
    <t>Июнь</t>
  </si>
  <si>
    <t xml:space="preserve">      Амортизационные отчисления с выделением результатов переоценки основных средств и нематериальных активов</t>
  </si>
  <si>
    <t>[ Привлеченные средства ]</t>
  </si>
  <si>
    <t>Тариф на подключение к централизованной системе горячего водоснабжения</t>
  </si>
  <si>
    <t>Владимирская область</t>
  </si>
  <si>
    <t>июль</t>
  </si>
  <si>
    <t>смешанное налогообложение</t>
  </si>
  <si>
    <t>руб./Гкал</t>
  </si>
  <si>
    <t>производство (некомбинированная выработка)</t>
  </si>
  <si>
    <t>острый и редуцированный пар</t>
  </si>
  <si>
    <t>Электроэнергия</t>
  </si>
  <si>
    <t>от 250  мм и более</t>
  </si>
  <si>
    <t>06</t>
  </si>
  <si>
    <t>по мероприятиям</t>
  </si>
  <si>
    <t>нефть</t>
  </si>
  <si>
    <t>Июль</t>
  </si>
  <si>
    <t xml:space="preserve">      Прочие амортизационные отчисления</t>
  </si>
  <si>
    <t xml:space="preserve">     Амортизационные отчисления за исключением переоценки основных средств и нематериальных активов</t>
  </si>
  <si>
    <t xml:space="preserve">  Кредиты</t>
  </si>
  <si>
    <t>Тариф на подключение (технологическое присоединение) к централизованной системе холодного водоснабжения в индивидуальном порядке</t>
  </si>
  <si>
    <t>Тариф на подключение к централизованной системе горячего водоснабжения (инд)</t>
  </si>
  <si>
    <t>Волгоградская область</t>
  </si>
  <si>
    <t>август</t>
  </si>
  <si>
    <t>НДС общий_x000D_
/kind_of_NDS_tariff/</t>
  </si>
  <si>
    <t>НДС_x000D_
/kind_of_NDS_tariff/</t>
  </si>
  <si>
    <t>горячая вода в системе централизованного теплоснабжения на отопление</t>
  </si>
  <si>
    <t>Прочее</t>
  </si>
  <si>
    <t>Плата за подключение к системе теплоснабжения</t>
  </si>
  <si>
    <t>07</t>
  </si>
  <si>
    <t>по группам мероприятий</t>
  </si>
  <si>
    <t>дизельное топливо</t>
  </si>
  <si>
    <t>Август</t>
  </si>
  <si>
    <t xml:space="preserve">  Прочие собственные средства</t>
  </si>
  <si>
    <t xml:space="preserve">     Амортизационные отчисления в результате переоценки основных средств и нематериальных активов</t>
  </si>
  <si>
    <t xml:space="preserve">  [ Займы ]</t>
  </si>
  <si>
    <t>Вологодская область</t>
  </si>
  <si>
    <t>сентябрь</t>
  </si>
  <si>
    <t>тариф указан с НДС для плательщиков НДС</t>
  </si>
  <si>
    <t>тариф для организаций не являющихся плательщиками НДС</t>
  </si>
  <si>
    <t>Установленная электрическая мощность. Теплоэлектростанции. Ед.измерения  /kind_of_power_te_unit/</t>
  </si>
  <si>
    <t>цель инвестиционной программы /kind_of_purchase_method/</t>
  </si>
  <si>
    <t>Плата за подключение к системе теплоснабжения (индивидуальная)</t>
  </si>
  <si>
    <t>Форма 4.2.5 Информация о плате за подключение к системе теплоснабжения в индивидуальном порядке</t>
  </si>
  <si>
    <t>08</t>
  </si>
  <si>
    <t>в целом на инвестиционную программу</t>
  </si>
  <si>
    <t>уголь бурый</t>
  </si>
  <si>
    <t>Сентябрь</t>
  </si>
  <si>
    <t xml:space="preserve">  За счет платы за технологическое присоединение</t>
  </si>
  <si>
    <t xml:space="preserve">     Прочие амортизационные отчисления</t>
  </si>
  <si>
    <t xml:space="preserve">      Займы, предоставленные Фондом ЖКХ за счет средств ФНБ</t>
  </si>
  <si>
    <t>Воронежская область</t>
  </si>
  <si>
    <t>октябрь</t>
  </si>
  <si>
    <t>тариф указан без НДС для плательщиков НДС</t>
  </si>
  <si>
    <t>тариф не утверждался</t>
  </si>
  <si>
    <t>кВт*ч</t>
  </si>
  <si>
    <t>Торги/аукционы</t>
  </si>
  <si>
    <t>прочее</t>
  </si>
  <si>
    <t>Форма 4.2.4 Информация о величинах тарифов на подключение к системе теплоснабжения</t>
  </si>
  <si>
    <t>09</t>
  </si>
  <si>
    <t>по муниципальным образованиям/территориям</t>
  </si>
  <si>
    <t>уголь каменный</t>
  </si>
  <si>
    <t>Октябрь</t>
  </si>
  <si>
    <t xml:space="preserve">  [ Экономия расходов ]</t>
  </si>
  <si>
    <t xml:space="preserve">      Прочие займы</t>
  </si>
  <si>
    <t>г.Байконур</t>
  </si>
  <si>
    <t>ноябрь</t>
  </si>
  <si>
    <t>МВт</t>
  </si>
  <si>
    <t>Прямые договора без торгов</t>
  </si>
  <si>
    <t>Предельный уровнь цены на тепловую энергию (мощность), поставляемую теплоснабжающими организациями потребителям. Индикативы</t>
  </si>
  <si>
    <t>по централизованным системам</t>
  </si>
  <si>
    <t>торф</t>
  </si>
  <si>
    <t>Ноябрь</t>
  </si>
  <si>
    <t xml:space="preserve">      Экономия расходов в результате реализации мероприятий инвестиционной программы</t>
  </si>
  <si>
    <t xml:space="preserve">  Средства, полученные за счет платы за подключение (технологическое присоединение)</t>
  </si>
  <si>
    <t>[ Бюджетное финансирование ]</t>
  </si>
  <si>
    <t>г. Москва</t>
  </si>
  <si>
    <t>декабрь</t>
  </si>
  <si>
    <t>дрова</t>
  </si>
  <si>
    <t>м3</t>
  </si>
  <si>
    <t>Декабрь</t>
  </si>
  <si>
    <t xml:space="preserve">      Экономия расходов, связанная с сокращением потерь в тепловых сетях, сменой видов и (или) марки основного и (или) резервного топлива на источниках тепловой энергии, реализацией энергосервисного договора (контракта) в размере, определенном по решению регулируемой организации, плату за подключение (технологическое присоединение) к системам централизованного теплоснабжения</t>
  </si>
  <si>
    <t xml:space="preserve">  Федеральный бюджет</t>
  </si>
  <si>
    <t>г.Санкт-Петербург</t>
  </si>
  <si>
    <t>Объём приобретаемой тепловой энергии (мощности), используемой для горячего водоснабжения. Ед.измерения  /kind_of_volume_te_unit/</t>
  </si>
  <si>
    <t>Вид деятельности /kind_of_activity/</t>
  </si>
  <si>
    <t>TITLE_IP_DETAILED_METHOD_LIST</t>
  </si>
  <si>
    <t>опил</t>
  </si>
  <si>
    <t xml:space="preserve">      Экономия расходов, достигнутая регулируемой организацией в результате реализации мероприятий инвестиционной программы за счет амортизационных отчислений</t>
  </si>
  <si>
    <t xml:space="preserve">  Бюджет субъекта РФ</t>
  </si>
  <si>
    <t>г.Севастополь</t>
  </si>
  <si>
    <t>TemplateState</t>
  </si>
  <si>
    <t>НДС общий люди_x000D_
/kind_of_NDS_tariff_people/</t>
  </si>
  <si>
    <t>НДС_x000D_
/kind_of_NDS_tariff_people/</t>
  </si>
  <si>
    <t>производство тепловой энергии (мощности)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МВт и более</t>
  </si>
  <si>
    <t>отходы березовые</t>
  </si>
  <si>
    <t xml:space="preserve">      Экономия расходов, достигнутая регулируемой организацией в результате реализации мероприятий инвестиционной программы за счет капитальных вложений в составе нормативной прибыли</t>
  </si>
  <si>
    <t xml:space="preserve">  Бюджет муниципального образования</t>
  </si>
  <si>
    <t>Донецкая Народная Республика</t>
  </si>
  <si>
    <t>START_FILL</t>
  </si>
  <si>
    <t>тариф с НДС организаций-плательщиков НДС</t>
  </si>
  <si>
    <t>тариф организаций не являющихся плательщиками НДС</t>
  </si>
  <si>
    <t>15</t>
  </si>
  <si>
    <t>производство тепловой энергии (мощности)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менее 25 МВт</t>
  </si>
  <si>
    <t>отходы осиновые</t>
  </si>
  <si>
    <t xml:space="preserve">      Экономия расходов, достигнутая регулируемой организацией в результате реализации мероприятий инвестиционной программы за счет прочих собственных средств</t>
  </si>
  <si>
    <t>[ Прочие источники финансирования ]</t>
  </si>
  <si>
    <t>Еврейская автономная область</t>
  </si>
  <si>
    <t>16</t>
  </si>
  <si>
    <t>производство тепловой энергии (мощности) не в режиме комбинированной выработки электрической и тепловой энергии источниками тепловой энергии</t>
  </si>
  <si>
    <t>по мероприятиям и группам мероприятий</t>
  </si>
  <si>
    <t>печное топливо</t>
  </si>
  <si>
    <t xml:space="preserve">      Экономия расходов, достигнутая регулируемой организацией в результате реализации мероприятий инвестиционной программы за счет за счет займов и кредитов</t>
  </si>
  <si>
    <t xml:space="preserve">  Лизинг</t>
  </si>
  <si>
    <t>COLDVSNA_PT_VED_NAME_LIST</t>
  </si>
  <si>
    <t>HOTVSNA_PT_VED_NAME_LIST</t>
  </si>
  <si>
    <t>VOTV_PT_VED_NAME_LIST</t>
  </si>
  <si>
    <t>TKO_PT_VED_NAME_LIST</t>
  </si>
  <si>
    <t>Забайкальский край</t>
  </si>
  <si>
    <t>Тарифы на тепло для REQUEST.HEAT_x000D_
/kind_of_tariff_RHEAT/</t>
  </si>
  <si>
    <t>17</t>
  </si>
  <si>
    <t>производство теплоносителя</t>
  </si>
  <si>
    <t>пилеты</t>
  </si>
  <si>
    <t xml:space="preserve">      Экономия средств, достигнутая регулируемой организацией в результате снижения расходов</t>
  </si>
  <si>
    <t xml:space="preserve">  Прочие</t>
  </si>
  <si>
    <t>COLDVSNA_PT_VED_ID</t>
  </si>
  <si>
    <t>COLDVSNA_PT_VED_NAME</t>
  </si>
  <si>
    <t>HOTVSNA_PT_VED_ID</t>
  </si>
  <si>
    <t>HOTVSNA_PT_VED_NAME</t>
  </si>
  <si>
    <t>VOTV_PT_VED_ID</t>
  </si>
  <si>
    <t>VOTV_PT_VED_NAME</t>
  </si>
  <si>
    <t>TKO_PT_VED_ID</t>
  </si>
  <si>
    <t>TKO_PT_VED_NAME</t>
  </si>
  <si>
    <t>Запорожская область</t>
  </si>
  <si>
    <t>18</t>
  </si>
  <si>
    <t>передача тепловой энергии и теплоносителя</t>
  </si>
  <si>
    <t>IP_CLAIM_LIST</t>
  </si>
  <si>
    <t>смола</t>
  </si>
  <si>
    <t xml:space="preserve">  Прочие привлеченные средства</t>
  </si>
  <si>
    <t xml:space="preserve">      Экономия расходов в результате реализации энергосервисного договора (контракта) в результате снижения расходов, в размере, определенном по решению регулируемой организации, плату за подключение к централизованным системам водоснабжения</t>
  </si>
  <si>
    <t>Производство тепловой энергии. Некомбинированная выработка</t>
  </si>
  <si>
    <t>Холодное водоснабжение. Питьевая вода</t>
  </si>
  <si>
    <t>Горячее водоснабжение</t>
  </si>
  <si>
    <t>Водоотведение</t>
  </si>
  <si>
    <t>Захоронение твердых коммунальных отходов</t>
  </si>
  <si>
    <t>Ивановская область</t>
  </si>
  <si>
    <t>19</t>
  </si>
  <si>
    <t>сбыт тепловой энергии и теплоносителя</t>
  </si>
  <si>
    <t>уменьшение удельных затрат (повышение КПД)</t>
  </si>
  <si>
    <t>щепа</t>
  </si>
  <si>
    <t>Производство тепловой энергии. Комбинированная выработка с уст. мощностью производства электрической энергии менее 25 МВт</t>
  </si>
  <si>
    <t>Холодное водоснабжение. Техническая вода</t>
  </si>
  <si>
    <t>Транспортировка</t>
  </si>
  <si>
    <t>Обезвреживание твердых коммунальных отходов</t>
  </si>
  <si>
    <t>Иркутская область</t>
  </si>
  <si>
    <t>20</t>
  </si>
  <si>
    <t>подключение к системе теплоснабжения</t>
  </si>
  <si>
    <t>автоматизация (с уменьшением штата)</t>
  </si>
  <si>
    <t>горючий сланец</t>
  </si>
  <si>
    <t>Производство тепловой энергии. Комбинированная выработка с уст. мощностью производства электрической энергии 25 МВт и более</t>
  </si>
  <si>
    <t>Холодное водоснабжение. Подвозная вода</t>
  </si>
  <si>
    <t>Подключение (технологическое присоединение) к централизованной системе горячего водоснабжения</t>
  </si>
  <si>
    <t>Подключение (технологическое присоединение) к централизованной системе водоотведения</t>
  </si>
  <si>
    <t>Обработка твердых коммунальных отходов</t>
  </si>
  <si>
    <t>Кабардино-Балкарская республика</t>
  </si>
  <si>
    <t>поддержание резервной тепловой мощности при отсутствии потребления тепловой энергии</t>
  </si>
  <si>
    <t>уменьшение издержек на производство</t>
  </si>
  <si>
    <t>керосин</t>
  </si>
  <si>
    <t>Производство. Теплоноситель</t>
  </si>
  <si>
    <t>Транспортировка. Питьевая вода</t>
  </si>
  <si>
    <t>Калининградская область</t>
  </si>
  <si>
    <t>21</t>
  </si>
  <si>
    <t>снижение аварийности</t>
  </si>
  <si>
    <t>кислородно-водородная смесь</t>
  </si>
  <si>
    <t>Передача. Тепловая энергия</t>
  </si>
  <si>
    <t>Транспортировка. Техническая вода</t>
  </si>
  <si>
    <t>Энергетическая утилизация</t>
  </si>
  <si>
    <t>Калужская область</t>
  </si>
  <si>
    <t>22</t>
  </si>
  <si>
    <t>улучшение качества</t>
  </si>
  <si>
    <t>электроэнергия (НН)</t>
  </si>
  <si>
    <t>тыс кВт.ч</t>
  </si>
  <si>
    <t>Передача. Теплоноситель</t>
  </si>
  <si>
    <t>Транспортировка. Подвозная вода</t>
  </si>
  <si>
    <t>Транспортирование твердых коммунальных отходов</t>
  </si>
  <si>
    <t>Камчатский край</t>
  </si>
  <si>
    <t>23</t>
  </si>
  <si>
    <t>повышение надёжности и энергетической эффективности</t>
  </si>
  <si>
    <t>электроэнергия (СН1)</t>
  </si>
  <si>
    <t>Сбыт. Тепловая энергия</t>
  </si>
  <si>
    <t>Подключение (технологическое присоединение) к централизованной системе водоснабжения</t>
  </si>
  <si>
    <t>Карачаево-Черкесская республика</t>
  </si>
  <si>
    <t>CROSSES</t>
  </si>
  <si>
    <t>24</t>
  </si>
  <si>
    <t>электроэнергия (СН2)</t>
  </si>
  <si>
    <t>Сбыт. Теплоноситель</t>
  </si>
  <si>
    <t>Кемеровская область</t>
  </si>
  <si>
    <t>25</t>
  </si>
  <si>
    <t>электроэнергия (ВН)</t>
  </si>
  <si>
    <t>Подключение (технологическое присоединение) к системе теплоснабжения</t>
  </si>
  <si>
    <t>Кировская область</t>
  </si>
  <si>
    <t>Текущая дата</t>
  </si>
  <si>
    <t>26</t>
  </si>
  <si>
    <t>PT_GROUP_CONSUMER_LIST</t>
  </si>
  <si>
    <t>мощность</t>
  </si>
  <si>
    <t>тыс кВт</t>
  </si>
  <si>
    <t>Поддержание резервной тепловой мощности при отсутствии потребления тепловой энергии</t>
  </si>
  <si>
    <t>Костромская область</t>
  </si>
  <si>
    <t>Организация</t>
  </si>
  <si>
    <t>25.07.2023 22:51:32</t>
  </si>
  <si>
    <t>Краснодарский край</t>
  </si>
  <si>
    <t>28</t>
  </si>
  <si>
    <t xml:space="preserve">  Плата концедента на строительство, модернизацию и (или) реконструкцию объекта концессионного соглашения в размере, предусмотренном заключенным концессионным соглашением</t>
  </si>
  <si>
    <t>Красноярский край</t>
  </si>
  <si>
    <t>29</t>
  </si>
  <si>
    <t xml:space="preserve">  Иные бюджетные средства</t>
  </si>
  <si>
    <t>Курганская область</t>
  </si>
  <si>
    <t>Виды деятельности</t>
  </si>
  <si>
    <t>https://appsrv.regportal-tariff.ru/procwsxls/</t>
  </si>
  <si>
    <t>30</t>
  </si>
  <si>
    <t>Курская область</t>
  </si>
  <si>
    <t>Ленинградская область</t>
  </si>
  <si>
    <t>Липецкая область</t>
  </si>
  <si>
    <t>33</t>
  </si>
  <si>
    <t>PT_SCHEME_LIST</t>
  </si>
  <si>
    <t xml:space="preserve">  Доход от взимания платы за нарушение нормативов по объему и (или) составу сточных вод</t>
  </si>
  <si>
    <t>Луганская Народная Республика</t>
  </si>
  <si>
    <t>TEMPLATE_SPHERE</t>
  </si>
  <si>
    <t>34</t>
  </si>
  <si>
    <t xml:space="preserve">  Доход от взимания платы за негативное воздействие на работу централизованной системы водоотведения</t>
  </si>
  <si>
    <t>Магаданская область</t>
  </si>
  <si>
    <t>теплоснабжения</t>
  </si>
  <si>
    <t>теплоснабжение</t>
  </si>
  <si>
    <t>35</t>
  </si>
  <si>
    <t>Московская область</t>
  </si>
  <si>
    <t>холодного водоснабжения</t>
  </si>
  <si>
    <t>холодное водоснабжение</t>
  </si>
  <si>
    <t>36</t>
  </si>
  <si>
    <t>HEAT_FIN_SRC_VLD_LIST</t>
  </si>
  <si>
    <t>VSNA_FIN_SRC_VLD_LIST</t>
  </si>
  <si>
    <t>VOTV_FIN_SRC_VLD_LIST</t>
  </si>
  <si>
    <t>OTKO_FIN_SRC_VLD_LIST</t>
  </si>
  <si>
    <t>водоотведения</t>
  </si>
  <si>
    <t>водоотведение</t>
  </si>
  <si>
    <t>37</t>
  </si>
  <si>
    <t>Прибыль направляемая на инвестиции</t>
  </si>
  <si>
    <t>Нормативная прибыль</t>
  </si>
  <si>
    <t>Ненецкий автономный округ</t>
  </si>
  <si>
    <t>горячего водоснабжения</t>
  </si>
  <si>
    <t>горячее водоснабжение</t>
  </si>
  <si>
    <t>38</t>
  </si>
  <si>
    <t>Амортизационные отчисления с выделением результатов переоценки основных средств и нематериальных активов</t>
  </si>
  <si>
    <t>Нижегородская область</t>
  </si>
  <si>
    <t>обращения с твердыми коммунальными отходами</t>
  </si>
  <si>
    <t>TKO</t>
  </si>
  <si>
    <t>39</t>
  </si>
  <si>
    <t>PT_TN_LIST</t>
  </si>
  <si>
    <t>Прочие амортизационные отчисления</t>
  </si>
  <si>
    <t>Новгородская область</t>
  </si>
  <si>
    <t>40</t>
  </si>
  <si>
    <t>Займы, предоставленные Фондом ЖКХ за счет средств ФНБ</t>
  </si>
  <si>
    <t>Новосибирская область</t>
  </si>
  <si>
    <t>41</t>
  </si>
  <si>
    <t>За счет платы за технологическое присоединение</t>
  </si>
  <si>
    <t>Прочие займы</t>
  </si>
  <si>
    <t>Омская область</t>
  </si>
  <si>
    <t>PeriodIsEmpty</t>
  </si>
  <si>
    <t>NameTemplatesInTitle</t>
  </si>
  <si>
    <t>NameTemplatesInListMO</t>
  </si>
  <si>
    <t>42</t>
  </si>
  <si>
    <t>Экономия расходов в результате реализации мероприятий инвестиционной программы</t>
  </si>
  <si>
    <t>Федеральный бюджет</t>
  </si>
  <si>
    <t>Оренбургская область</t>
  </si>
  <si>
    <t>TEMPLATE_GROUP</t>
  </si>
  <si>
    <t>P</t>
  </si>
  <si>
    <t>CodeTemplate</t>
  </si>
  <si>
    <t>StartDate</t>
  </si>
  <si>
    <t>EndDate</t>
  </si>
  <si>
    <t>43</t>
  </si>
  <si>
    <t>Экономия расходов, связанная с сокращением потерь в тепловых сетях, сменой видов и (или) марки основного и (или) резервного топлива на источниках тепловой энергии, реализацией энергосервисного договора (контракта) в размере, определенном по решению регулируемой организации, плату за подключение (технологическое присоединение) к системам централизованного теплоснабжения</t>
  </si>
  <si>
    <t>Бюджет субъекта РФ</t>
  </si>
  <si>
    <t>Орловская область</t>
  </si>
  <si>
    <t>O</t>
  </si>
  <si>
    <t>44</t>
  </si>
  <si>
    <t>Бюджет муниципального образования</t>
  </si>
  <si>
    <t>Пензенская область</t>
  </si>
  <si>
    <t>Q</t>
  </si>
  <si>
    <t>45</t>
  </si>
  <si>
    <t>Лизинг</t>
  </si>
  <si>
    <t>Пермский край</t>
  </si>
  <si>
    <t>BALANCE</t>
  </si>
  <si>
    <t>B</t>
  </si>
  <si>
    <t>Информация о показателях финансово-хозяйственной деятельности, об основных потребительских характеристиках регулируемых товаров и услуг, об инвестиционных программах</t>
  </si>
  <si>
    <t>46</t>
  </si>
  <si>
    <t>Прочие</t>
  </si>
  <si>
    <t>Приморский край</t>
  </si>
  <si>
    <t>TERMS</t>
  </si>
  <si>
    <t>T</t>
  </si>
  <si>
    <t>47</t>
  </si>
  <si>
    <t>Псковская область</t>
  </si>
  <si>
    <t>INVEST</t>
  </si>
  <si>
    <t>48</t>
  </si>
  <si>
    <t>Республика Адыгея</t>
  </si>
  <si>
    <t>REQUEST</t>
  </si>
  <si>
    <t>R</t>
  </si>
  <si>
    <t>49</t>
  </si>
  <si>
    <t>Экономия расходов в результате реализации энергосервисного договора (контракта) в результате снижения расходов, в размере, определенном по решению регулируемой организации, плату за подключение к централизованным системам водоснабжения</t>
  </si>
  <si>
    <t>Республика Алтай</t>
  </si>
  <si>
    <t>PRICE</t>
  </si>
  <si>
    <t>50</t>
  </si>
  <si>
    <t>Республика Башкортостан</t>
  </si>
  <si>
    <t>ROIV</t>
  </si>
  <si>
    <t>Показатели, подлежащие раскрытию органами регулирования</t>
  </si>
  <si>
    <t>51</t>
  </si>
  <si>
    <t>Республика Бурятия</t>
  </si>
  <si>
    <t>52</t>
  </si>
  <si>
    <t>PT_NETS_LIST</t>
  </si>
  <si>
    <t>Республика Дагестан</t>
  </si>
  <si>
    <t>53</t>
  </si>
  <si>
    <t>Республика Ингушетия</t>
  </si>
  <si>
    <t>TERRITORY_ID</t>
  </si>
  <si>
    <t>5111</t>
  </si>
  <si>
    <t>начинать только с 2, остальное по умолчанию</t>
  </si>
  <si>
    <t>54</t>
  </si>
  <si>
    <t>Республика Калмыкия</t>
  </si>
  <si>
    <t>DIFFERENTIATION_ID</t>
  </si>
  <si>
    <t>55</t>
  </si>
  <si>
    <t>Республика Карелия</t>
  </si>
  <si>
    <t>IP_ID</t>
  </si>
  <si>
    <t>56</t>
  </si>
  <si>
    <t>Республика Коми</t>
  </si>
  <si>
    <t>начинать только с 30, остальное по умолчанию</t>
  </si>
  <si>
    <t>57</t>
  </si>
  <si>
    <t>PT_DIAMETERS_LIST</t>
  </si>
  <si>
    <t>Республика Крым</t>
  </si>
  <si>
    <t>VDET_ID</t>
  </si>
  <si>
    <t>58</t>
  </si>
  <si>
    <t>Республика Марий Эл</t>
  </si>
  <si>
    <t>NTAR_ID</t>
  </si>
  <si>
    <t>3011111111111111111</t>
  </si>
  <si>
    <t>59</t>
  </si>
  <si>
    <t>Республика Мордовия</t>
  </si>
  <si>
    <t>Республика Саха (Якутия)</t>
  </si>
  <si>
    <t>CS_ID</t>
  </si>
  <si>
    <t>Республика Северная Осетия-Алания</t>
  </si>
  <si>
    <t>IST_TE_ID</t>
  </si>
  <si>
    <t>Республика Татарстан</t>
  </si>
  <si>
    <t>Республика Тыва</t>
  </si>
  <si>
    <t>PT_LOAD_LIST</t>
  </si>
  <si>
    <t>Республика Хакасия</t>
  </si>
  <si>
    <t>Ростовская область</t>
  </si>
  <si>
    <t>HEAT_IP_EVENT_GROUP_LIST</t>
  </si>
  <si>
    <t>VSNA_IP_EVENT_GROUP_LIST</t>
  </si>
  <si>
    <t>VOTV_IP_EVENT_GROUP_LIST</t>
  </si>
  <si>
    <t>OTKO_IP_EVENT_GROUP_LIST</t>
  </si>
  <si>
    <t>Рязанская область</t>
  </si>
  <si>
    <t>Строительство, реконструкция или модернизация объектов теплоснабжения в целях подключения потребителей с указанием объектов теплоснабжения, строительство которых финансируется за счет платы за подключение</t>
  </si>
  <si>
    <t>Строительство, реконструкция или модернизация объектов водоснабжения в целях подключения потребителей с указанием объектов водоснабжения, строительство которых финансируется за счет платы за подключение</t>
  </si>
  <si>
    <t>Строительство, реконструкция или модернизация объектов водоотведения и очистки сточных вод в целях подключения потребителей с указанием объектов водоотведения и очистки сточных вод, строительство которых финансируется за счет платы за подключение</t>
  </si>
  <si>
    <t>Мероприятия инвестиционной программы в части накопления твердых коммунальных отходов</t>
  </si>
  <si>
    <t>Самарская область</t>
  </si>
  <si>
    <t>Строительство новых объектов теплоснабжения, не связанных с подключением (технологическим присоединением) новых потребителей, в том числе строительство новых тепловых сетей</t>
  </si>
  <si>
    <t>Строительство новых объектов водоснабжения, не связанных с подключением (технологическим присоединением) новых потребителей, в том числе строительство новых сетей водоснабжения</t>
  </si>
  <si>
    <t>Строительство новых объектов водоотведения и очистки сточных вод, не связанных с подключением (технологическим присоединением) новых потребителей, в том числе строительство новых сетей водоотведения и очистки сточных вод</t>
  </si>
  <si>
    <t>Мероприятия инвестиционной программы в части обработки твердых коммунальных отходов</t>
  </si>
  <si>
    <t>Саратовская область</t>
  </si>
  <si>
    <t>Реконструкция или модернизация существующих объектов теплоснабжения в целях снижения уровня износа существующих объектов теплоснабжения</t>
  </si>
  <si>
    <t>Реконструкция или модернизация существующих объектов водоснабжения в целях снижения уровня износа существующих объектов водоснабжения</t>
  </si>
  <si>
    <t>Реконструкция или модернизация существующих объектов водоотведения и очистки сточных вод в целях снижения уровня износа существующих объектов водоотведения и очистки сточных вод</t>
  </si>
  <si>
    <t>Мероприятия инвестиционной программы в части утилизации твердых коммунальных отходов</t>
  </si>
  <si>
    <t>Сахалинская область</t>
  </si>
  <si>
    <t>Мероприятия, направленные на повышение экологической эффективности</t>
  </si>
  <si>
    <t>Мероприятия инвестиционной программы в части обезвреживания твердых коммунальных отходов</t>
  </si>
  <si>
    <t>Свердловская область</t>
  </si>
  <si>
    <t>Вывод из эксплуатации, консервации и демонтаж объектов теплоснабжения</t>
  </si>
  <si>
    <t>Вывод из эксплуатации, консервация и демонтаж объектов водоснабжения</t>
  </si>
  <si>
    <t>Вывод из эксплуатации, консервация и демонтаж объектов водоотведения и очистки сточных вод</t>
  </si>
  <si>
    <t>Мероприятия инвестиционной программы в части хранения твердых коммунальных отходов</t>
  </si>
  <si>
    <t>Смоленская область</t>
  </si>
  <si>
    <t>Мероприятия, направленные на повышение энергоэффективности в сфере теплоснабжения</t>
  </si>
  <si>
    <t>Мероприятия, направленные на повышение энергоэффективности в сфере водоснабжения</t>
  </si>
  <si>
    <t>Мероприятия, направленные на повышение энергоэффективности в сфере водоотведения и очистки сточных вод</t>
  </si>
  <si>
    <t>Мероприятия инвестиционной программы в части захоронения твердых коммунальных отходов</t>
  </si>
  <si>
    <t>Ставропольский край</t>
  </si>
  <si>
    <t>PT_DIAMETERS_2_LIST</t>
  </si>
  <si>
    <t>Мероприятия по подготовке проектной документации</t>
  </si>
  <si>
    <t>Тамбовская область</t>
  </si>
  <si>
    <t>Мероприятия, предусматривающие капитальные вложения в объекты основных средств и нематериальные активы регулируемой организации, обусловленные необходимостью соблюдения регулируемыми организациями обязательных требований, установленных законодательством Российской Федерации и связанных с осуществлением деятельности в сфере теплоснабжения, включая мероприятия по обеспечению безопасности и антитеррористической защищенности объектов топливно-энергетического комплекса, безопасности критической информационной инфраструктуры</t>
  </si>
  <si>
    <t>Мероприятия, предусматривающие капитальные вложения в объекты основных средств и нематериальные активы регулируемой организации, обусловленные необходимостью соблюдения регулируемыми организациями обязательных требований, установленных законодательством Российской Федерации и связанных с обеспечением деятельности в сфере горячего водоснабжения, холодного водоснабжения с использованием централизованных систем водоснабжения</t>
  </si>
  <si>
    <t xml:space="preserve">Мероприятия, предусматривающие капитальные вложения в объекты основных средств и нематериальные активы регулируемой организации, обусловленные необходимостью соблюдения регулируемыми организациями обязательных требований, установленных законодательством Российской Федерации и связанных с обеспечением деятельности в сфере водоотведения с использованием централизованных систем водоотведения_x000D_
</t>
  </si>
  <si>
    <t>Тверская область</t>
  </si>
  <si>
    <t>Томская область</t>
  </si>
  <si>
    <t>Тульская область</t>
  </si>
  <si>
    <t>HEAT_IP_EVENT_SUBGROUP_1_LIST</t>
  </si>
  <si>
    <t>VSNA_IP_EVENT_SUBGROUP_1_LIST</t>
  </si>
  <si>
    <t>VOTV_IP_EVENT_SUBGROUP_1_LIST</t>
  </si>
  <si>
    <t>Тюменская область</t>
  </si>
  <si>
    <t>строительство новых тепловых сетей в целях подключения потребителей</t>
  </si>
  <si>
    <t>строительство новых сетей водоснабжения в целях подключения потребителей</t>
  </si>
  <si>
    <t>строительство новых сетей водоотведения и очистки сточных вод в целях подключения потребителей</t>
  </si>
  <si>
    <t>Удмуртская республика</t>
  </si>
  <si>
    <t>строительство иных объектов теплоснабжения за исключением тепловых сетей в целях подключения потребителей</t>
  </si>
  <si>
    <t>строительство иных объектов водоснабжения, за исключением сетей водоснабжения в целях подключения потребителей</t>
  </si>
  <si>
    <t>строительство иных объектов водоотведения и очистки сточных вод, за исключением сетей водоотведения и очистки сточных вод в целях подключения потребителей</t>
  </si>
  <si>
    <t>Ульяновская область</t>
  </si>
  <si>
    <t>увеличение пропускной способности существующих тепловых сетей в целях подключения потребителей</t>
  </si>
  <si>
    <t>увеличение пропускной способности существующих сетей водоснабжения в целях подключения потребителей</t>
  </si>
  <si>
    <t>увеличение пропускной способности существующих сетей водоотведения и очистки сточных вод в целях подключения потребителей</t>
  </si>
  <si>
    <t>Хабаровский край</t>
  </si>
  <si>
    <t>увеличение мощности и производительности существующих объектов теплоснабжения за исключением тепловых сетей в целях подключения потребителей</t>
  </si>
  <si>
    <t>увеличение мощности и производительности существующих объектов водоснабжения, за исключением сетей водоснабжения в целях подключения потребителей</t>
  </si>
  <si>
    <t>увеличение мощности и производительности существующих объектов водоотведения и очистки сточных вод за исключением сетей водоотведения и очистки сточных вод, в целях подключения потребителей</t>
  </si>
  <si>
    <t>Ханты-Мансийский автономный округ</t>
  </si>
  <si>
    <t>TYPE_TKO_LIST</t>
  </si>
  <si>
    <t>Херсонская область</t>
  </si>
  <si>
    <t>несортированные</t>
  </si>
  <si>
    <t>Челябинская область</t>
  </si>
  <si>
    <t>сортированные</t>
  </si>
  <si>
    <t>HEAT_IP_EVENT_SUBGROUP_3_LIST</t>
  </si>
  <si>
    <t>VSNA_IP_EVENT_SUBGROUP_3_LIST</t>
  </si>
  <si>
    <t>VOTV_IP_EVENT_SUBGROUP_3_LIST</t>
  </si>
  <si>
    <t>Чеченская республика</t>
  </si>
  <si>
    <t>крупногабаритные</t>
  </si>
  <si>
    <t>реконструкция или модернизация существующих тепловых сетей</t>
  </si>
  <si>
    <t>реконструкция или модернизация существующих сетей водоснабжения</t>
  </si>
  <si>
    <t>реконструкция или модернизация существующих сетей водоотведения и очистки сточных вод</t>
  </si>
  <si>
    <t>Чувашская республика</t>
  </si>
  <si>
    <t>реконструкция или модернизация существующих объектов теплоснабжения, за исключением тепловых сетей</t>
  </si>
  <si>
    <t>реконструкция или модернизация существующих объектов водоснабжения, за исключением сетей водоснабжения</t>
  </si>
  <si>
    <t>реконструкция или модернизация существующих объектов водоотведения и очистки сточных вод, за исключением сетей водоотведения и очистки сточных вод</t>
  </si>
  <si>
    <t>Чукотский автономный округ</t>
  </si>
  <si>
    <t>CLASS_TKO_LIST</t>
  </si>
  <si>
    <t>Ямало-Ненецкий автономный округ</t>
  </si>
  <si>
    <t>Ярославская область</t>
  </si>
  <si>
    <t>HEAT_IP_EVENT_SUBGROUP_5_LIST</t>
  </si>
  <si>
    <t>VSNA_IP_EVENT_SUBGROUP_5_LIST</t>
  </si>
  <si>
    <t>VOTV_IP_EVENT_SUBGROUP_5_LIST</t>
  </si>
  <si>
    <t>III</t>
  </si>
  <si>
    <t>вывод из эксплуатации, консервация и демонтаж тепловых сетей</t>
  </si>
  <si>
    <t>вывод из эксплуатации, консервация и демонтаж сетей водоснабжения</t>
  </si>
  <si>
    <t>вывод из эксплуатации, консервация и демонтаж сетей водоотведения и очистки сточных вод</t>
  </si>
  <si>
    <t>IV</t>
  </si>
  <si>
    <t>вывод из эксплуатации, консервация и демонтаж иных объектов теплоснабжения, за исключением тепловых сетей</t>
  </si>
  <si>
    <t>вывод из эксплуатации, консервация и демонтаж иных объектов водоснабжения, за исключением сетей водоснабжения</t>
  </si>
  <si>
    <t>вывод из эксплуатации, консервация и демонтаж иных объектов водоотведения и очистки сточных вод, за исключением сетей водоотведения и очистки сточных вод</t>
  </si>
  <si>
    <t>V</t>
  </si>
  <si>
    <t>ROIV_INFO_LIST_HEAT</t>
  </si>
  <si>
    <t>HEAT_IP_EVENT_CI_STAGE_LIST</t>
  </si>
  <si>
    <t>VSNA_IP_EVENT_CI_STAGE_LIST</t>
  </si>
  <si>
    <t>VOTV_IP_EVENT_CI_STAGE_LIST</t>
  </si>
  <si>
    <t>OTKO_IP_EVENT_CI_STAGE_LIST</t>
  </si>
  <si>
    <t>информация об органе регулирования и перечень организаций</t>
  </si>
  <si>
    <t>в течение 30 дней со дня изменения такой информации</t>
  </si>
  <si>
    <t>производство тепловой энергии</t>
  </si>
  <si>
    <t>на забор и подъём воды</t>
  </si>
  <si>
    <t>на транспортировку сточных вод</t>
  </si>
  <si>
    <t>сбор</t>
  </si>
  <si>
    <t>доклад о результатах правоприменительной практики</t>
  </si>
  <si>
    <t>не позднее 3 дней со дня утверждения доклада</t>
  </si>
  <si>
    <t>передача теплоэнергии по региональным тепловым сетям</t>
  </si>
  <si>
    <t>на водоподготовку</t>
  </si>
  <si>
    <t>очистка сточных вод</t>
  </si>
  <si>
    <t>накопление</t>
  </si>
  <si>
    <t>дата, время и место проведения заседания об установлении тарифов</t>
  </si>
  <si>
    <t>прочие объекты и мероприятия, относимые к регулируемому виду деятельности</t>
  </si>
  <si>
    <t>на транспортировку воды</t>
  </si>
  <si>
    <t>обращение с осадком сточных вод</t>
  </si>
  <si>
    <t>транспортирование</t>
  </si>
  <si>
    <t>информация о принятых решениях об установлении тарифов</t>
  </si>
  <si>
    <t>обработка</t>
  </si>
  <si>
    <t>информация о принятых решениях об утверждении предельного уровня цены на тепловую энергию (мощность)</t>
  </si>
  <si>
    <t>в течение 10 дней со дня принятия соответствующего решения</t>
  </si>
  <si>
    <t>утилизация</t>
  </si>
  <si>
    <t>протокол заседания правления</t>
  </si>
  <si>
    <t>обезвреживание</t>
  </si>
  <si>
    <t>информация о привлечении к ответственности</t>
  </si>
  <si>
    <t>до 30 апреля года, следующего за отчётным годом</t>
  </si>
  <si>
    <t>размещение отходов</t>
  </si>
  <si>
    <t>энергетическая утилизация</t>
  </si>
  <si>
    <t>UNIT_CONNECT_LIST</t>
  </si>
  <si>
    <t>тыс.руб./Гкал/ч</t>
  </si>
  <si>
    <t>тыс.руб.</t>
  </si>
  <si>
    <t>WARM_IP_EVENT_TYPE_LIST</t>
  </si>
  <si>
    <t>VSNA_IP_EVENT_TYPE_LIST</t>
  </si>
  <si>
    <t>VOTV_IP_EVENT_TYPE_LIST</t>
  </si>
  <si>
    <t>OTKO_IP_EVENT_TYPE_LIST</t>
  </si>
  <si>
    <t>Производство тепловой энергии</t>
  </si>
  <si>
    <t>Водоснабжение</t>
  </si>
  <si>
    <t>Обращение с твердыми коммунальными отходами</t>
  </si>
  <si>
    <t>Прочие объекты и мероприятия, относимые к регулируемому виду деятельности</t>
  </si>
  <si>
    <t>ROIV_INFO_LIST_NO_HEAT</t>
  </si>
  <si>
    <t>HEAT_PT_SCHEME</t>
  </si>
  <si>
    <t>Фамилия, имя и отчество (при наличии) руководителя:</t>
  </si>
  <si>
    <t>фамилия</t>
  </si>
  <si>
    <t>Указывается фамилия руководителя в соответствии с паспортными данными физического лица.</t>
  </si>
  <si>
    <t>имя</t>
  </si>
  <si>
    <t>Указывается имя руководителя в соответствии с паспортными данными физического лица.</t>
  </si>
  <si>
    <t>отчество (при наличии)</t>
  </si>
  <si>
    <t>Указывается отчество руководителя в соответствии с паспортными данными физического лица (при наличии).</t>
  </si>
  <si>
    <t xml:space="preserve">Почтовый адрес </t>
  </si>
  <si>
    <t>Указывается наименование субъекта Российской Федерации, муниципального района, города, иного населенного пункта, улицы, номер дома, при необходимости указывается корпус, строение, литера или дополнительная территория._x000D_
Данные указываются согласно наименованиям адресных объектов в ФИАС.</t>
  </si>
  <si>
    <t xml:space="preserve">Адрес места нахождения </t>
  </si>
  <si>
    <t>Справочные телефоны</t>
  </si>
  <si>
    <t>Указывается номер контактного телефона. В случае наличия нескольких номеров телефонов, информация по каждому из них указывается в отдельной строке.</t>
  </si>
  <si>
    <t>Адрес официального сайта органа регулирования тарифов в сети "Интернет"</t>
  </si>
  <si>
    <t>Указывается адрес официального сайта в сети "Интернет". В случае отсутствия официального сайта в сети "Интернет" указывается "Отсутствует".</t>
  </si>
  <si>
    <t>Адрес электронной почты</t>
  </si>
  <si>
    <t>Указывается при наличии.</t>
  </si>
  <si>
    <t>Наименование организации</t>
  </si>
  <si>
    <t>ОГРН (ОГРНИП)</t>
  </si>
  <si>
    <t>Добавить организацию</t>
  </si>
  <si>
    <t>дата</t>
  </si>
  <si>
    <t>время</t>
  </si>
  <si>
    <t>место</t>
  </si>
  <si>
    <t>Добавить заседание</t>
  </si>
  <si>
    <t>Наименование органа тарифного регулирования</t>
  </si>
  <si>
    <t>Заседание правления (коллегии) органа тарифного регулирования, на котором планируется рассмотрение дел об об утверждении предельного уровня цены на тепловую энергию (мощность)</t>
  </si>
  <si>
    <t>Принятые органом тарифного регулирования решения об утверждении предельного уровня цены на тепловую энергию (мощность), принимаемые в соответствии с Федеральным законом от 27 июля 2010 г. N 190-ФЗ "О теплоснабжении"</t>
  </si>
  <si>
    <t>Добавить должностное лицо</t>
  </si>
  <si>
    <t>Данные об организации, в отношении которой рассмотрено дело об административном правонарушении (общая информация о регулируемой организации и наименование должности)</t>
  </si>
  <si>
    <t xml:space="preserve">Наименование должности лица, в отношении которого рассмотрено дело об административном правонарушении </t>
  </si>
  <si>
    <t>Краткое описание нарушения</t>
  </si>
  <si>
    <t>Результат рассмотрения дела об административном правонарушении</t>
  </si>
  <si>
    <t>Наименование регулируемой организации</t>
  </si>
  <si>
    <t>В поле "Субъект Российской Федерации" указывается наименование субъекта Российской Федерации._x000D_
В поле "Наименование организации" указывается наименование юридического лица согласно уставу организации_x000D_
В поле "ИНН" указывается идентификационный номер налогоплательщика._x000D_
В поле "Краткое описание нарушения" указывается краткое описание нарушения с указанием статьи Кодекса Российской Федерации об административных правонарушениях._x000D_
В поле "Результат рассмотрения дела об административном правонарушении" указывается результат рассмотрения дела об административном правонарушении (с указанием вида административного наказания).</t>
  </si>
  <si>
    <r>
      <t xml:space="preserve">Информация о предоставлении электронного документа в исполнительный орган субъекта Российской Федерации в области государственного регулирования цен (тарифов) </t>
    </r>
    <r>
      <rPr>
        <charset val="204"/>
        <family val="2"/>
        <rFont val="Tahoma"/>
        <sz val="9"/>
        <vertAlign val="superscript"/>
      </rPr>
      <t>2</t>
    </r>
  </si>
  <si>
    <t>Данные электронного документа, подписанного усиленной квалифицированной электронной подписью уполномоченного представителя регулируемой организации</t>
  </si>
  <si>
    <t>Название документа</t>
  </si>
  <si>
    <t>Исходящий номер</t>
  </si>
  <si>
    <t>Дата отправления</t>
  </si>
  <si>
    <t>В колонке "Дата отправления" дата указывается в виде «ДД.ММ.ГГГГ»._x000D_
В колонке «Ссылка на документ» указывается ссылка на электронный документ, подписанный усиленной квалифицированной электронной подписью уполномоченного представителя регулируемой организации, предварительно загруженный в хранилище файлов ФГИС ЕИАС.</t>
  </si>
  <si>
    <r>
      <rPr>
        <charset val="204"/>
        <family val="2"/>
        <rFont val="Tahoma"/>
        <sz val="9"/>
        <vertAlign val="superscript"/>
      </rPr>
      <t>2</t>
    </r>
    <r>
      <rPr>
        <charset val="204"/>
        <family val="2"/>
        <rFont val="Tahoma"/>
        <sz val="9"/>
      </rPr>
      <t xml:space="preserve"> Размещается информация по каждой из форм раскрытия, данные в которой относятся к муниципальному образованию, в котором отсутствует доступ в сеть «Интернет».</t>
    </r>
  </si>
  <si>
    <t>Сведения об изменениях в первоначально опубликованной информации*</t>
  </si>
  <si>
    <t>Сведения</t>
  </si>
  <si>
    <t>Постановление Комитета по тарифному регулированию Мурманской области от 19.12.2025 № 53/77 "О внесении изменений в постановление Комитета по тарифному регулированию Мурманской области от 18.11.2022 № 44/66 в связи с корректировкой тарифов, ранее установленных ПАО "ТГК-1" на 2026 год"</t>
  </si>
  <si>
    <t>Постановление Комитета по тарифному регулированию Мурманской области от 19.12.2025 № 53/49 "Об установлении платы за услуги по поддержанию резервной тепловой мощности при отсутствии потребления тепловой энергии для отдельных категорий (групп) социально значимых потребителей ПАО "ТГК-1"</t>
  </si>
  <si>
    <t>Добавить</t>
  </si>
  <si>
    <t>* Лист заполняется в случае, если на Титульном листе в поле "Тип отчета" выбрано значение «Изменения в раскрытой ранее информации».</t>
  </si>
  <si>
    <t>Комментарии</t>
  </si>
  <si>
    <t>Результат проверки</t>
  </si>
  <si>
    <t>Ссылка</t>
  </si>
  <si>
    <t>Причина</t>
  </si>
  <si>
    <t>Статус</t>
  </si>
  <si>
    <t>et_CHANGE_INFO</t>
  </si>
  <si>
    <t>et_Comm</t>
  </si>
  <si>
    <t>et_TERRITORY_AREA</t>
  </si>
  <si>
    <t>et_TERRITORY_MO</t>
  </si>
  <si>
    <t>et_DIFFERENTIATION_VD</t>
  </si>
  <si>
    <t>et_DIFFERENTIATION_AREA</t>
  </si>
  <si>
    <t>et_DIFFERENTIATION_SYSTEM</t>
  </si>
  <si>
    <t>et_ORG_INFO_1</t>
  </si>
  <si>
    <t>et_ORG_INFO_2</t>
  </si>
  <si>
    <t>et_ORG_INFO_3</t>
  </si>
  <si>
    <t>et_ORG_TERRITORY_MO</t>
  </si>
  <si>
    <t>et_ORG_VD</t>
  </si>
  <si>
    <t>et_ED</t>
  </si>
  <si>
    <t>et_TERMS</t>
  </si>
  <si>
    <t>et_IP_MAIN</t>
  </si>
  <si>
    <t>ip_3</t>
  </si>
  <si>
    <t>Добавить реквизиты</t>
  </si>
  <si>
    <t>et_IP_MAIN_PROPERTY</t>
  </si>
  <si>
    <t>et_IP_DETAILED</t>
  </si>
  <si>
    <t>Добавить мероприятие</t>
  </si>
  <si>
    <t>et_IP_DETAILED_OBJECT</t>
  </si>
  <si>
    <t>Добавить источник финансирования</t>
  </si>
  <si>
    <t>et_IP_DETAILED_IST_FIN</t>
  </si>
  <si>
    <t>et_IP_DETAILED_EVENT</t>
  </si>
  <si>
    <t>Добавить объект инфраструктуры</t>
  </si>
  <si>
    <t>et_QRE</t>
  </si>
  <si>
    <t>Добавить цель</t>
  </si>
  <si>
    <t>et_B_FHD20_1_NOT_HEAT</t>
  </si>
  <si>
    <t>Добавить поставщика</t>
  </si>
  <si>
    <t>et_B_FHD20_1_HEAT</t>
  </si>
  <si>
    <t>et_B_FHD20_2, _3, _4</t>
  </si>
  <si>
    <t>Итого по поставщику, в том числе</t>
  </si>
  <si>
    <t>Добавить товар/услугу</t>
  </si>
  <si>
    <t>Добавить способ</t>
  </si>
  <si>
    <t>et_DIFFERENTIATION_TARIFF(_etc)</t>
  </si>
  <si>
    <t>et_DIFFERENTIATION_TARIFF_NOT_HEAT(_etc)</t>
  </si>
  <si>
    <t>et_DIFFERENTIATION_TKO(_etc)</t>
  </si>
  <si>
    <t>Добавить класс ТКО</t>
  </si>
  <si>
    <t>Добавить вид ТКО</t>
  </si>
  <si>
    <t>Добавить технологическую особенность</t>
  </si>
  <si>
    <t>Имя листа</t>
  </si>
  <si>
    <t>Наименование, номер формы</t>
  </si>
  <si>
    <t>ТП</t>
  </si>
  <si>
    <t>Форма 14. Информация о наличии (об отсутствии) технической возможности подключения (технологического присоединения) к системе теплоснабжения, а также о принятии и ходе рассмотрения заявок на заключение договора о подключении (технологическом присоединении) к системе теплоснабжения</t>
  </si>
  <si>
    <t>Общая информация об организации</t>
  </si>
  <si>
    <t>Форма 1. Информация о единых теплоснабжающих организациях в системе теплоснабжения,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не отнесенных к ценовым зонам теплоснабжения, и в поселениях и городских округах, отнесенных к ценовым зонам теплоснабжения в соответствии с Федеральным законом от 27 июля 2010 г. N 190-ФЗ "О теплоснабжении", до окончания переходного периода в ценовых зонах теплоснабжения (далее - регулируемые организации); о единых теплоснабжающих организациях,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отнесенных к ценовым зонам теплоснабжения в соответствии с Федеральным законом от 27 июля 2010 г. N 190-ФЗ "О теплоснабжении", после окончания переходного периода в ценовых зонах теплоснабжения (далее соответственно - единые теплоснабжающие организации в ценовых зонах теплоснабжения, теплоснабжающие организации в ценовых зонах теплоснабжения и теплосетевые организации в ценовых зонах теплоснабжения) (общая информация)</t>
  </si>
  <si>
    <t>Форма 1. Информация об организации (общая информация)</t>
  </si>
  <si>
    <t>Договоры</t>
  </si>
  <si>
    <t>Форма 15. Информация об условиях, на которых осуществляется поставка товаров (оказание услуг) в сфере теплоснабжения, цены (тарифы) на которые подлежат регулированию, и (или) условиях договоров о подключении (технологическом присоединении) к системе теплоснабжения, информация об условиях, на которых осуществляется поставка товаров (оказание услуг) по ценам, определяемым по соглашению сторон в соответствии с Федеральным законом от 27 июля 2010 г. N 190-ФЗ "О теплоснабжении", и (или) условиях договоров о подключении (технологическом присоединении) к системе теплоснабжения</t>
  </si>
  <si>
    <t>Форма 8. Информация об условиях, на которых осуществляется оказание услуг в области обращения с твердыми коммунальными отходами</t>
  </si>
  <si>
    <t>Показатели ФХД</t>
  </si>
  <si>
    <t>Показатели ФХД &gt;20%</t>
  </si>
  <si>
    <t>Форма 11. Информация о расходах на капитальный и текущий ремонт основных средств</t>
  </si>
  <si>
    <t>Форма 5. Информация о расходах на капитальный и текущий ремонт основных средств, расходах на услуги производственного характера, оказываемые по договорам с организациями на проведение ремонтных работ в рамках технологического процесса</t>
  </si>
  <si>
    <t>Показатели КНЭ</t>
  </si>
  <si>
    <t>Форма 6. Информация об основных потребительских характеристиках товаров (услуг), тарифы на которые подлежат регулированию, и их соответствии установленным требованиям</t>
  </si>
  <si>
    <t>PRICE_x000D_
_x000D_
Т-ТЭ | &gt;=25МВт_x000D_
Т-ТЭ | ТСО_x000D_
Резерв мощности</t>
  </si>
  <si>
    <t>Форма 3. Информация об установленных тарифах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об установленных тарифах на тепловую энергию (мощность), поставляемую теплоснабжающими организациями потребителям, другим теплоснабжающим организациям, об установленной плате за услуги по поддержанию резервной тепловой мощности при отсутствии потребления тепловой энергии</t>
  </si>
  <si>
    <t>PRICE_x000D_
_x000D_
Т-ТН_x000D_
Т-передача ТЭ_x000D_
Т-передача ТН</t>
  </si>
  <si>
    <t>Форма 4. Информация об установленных тарифах на теплоноситель, поставляемый теплоснабжающими организациями потребителям, другим теплоснабжающим организациям, об установленных тарифах на услуги по передаче тепловой энергии, теплоносителя, о тарифах на теплоноситель в виде воды, поставляемый единой теплоснабжающей организацией в ценовых зонах теплоснабжения потребителям и теплоснабжающими организациями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t>
  </si>
  <si>
    <t>PRICE_x000D_
_x000D_
Т-гор.вода</t>
  </si>
  <si>
    <t>Форма 5. Информация об установленных тарифах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 о тарифах на горячую воду, поставляемую единой теплоснабжающей организацией в ценовых зонах теплоснабжения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t>
  </si>
  <si>
    <t>PRICE_x000D_
_x000D_
Т-подкл</t>
  </si>
  <si>
    <t>Форма 6. Информация об установленной плате за подключение (технологическое присоединение) к системе теплоснабжения, о плате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t>
  </si>
  <si>
    <t>REQUEST_x000D_
_x000D_
Т-ТЭ | &gt;=25МВт_x000D_
Т-ТЭ | ТСО_x000D_
Резерв мощности</t>
  </si>
  <si>
    <t>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t>
  </si>
  <si>
    <t>REQUEST_x000D_
_x000D_
Т-ТН_x000D_
Т-передача ТЭ_x000D_
Т-передача ТН</t>
  </si>
  <si>
    <t>Форма 20. Информация о предложении регулируемой организации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t>
  </si>
  <si>
    <t>REQUEST_x000D_
_x000D_
Т-гор.вода</t>
  </si>
  <si>
    <t>Форма 21. Информация о предложении регулируемой организации о расчетной величине тарифов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 о расчетной величине тарифов на горячую воду, поставляемую единой теплоснабжающей организацией в ценовых зонах теплоснабжения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t>
  </si>
  <si>
    <t>REQUEST_x000D_
_x000D_
Т-подкл</t>
  </si>
  <si>
    <t>Форма 22. Информация о предложении регулируемой организации о расчетной величине платы за подключение (технологическое присоединение) к системе теплоснабжения, о расчетной величине платы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t>
  </si>
  <si>
    <t>PRICE_x000D_
_x000D_
ХВС. Т-пит_x000D_
ХВС. Т-тех_x000D_
ХВС. Т-транс_x000D_
ХВС. Т-подвоз</t>
  </si>
  <si>
    <t>Форма 2. Информация_x000D_
о тарифах в сфере холодного водоснабжения на товары (услуги) организации холодного водоснабжения, подлежащих регулированию</t>
  </si>
  <si>
    <t>PRICE_x000D_
_x000D_
ХВС. Т-подкл</t>
  </si>
  <si>
    <t>Форма 3. Информация об установленных тарифах на подключение (технологическое присоединение) к централизованной системе холодного водоснабжения</t>
  </si>
  <si>
    <t>REQUEST_x000D_
_x000D_
ХВС. Т-пит_x000D_
ХВС. Т-тех_x000D_
ХВС. Т-транс_x000D_
ХВС. Т-подвоз</t>
  </si>
  <si>
    <t>Форма 13. Информация о предложении организации холодного водоснабжения об установлении расчетной величины тарифов в сфере холодного водоснабжения</t>
  </si>
  <si>
    <t>REQUEST_x000D_
_x000D_
ХВС. Т-подкл</t>
  </si>
  <si>
    <t>Форма 14. Информация о предложении организации холодного водоснабжения расчетной величины тарифов на подключение (технологическое присоединение) к централизованной системе холодного водоснабжения</t>
  </si>
  <si>
    <t>PRICE_x000D_
_x000D_
ГВС. Т-гор.вода_x000D_
ГВС. Т-транс</t>
  </si>
  <si>
    <t>Форма 2. Информация о тарифах в сфере горячего водоснабжения на товары (услуги) организации горячего водоснабжения, подлежащих регулированию</t>
  </si>
  <si>
    <t>PRICE_x000D_
_x000D_
ГВС. Т-подкл</t>
  </si>
  <si>
    <t>Форма 3. Информация об установленных тарифах на подключение (технологическое присоединение) к централизованной системе горячего водоснабжения</t>
  </si>
  <si>
    <t>REQUEST_x000D_
_x000D_
ГВС. Т-гор.вода_x000D_
ГВС. Т-транс</t>
  </si>
  <si>
    <t>Форма 13. Информация о предложении организации горячего водоснабжения об установлении расчетной величины тарифов в сфере горячего водоснабжения на очередной период регулирования</t>
  </si>
  <si>
    <t>REQUEST_x000D_
_x000D_
ГВС. Т-подкл</t>
  </si>
  <si>
    <t>Форма 14. Информация о предложении организации горячего водоснабжения расчетной величины тарифов на подключение (технологическое присоединение) к централизованной системе горячего водоснабжения</t>
  </si>
  <si>
    <t>PRICE_x000D_
_x000D_
ВО. Т-во_x000D_
ВО. Т-транс</t>
  </si>
  <si>
    <t>Форма 2. Информация о тарифах в сфере водоотведения на товары (услуги) организации водоотведения, подлежащих регулированию</t>
  </si>
  <si>
    <t>PRICE_x000D_
_x000D_
ВО. Т-подкл</t>
  </si>
  <si>
    <t>Форма 3.  Информация об установленных тарифах на подключение (технологическое присоединение) к централизованной системе водоотведения</t>
  </si>
  <si>
    <t>REQUEST_x000D_
_x000D_
ВО. Т-во_x000D_
ВО. Т-транс</t>
  </si>
  <si>
    <t>Форма 13. Информация о предложении организации водоотведения об установлении расчетной величины тарифов в сфере водоотведения на очередной период регулирования</t>
  </si>
  <si>
    <t>REQUEST_x000D_
_x000D_
ВО. Т-подкл</t>
  </si>
  <si>
    <t>Форма 14. Информация о предложении организации водоотведения расчетной величины тарифов на подключение к централизованной системе водоотведения</t>
  </si>
  <si>
    <t>Сведения о закупках</t>
  </si>
  <si>
    <t>Форма 17. Информация о способах приобретения, стоимости и об объемах товаров, необходимых регулируемой организации для производства товаров (оказания услуг) в сфере теплоснабжения, цены (тарифы) на которые подлежат регулированию, о способах приобретения, стоимости и об объемах товаров, необходимых для производства товаров и (или) оказания услуг единой теплоснабжающей организацией в ценовых зонах теплоснабжения, о способах приобретения, стоимости и об объемах товаров, необходимых для производства товаров и (или) оказания услуг теплоснабжающей организацией в ценовых зонах теплоснабжения и теплосетевой организацией в ценовых зонах теплоснабжения</t>
  </si>
  <si>
    <t>Форма 9.  Информация о способах приобретения, стоимости и об объемах товаров, работ и услуг, необходимых организации для осуществления регулируемых видов деятельности</t>
  </si>
  <si>
    <t>Порядок ТП</t>
  </si>
  <si>
    <t>Форма 16. Информация о порядке выполнения технологических, технических и других мероприятий, связанных с подключением (технологическим присоединением) к системе теплоснабжения</t>
  </si>
  <si>
    <t>Общая информация по ВД</t>
  </si>
  <si>
    <t>Форма 2. Общая информация об объектах теплоснабжения регулируемой организации, единой теплоснабжающей организации в ценовых зонах теплоснабжения, теплоснабжающей организации в ценовых зонах теплоснабжения и теплосетевой организации в ценовых зонах теплоснабжения</t>
  </si>
  <si>
    <t>ИП_x000D_
ИП. Детализация_x000D_
ИП. Финансовый план_x000D_
ИП. КНЭ</t>
  </si>
  <si>
    <t>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t>
  </si>
  <si>
    <t>Форма 7. Информация об инвестиционных программах и отчетах об их реализации (в части регулируемых видов деятельности)</t>
  </si>
  <si>
    <t>пункт НПА</t>
  </si>
  <si>
    <t>подпункт НПА</t>
  </si>
  <si>
    <t>состав пункта</t>
  </si>
  <si>
    <t>описание парметров</t>
  </si>
  <si>
    <t>номер пункта</t>
  </si>
  <si>
    <t>описание параметров</t>
  </si>
  <si>
    <t>описание к листу Общая информация об организации</t>
  </si>
  <si>
    <t>В случае если регулируемыми организациями,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оказываются услуги по теплоснабжению по нескольким технологически не связанным между собой централизованным системам теплоснабжения, и если в отношении указанных систем устанавливаются различные тарифы в сфере теплоснабжения, то информация раскрывается отдельно по каждой централизованной системе теплоснабжения.</t>
  </si>
  <si>
    <t>В случае если регулируемыми организациями оказываются услуги по холодному водоснабжению по нескольким технологически не связанным между собой централизованным системам холодного водоснабжения, и если в отношении указанных систем устанавливаются различные тарифы в сфере холодного водоснабжения, то информация раскрывается отдельно по каждой централизованной системе холодного водоснабжения.</t>
  </si>
  <si>
    <t>В случае если регулируемыми организациями оказываются услуги по горячему водоснабжению по нескольким технологически не связанным между собой централизованным системам горячего водоснабжения, и если в отношении указанных систем устанавливаются различные тарифы в сфере горячего водоснабжения, то информация раскрывается отдельно по каждой централизованной системе горячего водоснабжения.</t>
  </si>
  <si>
    <t>В случае если регулируемыми организациями оказываются услуги по водоотведению по нескольким технологически не связанным между собой централизованным системам водоотведения, и если в отношении указанных систем устанавливаются различные тарифы в сфере водоотведения, то информация раскрывается отдельно по каждой централизованной системе водоотведения.</t>
  </si>
  <si>
    <t>66</t>
  </si>
  <si>
    <t>а</t>
  </si>
  <si>
    <t>Количество поданных заявок</t>
  </si>
  <si>
    <t xml:space="preserve">Количество поданных заявлений </t>
  </si>
  <si>
    <t>Указывается количество поданных заявок на подключение (технологическое присоединение) к системе теплоснабжения в течение отчетного квартала.</t>
  </si>
  <si>
    <t>б</t>
  </si>
  <si>
    <t>Количество рассмотренных заявок</t>
  </si>
  <si>
    <t xml:space="preserve">Количество исполненных заявлений </t>
  </si>
  <si>
    <t>Указывается количество исполненных заявок на подключение (технологическое присоединение) к системе теплоснабжения в течение отчетного квартала.</t>
  </si>
  <si>
    <t>в</t>
  </si>
  <si>
    <t>Количество заявок на заключение договора о подключении (технологическом присоединении) к системе теплоснабжения, по которым регулируемой организацией отказано в заключении договора о подключении (технологическом присоединении) к системе теплоснабжения</t>
  </si>
  <si>
    <t>Количество заявлений о заключении договоров о подключении (технологическом присоединении), по которым отказано в заключении договора о подключении (технологическом присоединении)</t>
  </si>
  <si>
    <t>Указывается количество заявок с решением об отказе в течение отчетного квартала.</t>
  </si>
  <si>
    <t>Причины отказа в заключении договора о подключении (технологическом присоединении) к системе теплоснабжения</t>
  </si>
  <si>
    <t>Указывается текстовое описание причин принятия решений._x000D_
Не заполняется в случае, если решения об отказе в течение отчетного периода не принимались.</t>
  </si>
  <si>
    <t>г</t>
  </si>
  <si>
    <t>Резерв мощности источников тепловой энергии, входящих в систему теплоснабжения, в течение одного квартала, в том числе:</t>
  </si>
  <si>
    <t xml:space="preserve">Указывается резерв мощности для системы теплоснабжения, тариф для которой не является отличным от тарифов других систем теплоснабжения регулируемой организации._x000D_
При использовании регулируемой организацией нескольких систем теплоснабжения информация о резерве мощности источников тепловой энергии таких систем раскрывается в отношении каждой системы теплоснабжения в отдельных строках. </t>
  </si>
  <si>
    <t>Выручка от регулируемого вида деятельности с распределением по видам деятельности</t>
  </si>
  <si>
    <t>Выручка от регулируемых видов деятельности в сфере холодного водоснабжения</t>
  </si>
  <si>
    <t>Выручка от регулируемых видов деятельности в сфере горячего водоснабжения</t>
  </si>
  <si>
    <t>Выручка от регулируемых видов деятельности в сфере водоотведения</t>
  </si>
  <si>
    <t>Указывается выручка от регулируемого вида деятельности с распределением по видам деятельности.</t>
  </si>
  <si>
    <t>Указывается выручка с распределением по видам деятельности.</t>
  </si>
  <si>
    <t>Себестоимость производимых товаров (оказываемых услуг) по регулируемому виду деятельности, включая:</t>
  </si>
  <si>
    <t>Себестоимость производимых товаров (оказываемых услуг) по регулируемым видам деятельности в сфере холодного водоснабжения, включая:</t>
  </si>
  <si>
    <t>Себестоимость производимых товаров (оказываемых услуг) по регулируемым видам деятельности в сфере горячего водоснабжения, включая:</t>
  </si>
  <si>
    <t>Себестоимость производимых товаров (оказываемых услуг) по регулируемым видам деятельности в сфере водоотведения, включая:</t>
  </si>
  <si>
    <t>Указывается суммарная себестоимость производимых товаров.</t>
  </si>
  <si>
    <t>Расходы на приобретаемую тепловую энергию (мощность), теплоноситель</t>
  </si>
  <si>
    <t>Расходы на оплату холодной воды, приобретаемой у других организаций для последующей подачи потребителям</t>
  </si>
  <si>
    <t>Расходы на приобретаемую тепловую энергию (мощность), используемую для горячего водоснабжения</t>
  </si>
  <si>
    <t>Расходы на оплату услуг по приему, транспортировке и очистке сточных вод другими организациями</t>
  </si>
  <si>
    <t>Расходы на топливо с указанием по каждому виду топлива стоимости (за единицу объема), объема и способа его приобретения, стоимости его доставки</t>
  </si>
  <si>
    <t>Указываются суммарные расходы на приобретение топлива всех видов.</t>
  </si>
  <si>
    <t>Расходы на тепловую энергию, производимую с применением собственных источников и используемую для горячего водоснабжения</t>
  </si>
  <si>
    <t>Расходы на приобретаемую холодную воду, используемую для горячего водоснабжения</t>
  </si>
  <si>
    <t>Расходы на холодную воду, получаемую с применением собственных источников водозабора (скважин) и используемую для горячего водоснабжения</t>
  </si>
  <si>
    <t>Расходы на приобретаемую электрическую энергию (мощность), используемую в технологическом процессе</t>
  </si>
  <si>
    <t>2.5.1</t>
  </si>
  <si>
    <t>Средневзвешенная стоимость 1 кВт.ч (с учетом мощности)</t>
  </si>
  <si>
    <t>2.5.2</t>
  </si>
  <si>
    <t>Объём приобретения электрической энергии</t>
  </si>
  <si>
    <t>Расходы на приобретение холодной воды, используемой в технологическом процессе</t>
  </si>
  <si>
    <t>Расходы на химические реагенты, используемые в технологическом процессе</t>
  </si>
  <si>
    <t>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t>
  </si>
  <si>
    <t>Указывается общая сумма расходов на оплату труда и отчислений на социальные нужды основного производственного персонала.</t>
  </si>
  <si>
    <t>9.1</t>
  </si>
  <si>
    <t>2.6.1</t>
  </si>
  <si>
    <t>Расходы на оплату труда основного производственного персонала</t>
  </si>
  <si>
    <t>9.2</t>
  </si>
  <si>
    <t>2.6.2</t>
  </si>
  <si>
    <t>Страховые взносы на обязательное социальное страхование, выплачиваемые из фонда оплаты труда основного производственного персонала</t>
  </si>
  <si>
    <t>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t>
  </si>
  <si>
    <t>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t>
  </si>
  <si>
    <t>Указывается общая сумма расходов на оплату труда и отчислений на социальные нужды административно-управленческого персонала.</t>
  </si>
  <si>
    <t>10.1</t>
  </si>
  <si>
    <t>2.7.1</t>
  </si>
  <si>
    <t>Расходы на оплату труда административно-управленческого персонала</t>
  </si>
  <si>
    <t>Расходы на оплату труда административно-управленческого персонала, в том числе:</t>
  </si>
  <si>
    <t>10.2</t>
  </si>
  <si>
    <t>2.7.2</t>
  </si>
  <si>
    <t>Страховые взносы на обязательное социальное страхование, выплачиваемые из фонда оплаты труда административно-управленческого персонала</t>
  </si>
  <si>
    <t>Расходы на амортизацию основных средств и нематериальных активов</t>
  </si>
  <si>
    <t>11.1</t>
  </si>
  <si>
    <t>2.8.1</t>
  </si>
  <si>
    <t>Расходы на амортизацию основных средств</t>
  </si>
  <si>
    <t>11.2</t>
  </si>
  <si>
    <t>2.8.2</t>
  </si>
  <si>
    <t>Расходы на амортизацию нематериальных активов</t>
  </si>
  <si>
    <t>Расходы на аренду имущества, используемого для осуществления регулируемого вида деятельности</t>
  </si>
  <si>
    <t>Расходы на аренду имущества, используемого для осуществления регулируемых видов деятельности в сфере холодного водоснабжения</t>
  </si>
  <si>
    <t>Расходы на аренду имущества, используемого для осуществления регулируемых видов деятельности в сфере горячего водоснабжения</t>
  </si>
  <si>
    <t>Расходы на аренду имущества, используемого для осуществления регулируемых видов деятельности в сфере водоотведения</t>
  </si>
  <si>
    <t>2.10</t>
  </si>
  <si>
    <t>Общепроизводственные расходы, в том числе:</t>
  </si>
  <si>
    <t>Указывается общая сумма общепроизводственных расходов.</t>
  </si>
  <si>
    <t>13.1</t>
  </si>
  <si>
    <t>2.10.1</t>
  </si>
  <si>
    <t>Расходы на текущий ремонт</t>
  </si>
  <si>
    <t>Указываются расходы на текущий ремонт, отнесенные к общепроизводственным расходам.</t>
  </si>
  <si>
    <t>13.2</t>
  </si>
  <si>
    <t>2.10.2</t>
  </si>
  <si>
    <t>Расходы на капитальный ремонт</t>
  </si>
  <si>
    <t>Указываются расходы на капитальный ремонт, отнесенные к общепроизводственным расходам.</t>
  </si>
  <si>
    <t>2.11</t>
  </si>
  <si>
    <t>Общехозяйственные расходы, в том числе:</t>
  </si>
  <si>
    <t>Указывается общая сумма общехозяйственных расходов.</t>
  </si>
  <si>
    <t>14.1</t>
  </si>
  <si>
    <t>2.11.1</t>
  </si>
  <si>
    <t>2.9.1</t>
  </si>
  <si>
    <t>Указываются расходы на текущий ремонт, отнесенные к общехозяйственным расходам.</t>
  </si>
  <si>
    <t>14.2</t>
  </si>
  <si>
    <t>2.11.2</t>
  </si>
  <si>
    <t>2.9.2</t>
  </si>
  <si>
    <t>Указываются расходы на капитальный ремонт, отнесенные к общехозяйственным расходам.</t>
  </si>
  <si>
    <t>2.12</t>
  </si>
  <si>
    <t>Расходы на капитальный и текущий ремонт основных средств</t>
  </si>
  <si>
    <t>Указывается информация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t>
  </si>
  <si>
    <t>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t>
  </si>
  <si>
    <t>15.1</t>
  </si>
  <si>
    <t>2.12.1</t>
  </si>
  <si>
    <t>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t>
  </si>
  <si>
    <t>2.13</t>
  </si>
  <si>
    <t xml:space="preserve">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 </t>
  </si>
  <si>
    <t>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t>
  </si>
  <si>
    <t>16.1</t>
  </si>
  <si>
    <t>2.13.1</t>
  </si>
  <si>
    <t>2.14</t>
  </si>
  <si>
    <t>Прочие расходы, которые подлежат отнесению на регулируемые виды деятельности в соответствии с законодательством Российской Федерации</t>
  </si>
  <si>
    <t>Прочие расходы, которые подлежат отнесению на регулируемые виды деятельности в сфере холодного водоснабжения в соответствии с Основами ценообразования в сфере водоснабжения и водоотведения, утвержденными постановлением Правительства Российской Федерации от 13 мая 2013 г. N 406 "О государственном регулировании тарифов в сфере водоснабжения и водоотведения" (далее - Основы ценообразования в сфере водоснабжения и водоотведения)</t>
  </si>
  <si>
    <t>Прочие расходы, которые отнесены на регулируемые виды деятельности в сфере горячего водоснабжения, в соответствии с Основами ценообразования в сфере водоснабжения и водоотведения</t>
  </si>
  <si>
    <t>Прочие расходы, которые подлежат отнесению на регулируемые виды деятельности в сфере водоотведения в соответствии с Основами ценообразования в сфере водоснабжения и водоотведения</t>
  </si>
  <si>
    <t>Указывается общая сумма прочих расходов, которые подлежат отнесению на регулируемые виды деятельности в соответствии с законодательством в сфере теплоснабжения.</t>
  </si>
  <si>
    <t>Указывается общая сумма прочих расходов, которые подлежат отнесению на регулируемые виды деятельности в соответствии с основами ценообразования в сфере водоснабжения и водоотведения.</t>
  </si>
  <si>
    <t>д</t>
  </si>
  <si>
    <t>Валовая прибыль (убытки) от реализации товаров и оказания услуг по регулируемому виду деятельности</t>
  </si>
  <si>
    <t>Чистая прибыль, полученная от регулируемого вида деятельности, в том числе:</t>
  </si>
  <si>
    <t>Чистая прибыль, полученная от регулируемого вида деятельности в сфере холодного водоснабжения, в том числе:</t>
  </si>
  <si>
    <t>Чистая прибыль, полученная от регулируемого вида деятельности в сфере горячего водоснабжения, в том числе:</t>
  </si>
  <si>
    <t>Чистая прибыль, полученная от регулируемого вида деятельности в сфере водоотведения, в том числе:</t>
  </si>
  <si>
    <t>Размер расходования чистой прибыли на финансирование мероприятий, предусмотренных инвестиционной программой регулируемой организации</t>
  </si>
  <si>
    <t>Изменение стоимости основных фондов за счет их ввода в эксплуатацию (вывода из эксплуатации)</t>
  </si>
  <si>
    <t>Указываются общее изменение стоимости основных фондов за счет их ввода в эксплуатацию и вывода из эксплуатации.</t>
  </si>
  <si>
    <t>Изменение стоимости основных фондов за счет их ввода в эксплуатацию</t>
  </si>
  <si>
    <t>5.1.2</t>
  </si>
  <si>
    <t>Изменение стоимости основных фондов за счет их вывода в эксплуатацию</t>
  </si>
  <si>
    <t>Изменение стоимости основных фондов за счет их переоценки</t>
  </si>
  <si>
    <t>Валовая прибыль (убытки) от продажи товаров и услуг по регулируемым видам деятельности в сфере холодного водоснабжения</t>
  </si>
  <si>
    <t>Валовая прибыль (убытки) от продажи товаров и услуг по регулируемым видам деятельности в сфере горячего водоснабжения</t>
  </si>
  <si>
    <t>Валовая прибыль (убытки) от продажи товаров и услуг по регулируемым видам деятельности в сфере водоотведения</t>
  </si>
  <si>
    <t>е</t>
  </si>
  <si>
    <t>Указывается ссылка на документ, предварительно загруженный в хранилище файлов ФГИС ЕИАС._x000D_
Регулируемыми организациями информация раскрывается в случае, если выручка от регулируемых видов деятельности превышает 80 процентов совокупной выручки за отчетный год.</t>
  </si>
  <si>
    <t>Указывается ссылка на документ, предварительно загруженный в хранилище файлов ФГИС ЕИАС._x000D_
Раскрывается регулируемой организацией, выручка от регулируемых видов деятельности в сфере водоснабжения и (или) водоотведения которой превышает 80 процентов совокупной выручки за отчетный год.</t>
  </si>
  <si>
    <t>Указывается ссылка на документ, предварительно загруженный в хранилище файлов ФГИС ЕИАС._x000D_
Раскрывается регулируемой организацией, выручка от регулируемых видов деятельности в сфере водоотведения и (или) водоотведения которой превышает 80 процентов совокупной выручки за отчетный год.</t>
  </si>
  <si>
    <t>ж</t>
  </si>
  <si>
    <t>Объём поднятой воды</t>
  </si>
  <si>
    <t>з</t>
  </si>
  <si>
    <t>Объём покупной воды</t>
  </si>
  <si>
    <t>и</t>
  </si>
  <si>
    <t>Объём воды, пропущенной через очистные сооружения</t>
  </si>
  <si>
    <t>к</t>
  </si>
  <si>
    <t>Объём отпущенной потребителям воды, в том числе:</t>
  </si>
  <si>
    <t>Указывается общий объем отпущенной потребителям воды.</t>
  </si>
  <si>
    <t>Объём отпущенной потребителям воды, определенный по приборам учета</t>
  </si>
  <si>
    <t>Объём отпущенной потребителям воды, определенный расчетным способом</t>
  </si>
  <si>
    <t>10.2.1</t>
  </si>
  <si>
    <t>Объём отпущенной потребителям воды, определенный по нормативам потребления коммунальных услуг</t>
  </si>
  <si>
    <t>10.2.2</t>
  </si>
  <si>
    <t xml:space="preserve">Объём отпущенной потребителям воды, определенный по нормативам потребления коммунальных ресурсов </t>
  </si>
  <si>
    <t>л</t>
  </si>
  <si>
    <t>Потери воды в сетях</t>
  </si>
  <si>
    <t>Объём приобретаемой холодной воды, используемой для горячего водоснабжения</t>
  </si>
  <si>
    <t>Объём холодной воды, получаемой с применением собственных источников водозабора (скважин) и используемой для горячего водоснабжения</t>
  </si>
  <si>
    <t>Объём приобретаемой тепловой энергии (мощности), используемой для горячего водоснабжения</t>
  </si>
  <si>
    <t>Объём тепловой энергии, производимой с применением собственных источников и используемой для горячего водоснабжения</t>
  </si>
  <si>
    <t>Потери горячей воды в сетях (процентов)</t>
  </si>
  <si>
    <t>Объём сточных вод, принятых от потребителей</t>
  </si>
  <si>
    <t>Объём сточных вод, принятых от других регулируемых организаций, осуществляющих водоотведение и (или) очистку сточных вод</t>
  </si>
  <si>
    <t>Объём сточных вод, пропущенных через очистные сооружения</t>
  </si>
  <si>
    <t>Указывается суммарная установленная тепловая мощность объектов основных фондов, используемых для осуществления теплоснабжения._x000D_
Регулируемыми организациями указывается информация по объектам, используемым для осуществления регулируемых видов деятельности.</t>
  </si>
  <si>
    <t>Тепловая нагрузка по договорам, заключенным в рамках осуществления регулируемых видов деятельности</t>
  </si>
  <si>
    <t>Регулируемыми организациями указывается информация по договорам, заключенным в рамках осуществления регулируемых видов деятельности</t>
  </si>
  <si>
    <t>Объем вырабатываемой регулируемой организацией тепловой энергии в рамках осуществления регулируемых видов деятельности</t>
  </si>
  <si>
    <t>Регулируемыми организациями указывается информация тепловой энергии, выработанной в рамках осуществления регулируемых видов деятельности.</t>
  </si>
  <si>
    <t>Объем приобретаемой регулируемой организацией тепловой энергии в рамках осуществления регулируемых видов деятельности</t>
  </si>
  <si>
    <t>Информация указывается только едиными теплоснабжающими организациями.</t>
  </si>
  <si>
    <t>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t>
  </si>
  <si>
    <t>Указывается общий объем тепловой энергии, отпускаемой потребителям._x000D_
Регулируемыми организациями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t>
  </si>
  <si>
    <t xml:space="preserve">По приборам учёта </t>
  </si>
  <si>
    <t>10.1.1</t>
  </si>
  <si>
    <t>Определенный по приборам учета объем тепловой энергии, отпускаемой по договорам потребителям, максимальный объем потребления тепловой энергии объектов которых составляет менее чем 0,2 Гкал</t>
  </si>
  <si>
    <t>Расчётным путём</t>
  </si>
  <si>
    <t>10.3</t>
  </si>
  <si>
    <t>По нормативам потребления коммунальных услуг и нормативам потребления коммунальных ресурсов</t>
  </si>
  <si>
    <t>м</t>
  </si>
  <si>
    <t>Нормативы технологических потерь при передаче тепловой энергии, теплоносителя по тепловым сетям, утвержденные уполномоченным органом</t>
  </si>
  <si>
    <t>н</t>
  </si>
  <si>
    <t>о</t>
  </si>
  <si>
    <t>п</t>
  </si>
  <si>
    <t>Удельный расход электрической энергии на подачу воды в сеть</t>
  </si>
  <si>
    <t>Расход воды на собственные нужды, в том числе:</t>
  </si>
  <si>
    <t>Указывается доля общего расхода воды на собственные нужны от объема отпуска воды потребителям.</t>
  </si>
  <si>
    <t>Расход воды на хозяйственно-бытовые нужды</t>
  </si>
  <si>
    <t>Указывается доля расхода воды на хозяйственно-бытовые нужны от объема отпуска воды потребителям.</t>
  </si>
  <si>
    <t>Показатель использования производственных объектов (по объему перекачки), в том числе:</t>
  </si>
  <si>
    <t>Указывается суммарный показатель использования по всем производственным объектам как процент объема перекачки по отношению к пиковому дню отчетного года.</t>
  </si>
  <si>
    <t>р</t>
  </si>
  <si>
    <t>Норматив удельного расхода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t>
  </si>
  <si>
    <t>Фактический удельный расход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t>
  </si>
  <si>
    <t>Регулируемыми организациями указывается информация с распределением по источникам тепловой энергии, используемым для осуществления регулируемых видов деятельности.</t>
  </si>
  <si>
    <t>т</t>
  </si>
  <si>
    <t>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t>
  </si>
  <si>
    <t>Регулируемыми организациями указывается информация с по договорам, заключенным в рамках осуществления регулируемой деятельности.</t>
  </si>
  <si>
    <t>у</t>
  </si>
  <si>
    <t>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t>
  </si>
  <si>
    <t>ф</t>
  </si>
  <si>
    <t>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t>
  </si>
  <si>
    <t>19.1</t>
  </si>
  <si>
    <t>Информация о показателях физического износа объектов теплоснабжения</t>
  </si>
  <si>
    <t>19.2</t>
  </si>
  <si>
    <t>Информация о показателях энергетической эффективности объектов теплоснабжения</t>
  </si>
  <si>
    <t>27/44</t>
  </si>
  <si>
    <t>68</t>
  </si>
  <si>
    <t>Сведения об условиях публичных договоров регулируемых организаций,  сведения об условиях публичных договоров, заключаемых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в том числе</t>
  </si>
  <si>
    <t>Сведения об условиях публичных договоров на оказание регулируемых услуг в области обращения с твердыми коммунальными отходами</t>
  </si>
  <si>
    <t>Форма 4. Информация об установленных тарифах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об установленных тарифах на тепловую энергию (мощность), поставляемую теплоснабжающими организациями потребителям, другим теплоснабжающим организациям, об установленной плате за услуги по поддержанию резервной тепловой мощности при отсутствии потребления тепловой энергии  &lt;1&gt;</t>
  </si>
  <si>
    <t>Период действия тарифа</t>
  </si>
  <si>
    <t>Добавить наименование системы теплоснабжения</t>
  </si>
  <si>
    <t>pt_vtar_3</t>
  </si>
  <si>
    <t xml:space="preserve">Для каждого вида тарифа в сфере теплоснабжения форма заполняется отдельно. При размещении информации по данной форме дополнительно указываются: наименование органа регулирования тарифов, принявшего решение об утверждении тарифа, дата и номер документа об утверждении тарифа, источник официального опубликования решения._x000D_
</t>
  </si>
  <si>
    <t>По данной форме раскрывается в том числе информация об индикативном предельном уровне цены на тепловую энергию (мощность), которые определены в соответствии с Правилами определения в ценовых зонах теплоснабжения предельного уровня цены на тепловую энергию (мощность), включая правила индексации предельного уровня цены на тепловую энергию (мощность), утвержденными постановлением Правительства Российской Федерации от 15 декабря 2017 г. № 1562 "Об определении в ценовых зонах теплоснабжения предельного уровня цены на тепловую энергию (мощность), включая индексацию предельного уровня цены на тепловую энергию (мощность), и технико-экономических параметров работы котельных и тепловых сетей, используемых для расчета предельного уровня цены на тепловую энергию (мощность)", о графике поэтапного равномерного доведения предельного уровня цены на тепловую энергию (мощность) до уровня, определяемого в соответствии с указанными Правилами., а также  информация о тарифах на товары (услуги) в сфере теплоснабжения в случаях, указанных в частях 12.1 – 12.4 статьи 10 Федерального закона от 27.07.2010 № 190-ФЗ «О теплоснабжении» (далее – Федеральный закон № 190-ФЗ), теплоснабжающей организации, теплосетевой организации в ценовых зонах теплоснабжения.</t>
  </si>
  <si>
    <t>Цвет</t>
  </si>
  <si>
    <t>Раздел</t>
  </si>
  <si>
    <t>доп.листы</t>
  </si>
  <si>
    <t>готовность</t>
  </si>
  <si>
    <t>ИП</t>
  </si>
  <si>
    <t>REGION_ID</t>
  </si>
  <si>
    <t>REGION_NAME</t>
  </si>
  <si>
    <t>RST_ORG_ID</t>
  </si>
  <si>
    <t>ORG_NAME</t>
  </si>
  <si>
    <t>INN_NAME</t>
  </si>
  <si>
    <t>KPP_NAME</t>
  </si>
  <si>
    <t>ORG_START_DATE</t>
  </si>
  <si>
    <t>ORG_END_DATE</t>
  </si>
  <si>
    <t>SPHERE</t>
  </si>
  <si>
    <t>2611</t>
  </si>
  <si>
    <t>31043319</t>
  </si>
  <si>
    <t>АО "Апатит"</t>
  </si>
  <si>
    <t>5103070023</t>
  </si>
  <si>
    <t>511843001</t>
  </si>
  <si>
    <t>01-06-2017 00:00:00</t>
  </si>
  <si>
    <t>26319704</t>
  </si>
  <si>
    <t>997350001</t>
  </si>
  <si>
    <t>31-07-2002 00:00:00</t>
  </si>
  <si>
    <t>26319716</t>
  </si>
  <si>
    <t>АО "Аэропорт Мурманск"</t>
  </si>
  <si>
    <t>5105040715</t>
  </si>
  <si>
    <t>510501001</t>
  </si>
  <si>
    <t>26467241</t>
  </si>
  <si>
    <t>АО "Завод ТО ТБО"</t>
  </si>
  <si>
    <t>5190400081</t>
  </si>
  <si>
    <t>773601001</t>
  </si>
  <si>
    <t>14-10-2002 00:00:00</t>
  </si>
  <si>
    <t>26467339</t>
  </si>
  <si>
    <t>АО "Ковдорский ГОК"</t>
  </si>
  <si>
    <t>5104002234</t>
  </si>
  <si>
    <t>510401001</t>
  </si>
  <si>
    <t>26319706</t>
  </si>
  <si>
    <t>АО "Кольская ГМК"</t>
  </si>
  <si>
    <t>5191431170</t>
  </si>
  <si>
    <t>997550001</t>
  </si>
  <si>
    <t>16-11-1998 00:00:00</t>
  </si>
  <si>
    <t>26467347</t>
  </si>
  <si>
    <t>АО "Мончегорская теплосеть"</t>
  </si>
  <si>
    <t>5107909768</t>
  </si>
  <si>
    <t>510701001</t>
  </si>
  <si>
    <t>26318564</t>
  </si>
  <si>
    <t>АО "Мурманская ТЭЦ"</t>
  </si>
  <si>
    <t>5190141373</t>
  </si>
  <si>
    <t>26467248</t>
  </si>
  <si>
    <t>АО "Мурманский морской торговый порт"</t>
  </si>
  <si>
    <t>5190400349</t>
  </si>
  <si>
    <t>30-06-1994 00:00:00</t>
  </si>
  <si>
    <t>27030253</t>
  </si>
  <si>
    <t>АО "Мурманэнергосбыт"</t>
  </si>
  <si>
    <t>5190907139</t>
  </si>
  <si>
    <t>26319735</t>
  </si>
  <si>
    <t>АО "ОЛКОН"</t>
  </si>
  <si>
    <t>5108300030</t>
  </si>
  <si>
    <t>519950001</t>
  </si>
  <si>
    <t>31457355</t>
  </si>
  <si>
    <t>АО "ОТС"</t>
  </si>
  <si>
    <t>5108003888</t>
  </si>
  <si>
    <t>510801001</t>
  </si>
  <si>
    <t>01-10-2020 00:00:00</t>
  </si>
  <si>
    <t>26838066</t>
  </si>
  <si>
    <t>АО "РЭУ"</t>
  </si>
  <si>
    <t>7714783092</t>
  </si>
  <si>
    <t>770401001</t>
  </si>
  <si>
    <t>28150020</t>
  </si>
  <si>
    <t>АО "ХТК"</t>
  </si>
  <si>
    <t>5101360369</t>
  </si>
  <si>
    <t>510301001</t>
  </si>
  <si>
    <t>26-04-2007 00:00:00</t>
  </si>
  <si>
    <t>26526562</t>
  </si>
  <si>
    <t>АО "ЦС "Звездочка" (филиал "СРЗ "Нерпа")</t>
  </si>
  <si>
    <t>2902060361</t>
  </si>
  <si>
    <t>511243001</t>
  </si>
  <si>
    <t>26319710</t>
  </si>
  <si>
    <t>Акционерное Общество "Мурманский морской рыбный порт"</t>
  </si>
  <si>
    <t>5190146332</t>
  </si>
  <si>
    <t>14-02-2006 00:00:00</t>
  </si>
  <si>
    <t>26319745</t>
  </si>
  <si>
    <t>Акционерное общество "Апатитыэнерго"</t>
  </si>
  <si>
    <t>5101360376</t>
  </si>
  <si>
    <t>511801001</t>
  </si>
  <si>
    <t>26824425</t>
  </si>
  <si>
    <t>Акционерное общество "Мурманская областная электросетевая компания"</t>
  </si>
  <si>
    <t>5190197680</t>
  </si>
  <si>
    <t>28459690</t>
  </si>
  <si>
    <t>ГОУП "Водоканал-Ревда"</t>
  </si>
  <si>
    <t>5106000176</t>
  </si>
  <si>
    <t>510601001</t>
  </si>
  <si>
    <t>26467341</t>
  </si>
  <si>
    <t>ГОУП "Мурманскводоканал"</t>
  </si>
  <si>
    <t>5193600346</t>
  </si>
  <si>
    <t>15-05-1998 00:00:00</t>
  </si>
  <si>
    <t>30929355</t>
  </si>
  <si>
    <t>ЖКС № 9 ФГБУ "ЦЖКУ" МО РФ (по ВМФ)</t>
  </si>
  <si>
    <t>7729314745</t>
  </si>
  <si>
    <t>519045002</t>
  </si>
  <si>
    <t>КОМИТЕТ ПО ТАРИФНОМУ РЕГУЛИРОВАНИЮ МУРМАНСКОЙ ОБЛАСТИ</t>
  </si>
  <si>
    <t>5190127403</t>
  </si>
  <si>
    <t>31464643</t>
  </si>
  <si>
    <t>МБУ "РЭС"</t>
  </si>
  <si>
    <t>5109003658</t>
  </si>
  <si>
    <t>510901001</t>
  </si>
  <si>
    <t>26373357</t>
  </si>
  <si>
    <t>МБУ "СЕЗ МО с.п. Пушной"</t>
  </si>
  <si>
    <t>5105032256</t>
  </si>
  <si>
    <t>17-01-2025 00:00:00</t>
  </si>
  <si>
    <t>27050449</t>
  </si>
  <si>
    <t>МКП "Жилищное хозяйство" МО с.п. Печенга</t>
  </si>
  <si>
    <t>5109002037</t>
  </si>
  <si>
    <t>02-02-2011 00:00:00</t>
  </si>
  <si>
    <t>27589134</t>
  </si>
  <si>
    <t>МКП с.п. Корзуново "Тепложилсервис"</t>
  </si>
  <si>
    <t>5109004429</t>
  </si>
  <si>
    <t>01-09-2011 00:00:00</t>
  </si>
  <si>
    <t>21-05-2025 00:00:00</t>
  </si>
  <si>
    <t>31225444</t>
  </si>
  <si>
    <t>МУП "ВКХ"</t>
  </si>
  <si>
    <t>5102003828</t>
  </si>
  <si>
    <t>510201001</t>
  </si>
  <si>
    <t>24-07-2018 00:00:00</t>
  </si>
  <si>
    <t>31327720</t>
  </si>
  <si>
    <t>МУП "ГУК"</t>
  </si>
  <si>
    <t>5108003493</t>
  </si>
  <si>
    <t>30946827</t>
  </si>
  <si>
    <t>МУП "ДТХ" ЗАТО г. Заозерск</t>
  </si>
  <si>
    <t>5115300200</t>
  </si>
  <si>
    <t>511501001</t>
  </si>
  <si>
    <t>29649074</t>
  </si>
  <si>
    <t>МУП "Ена"</t>
  </si>
  <si>
    <t>5104001449</t>
  </si>
  <si>
    <t>28459754</t>
  </si>
  <si>
    <t>МУП "Кильдинстрой"</t>
  </si>
  <si>
    <t>5105032707</t>
  </si>
  <si>
    <t>26319744</t>
  </si>
  <si>
    <t>МУП "Кировская городская электрическая сеть"</t>
  </si>
  <si>
    <t>5103021241</t>
  </si>
  <si>
    <t>01-10-2024 00:00:00</t>
  </si>
  <si>
    <t>28875370</t>
  </si>
  <si>
    <t>МУП "Лавна"</t>
  </si>
  <si>
    <t>5105032753</t>
  </si>
  <si>
    <t>29-10-2024 00:00:00</t>
  </si>
  <si>
    <t>27579061</t>
  </si>
  <si>
    <t>МУП "МУК"</t>
  </si>
  <si>
    <t>5190932618</t>
  </si>
  <si>
    <t>26467328</t>
  </si>
  <si>
    <t>МУП "Недвижимость Кандалакши"</t>
  </si>
  <si>
    <t>5102002253</t>
  </si>
  <si>
    <t>30866806</t>
  </si>
  <si>
    <t>МУП "Ресурс"</t>
  </si>
  <si>
    <t>5102003507</t>
  </si>
  <si>
    <t>08-12-2016 00:00:00</t>
  </si>
  <si>
    <t>26526674</t>
  </si>
  <si>
    <t>МУП "Сервис"</t>
  </si>
  <si>
    <t>5111002718</t>
  </si>
  <si>
    <t>511101001</t>
  </si>
  <si>
    <t>27061909</t>
  </si>
  <si>
    <t>МУП "Тепловые сети МО г. Заполярный"</t>
  </si>
  <si>
    <t>5109004718</t>
  </si>
  <si>
    <t>26646677</t>
  </si>
  <si>
    <t>МУП "УМС-СЕЗ  г.п. Молочный"</t>
  </si>
  <si>
    <t>5105030940</t>
  </si>
  <si>
    <t>30918265</t>
  </si>
  <si>
    <t>МУП "Хибины"</t>
  </si>
  <si>
    <t>5103301030</t>
  </si>
  <si>
    <t>29649087</t>
  </si>
  <si>
    <t>МУП "Энергия"</t>
  </si>
  <si>
    <t>5117000065</t>
  </si>
  <si>
    <t>511701001</t>
  </si>
  <si>
    <t>31432376</t>
  </si>
  <si>
    <t>МУП «РККР»</t>
  </si>
  <si>
    <t>5105013486</t>
  </si>
  <si>
    <t>29-05-2020 00:00:00</t>
  </si>
  <si>
    <t>30866847</t>
  </si>
  <si>
    <t>МУП ЖКХ "Вымпел"</t>
  </si>
  <si>
    <t>5102000619</t>
  </si>
  <si>
    <t>11-11-2015 00:00:00</t>
  </si>
  <si>
    <t>31041154</t>
  </si>
  <si>
    <t>МУП Кольского района "УЖКХ"</t>
  </si>
  <si>
    <t>5105032739</t>
  </si>
  <si>
    <t>26382470</t>
  </si>
  <si>
    <t>МУПП "ЖКХ" ЗАТО Видяево</t>
  </si>
  <si>
    <t>5105031630</t>
  </si>
  <si>
    <t>511001001</t>
  </si>
  <si>
    <t>31-10-2002 00:00:00</t>
  </si>
  <si>
    <t>26814895</t>
  </si>
  <si>
    <t>ОАО "РЖД" (Октябрьская дирекция по тепловодоснабжению - СП Центральной дирекции по тепловодоснабжению - филиала ОАО "РЖД")</t>
  </si>
  <si>
    <t>7708503727</t>
  </si>
  <si>
    <t>780445015</t>
  </si>
  <si>
    <t>01-04-2011 00:00:00</t>
  </si>
  <si>
    <t>28014300</t>
  </si>
  <si>
    <t>ООО "АтомТеплоЭлектроСеть"</t>
  </si>
  <si>
    <t>7705923730</t>
  </si>
  <si>
    <t>511743001</t>
  </si>
  <si>
    <t>30845082</t>
  </si>
  <si>
    <t>ООО "Верхнетуломская тепловая компания"</t>
  </si>
  <si>
    <t>5105010439</t>
  </si>
  <si>
    <t>31598749</t>
  </si>
  <si>
    <t>ООО "ИТЭ"</t>
  </si>
  <si>
    <t>7447297114</t>
  </si>
  <si>
    <t>745301001</t>
  </si>
  <si>
    <t>09-10-2020 00:00:00</t>
  </si>
  <si>
    <t>30832102</t>
  </si>
  <si>
    <t>ООО "Мурмашинская тепловая компания"</t>
  </si>
  <si>
    <t>5105010446</t>
  </si>
  <si>
    <t>28499647</t>
  </si>
  <si>
    <t>ООО "ПромВоенСтрой"</t>
  </si>
  <si>
    <t>7842410730</t>
  </si>
  <si>
    <t>784201001</t>
  </si>
  <si>
    <t>19-06-2009 00:00:00</t>
  </si>
  <si>
    <t>28981214</t>
  </si>
  <si>
    <t>ООО "СМАРТ ЭНЕРГО"</t>
  </si>
  <si>
    <t>5190048543</t>
  </si>
  <si>
    <t>26-06-2023 00:00:00</t>
  </si>
  <si>
    <t>30408038</t>
  </si>
  <si>
    <t>ООО "СТК"</t>
  </si>
  <si>
    <t>5102000545</t>
  </si>
  <si>
    <t>27570497</t>
  </si>
  <si>
    <t>ООО "СевТехноСервис"</t>
  </si>
  <si>
    <t>5106801049</t>
  </si>
  <si>
    <t>31749269</t>
  </si>
  <si>
    <t>ООО "Тепло Людям.Кандалакша"</t>
  </si>
  <si>
    <t>5190083026</t>
  </si>
  <si>
    <t>19-03-2020 00:00:00</t>
  </si>
  <si>
    <t>26373352</t>
  </si>
  <si>
    <t>ООО "Тепловодоканал"</t>
  </si>
  <si>
    <t>5104908766</t>
  </si>
  <si>
    <t>21-03-2003 00:00:00</t>
  </si>
  <si>
    <t>28878308</t>
  </si>
  <si>
    <t>ООО "Теплонорд"</t>
  </si>
  <si>
    <t>7841501872</t>
  </si>
  <si>
    <t>784101001</t>
  </si>
  <si>
    <t>31639144</t>
  </si>
  <si>
    <t>ООО "Теплосетевая компания СЕВЕР"</t>
  </si>
  <si>
    <t>1001349036</t>
  </si>
  <si>
    <t>100101001</t>
  </si>
  <si>
    <t>28-08-2020 00:00:00</t>
  </si>
  <si>
    <t>26467459</t>
  </si>
  <si>
    <t>ООО "Теплострой плюс"</t>
  </si>
  <si>
    <t>7842322869</t>
  </si>
  <si>
    <t>31538928</t>
  </si>
  <si>
    <t>ООО «ТЭС»</t>
  </si>
  <si>
    <t>5108004000</t>
  </si>
  <si>
    <t>30946839</t>
  </si>
  <si>
    <t>ООО «Тепло Людям. Умба»</t>
  </si>
  <si>
    <t>5190070965</t>
  </si>
  <si>
    <t>30397624</t>
  </si>
  <si>
    <t>ОП "Мурманское" АО "ГУ ЖКХ"</t>
  </si>
  <si>
    <t>5116000922</t>
  </si>
  <si>
    <t>519045001</t>
  </si>
  <si>
    <t>12-10-2015 00:00:00</t>
  </si>
  <si>
    <t>27670488</t>
  </si>
  <si>
    <t>Октябрьская железная дорога - филиал ОАО "РЖД"</t>
  </si>
  <si>
    <t>997650011</t>
  </si>
  <si>
    <t>30397151</t>
  </si>
  <si>
    <t>ТП "Водоканал" АО "ГУ ЖКХ"</t>
  </si>
  <si>
    <t>511645001</t>
  </si>
  <si>
    <t>25-09-2015 00:00:00</t>
  </si>
  <si>
    <t>26373354</t>
  </si>
  <si>
    <t>УМ ЖКП п. Туманный</t>
  </si>
  <si>
    <t>5105031559</t>
  </si>
  <si>
    <t>03-07-2002 00:00:00</t>
  </si>
  <si>
    <t>09-06-2023 00:00:00</t>
  </si>
  <si>
    <t>28941546</t>
  </si>
  <si>
    <t>УМПП ЖКХ ЗАТО Александровск</t>
  </si>
  <si>
    <t>5112100059</t>
  </si>
  <si>
    <t>511601001</t>
  </si>
  <si>
    <t>31165640</t>
  </si>
  <si>
    <t>ФГБУ "Главрыбвод" Мурманский филиал</t>
  </si>
  <si>
    <t>7708044880</t>
  </si>
  <si>
    <t>519043001</t>
  </si>
  <si>
    <t>23-01-2017 00:00:00</t>
  </si>
  <si>
    <t>26467455</t>
  </si>
  <si>
    <t>ФКУ ИК-18 УФСИН России по Мурманской области</t>
  </si>
  <si>
    <t>5105020878</t>
  </si>
  <si>
    <t>26506535</t>
  </si>
  <si>
    <t>Филиал АО Концерн Росэнергоатом Кольская атомная станция</t>
  </si>
  <si>
    <t>7721632827</t>
  </si>
  <si>
    <t>26467656</t>
  </si>
  <si>
    <t>АО "Апатитыводоканал"</t>
  </si>
  <si>
    <t>5101360351</t>
  </si>
  <si>
    <t>12-04-2007 00:00:00</t>
  </si>
  <si>
    <t>31414935</t>
  </si>
  <si>
    <t>АО "Городские сети</t>
  </si>
  <si>
    <t>5105013366</t>
  </si>
  <si>
    <t>25-02-2020 00:00:00</t>
  </si>
  <si>
    <t>26373361</t>
  </si>
  <si>
    <t>АО "Мончегорскводоканал"</t>
  </si>
  <si>
    <t>5107909951</t>
  </si>
  <si>
    <t>01-12-2005 00:00:00</t>
  </si>
  <si>
    <t>26319732</t>
  </si>
  <si>
    <t>АО "ЦС "Звездочка" (филиал "35 СРЗ")</t>
  </si>
  <si>
    <t>12-11-2008 00:00:00</t>
  </si>
  <si>
    <t>26373345</t>
  </si>
  <si>
    <t>ГОУП "Кандалакшаводоканал"</t>
  </si>
  <si>
    <t>5102006040</t>
  </si>
  <si>
    <t>17-05-2002 00:00:00</t>
  </si>
  <si>
    <t>26373365</t>
  </si>
  <si>
    <t>ГОУП "Североморскводоканал"</t>
  </si>
  <si>
    <t>5110120910</t>
  </si>
  <si>
    <t>22-09-1998 00:00:00</t>
  </si>
  <si>
    <t>26646662</t>
  </si>
  <si>
    <t>МБУ "СЕЗ МО п. Кильдинстрой"</t>
  </si>
  <si>
    <t>5105032224</t>
  </si>
  <si>
    <t>26319743</t>
  </si>
  <si>
    <t>МУП "Горэлектросеть" ЗАТО г. Островной</t>
  </si>
  <si>
    <t>5114120981</t>
  </si>
  <si>
    <t>511401001</t>
  </si>
  <si>
    <t>31618229</t>
  </si>
  <si>
    <t>МУП "Ковдорводоканал"</t>
  </si>
  <si>
    <t>5104005443</t>
  </si>
  <si>
    <t>01-07-2022 00:00:00</t>
  </si>
  <si>
    <t>14-11-2024 00:00:00</t>
  </si>
  <si>
    <t>30946922</t>
  </si>
  <si>
    <t>МУП "Сети Никеля"</t>
  </si>
  <si>
    <t>5109004556</t>
  </si>
  <si>
    <t>26528627</t>
  </si>
  <si>
    <t>МУП тепловых сетей ЗАТО г. Островной</t>
  </si>
  <si>
    <t>5114020137</t>
  </si>
  <si>
    <t>21-02-2023 00:00:00</t>
  </si>
  <si>
    <t>26319709</t>
  </si>
  <si>
    <t>ОАО "Мурманский комбинат хлебопродуктов"</t>
  </si>
  <si>
    <t>5190400162</t>
  </si>
  <si>
    <t>21-06-1993 00:00:00</t>
  </si>
  <si>
    <t>28-03-2025 00:00:00</t>
  </si>
  <si>
    <t>31596508</t>
  </si>
  <si>
    <t>ООО "Арно-Трейд"</t>
  </si>
  <si>
    <t>5112091319</t>
  </si>
  <si>
    <t>511201001</t>
  </si>
  <si>
    <t>04-12-2007 00:00:00</t>
  </si>
  <si>
    <t>28877705</t>
  </si>
  <si>
    <t>ООО "КВК-2"</t>
  </si>
  <si>
    <t>5102046807</t>
  </si>
  <si>
    <t>060801001</t>
  </si>
  <si>
    <t>28877719</t>
  </si>
  <si>
    <t>ООО "КВК-3"</t>
  </si>
  <si>
    <t>5102046814</t>
  </si>
  <si>
    <t>26380532</t>
  </si>
  <si>
    <t>ООО "Калган"</t>
  </si>
  <si>
    <t>5112700218</t>
  </si>
  <si>
    <t>29-01-2002 00:00:00</t>
  </si>
  <si>
    <t>31758091</t>
  </si>
  <si>
    <t>ООО "Норд Стар"</t>
  </si>
  <si>
    <t>7733354469</t>
  </si>
  <si>
    <t>16-04-2020 00:00:00</t>
  </si>
  <si>
    <t>31041188</t>
  </si>
  <si>
    <t>ООО "Север-Сити"</t>
  </si>
  <si>
    <t>5110005025</t>
  </si>
  <si>
    <t>31243294</t>
  </si>
  <si>
    <t>ООО "СпецНордПром"</t>
  </si>
  <si>
    <t>7842108495</t>
  </si>
  <si>
    <t>19-05-2016 00:00:00</t>
  </si>
  <si>
    <t>14-10-2024 00:00:00</t>
  </si>
  <si>
    <t>30873097</t>
  </si>
  <si>
    <t>ООО «ПТФ «Мурманская»</t>
  </si>
  <si>
    <t>5105092390</t>
  </si>
  <si>
    <t>12-08-2024 00:00:00</t>
  </si>
  <si>
    <t>31394853</t>
  </si>
  <si>
    <t>АО "10 СРЗ"</t>
  </si>
  <si>
    <t>5116001041</t>
  </si>
  <si>
    <t>03-06-2010 00:00:00</t>
  </si>
  <si>
    <t>30946916</t>
  </si>
  <si>
    <t>ООО "КС Север-Эйдж"</t>
  </si>
  <si>
    <t>5190068765</t>
  </si>
  <si>
    <t>10-05-2023 00:00:00</t>
  </si>
  <si>
    <t>31492123</t>
  </si>
  <si>
    <t>ООО «ЦИТАДЕЛЬ-13»</t>
  </si>
  <si>
    <t>9715361731</t>
  </si>
  <si>
    <t>771501001</t>
  </si>
  <si>
    <t>05-04-2021 00:00:00</t>
  </si>
  <si>
    <t>26526501</t>
  </si>
  <si>
    <t>Филиал АО "РУСАЛ Урал" в Кандалакше "Объединенная компания РУСАЛ Кандалакшский алюминиевый завод"</t>
  </si>
  <si>
    <t>6612005052</t>
  </si>
  <si>
    <t>510203001</t>
  </si>
  <si>
    <t>28268757</t>
  </si>
  <si>
    <t>ММУП "Городское благоустройство"</t>
  </si>
  <si>
    <t>5107910717</t>
  </si>
  <si>
    <t>21-11-2024 00:00:00</t>
  </si>
  <si>
    <t>31227058</t>
  </si>
  <si>
    <t>Мурманский филиал АО "Ситиматик"</t>
  </si>
  <si>
    <t>7725727149</t>
  </si>
  <si>
    <t>28878730</t>
  </si>
  <si>
    <t>ООО "КПК"</t>
  </si>
  <si>
    <t>5102046437</t>
  </si>
  <si>
    <t>26631343</t>
  </si>
  <si>
    <t>ООО "Ковдорское общество содействия ветеранам войны"</t>
  </si>
  <si>
    <t>5104909907</t>
  </si>
  <si>
    <t>28878630</t>
  </si>
  <si>
    <t>ООО "Кольская АЭС -Авто"</t>
  </si>
  <si>
    <t>5117065288</t>
  </si>
  <si>
    <t>26467563</t>
  </si>
  <si>
    <t>ООО "Орко-инвест"</t>
  </si>
  <si>
    <t>5190132322</t>
  </si>
  <si>
    <t>26467566</t>
  </si>
  <si>
    <t>ООО "Спецтехтранс"</t>
  </si>
  <si>
    <t>5108996918</t>
  </si>
  <si>
    <t>31233365</t>
  </si>
  <si>
    <t>ООО "Чистый город"</t>
  </si>
  <si>
    <t>5103063072</t>
  </si>
  <si>
    <t>31708928</t>
  </si>
  <si>
    <t>ООО "ЭКОВЫВОЗ"</t>
  </si>
  <si>
    <t>6686005610</t>
  </si>
  <si>
    <t>668601001</t>
  </si>
  <si>
    <t>28269397</t>
  </si>
  <si>
    <t>ООО "Экоплан"</t>
  </si>
  <si>
    <t>5109004436</t>
  </si>
  <si>
    <t>28142611</t>
  </si>
  <si>
    <t>ООО «Ловозеро-Жилсервис»</t>
  </si>
  <si>
    <t>5106801017</t>
  </si>
  <si>
    <t>10-03-2009 00:00:00</t>
  </si>
  <si>
    <t>NSRF</t>
  </si>
  <si>
    <t>MR_NAME</t>
  </si>
  <si>
    <t>OKTMO_MR_NAME</t>
  </si>
  <si>
    <t>MO_NAME</t>
  </si>
  <si>
    <t>OKTMO_NAME</t>
  </si>
  <si>
    <t>TYPE</t>
  </si>
  <si>
    <t>MR_ID</t>
  </si>
  <si>
    <t>ЗАТО город Александровск</t>
  </si>
  <si>
    <t>47737000</t>
  </si>
  <si>
    <t>городской округ</t>
  </si>
  <si>
    <t>ЗАТО город Заозерск</t>
  </si>
  <si>
    <t>47733000</t>
  </si>
  <si>
    <t>ЗАТО город Островной</t>
  </si>
  <si>
    <t>47731000</t>
  </si>
  <si>
    <t>ЗАТО город Североморск</t>
  </si>
  <si>
    <t>47730000</t>
  </si>
  <si>
    <t>ЗАТО поселок Видяево</t>
  </si>
  <si>
    <t>47735000</t>
  </si>
  <si>
    <t>Кандалакшский муниципальный район</t>
  </si>
  <si>
    <t>47608000</t>
  </si>
  <si>
    <t>Алакурттинское сельское поселение</t>
  </si>
  <si>
    <t>47608403</t>
  </si>
  <si>
    <t>сельское поселение</t>
  </si>
  <si>
    <t>Город Кандалакша</t>
  </si>
  <si>
    <t>47608101</t>
  </si>
  <si>
    <t>городское поселение, в состав которого входит город</t>
  </si>
  <si>
    <t>Зареченское сельское поселение</t>
  </si>
  <si>
    <t>47608407</t>
  </si>
  <si>
    <t>муниципальный район</t>
  </si>
  <si>
    <t>Поселок Зеленоборский</t>
  </si>
  <si>
    <t>47608158</t>
  </si>
  <si>
    <t>городское поселение, в состав которого входит поселок</t>
  </si>
  <si>
    <t>Ковдорский муниципальный округ</t>
  </si>
  <si>
    <t>47517000</t>
  </si>
  <si>
    <t>муниципальный округ</t>
  </si>
  <si>
    <t>Кольский муниципальный район</t>
  </si>
  <si>
    <t>47605000</t>
  </si>
  <si>
    <t>Междуреченское сельское поселение</t>
  </si>
  <si>
    <t>47605402</t>
  </si>
  <si>
    <t>Поселок Верхнетуломский</t>
  </si>
  <si>
    <t>47605154</t>
  </si>
  <si>
    <t>Поселок Кильдинстрой</t>
  </si>
  <si>
    <t>47605158</t>
  </si>
  <si>
    <t>Поселок Мурмаши</t>
  </si>
  <si>
    <t>47605163</t>
  </si>
  <si>
    <t>Поселок Туманный</t>
  </si>
  <si>
    <t>47605173</t>
  </si>
  <si>
    <t>Пушновское сельское поселение</t>
  </si>
  <si>
    <t>47605404</t>
  </si>
  <si>
    <t>Териберское сельское поселение</t>
  </si>
  <si>
    <t>47605405</t>
  </si>
  <si>
    <t>Туломское сельское поселение</t>
  </si>
  <si>
    <t>47605406</t>
  </si>
  <si>
    <t>городское поселение Кола</t>
  </si>
  <si>
    <t>47605101</t>
  </si>
  <si>
    <t>городское поселение Молочный</t>
  </si>
  <si>
    <t>47605161</t>
  </si>
  <si>
    <t>сельское поселение Ура-Губа</t>
  </si>
  <si>
    <t>47605407</t>
  </si>
  <si>
    <t>Ловозерский муниципальный район</t>
  </si>
  <si>
    <t>47610000</t>
  </si>
  <si>
    <t>Поселок Ревда</t>
  </si>
  <si>
    <t>47610154</t>
  </si>
  <si>
    <t>сельское поселение Ловозеро</t>
  </si>
  <si>
    <t>47610401</t>
  </si>
  <si>
    <t>Терский муниципальный район</t>
  </si>
  <si>
    <t>47620000</t>
  </si>
  <si>
    <t>Варзугское</t>
  </si>
  <si>
    <t>47620401</t>
  </si>
  <si>
    <t>Поселок Умба</t>
  </si>
  <si>
    <t>47620151</t>
  </si>
  <si>
    <t>город Мончегорск</t>
  </si>
  <si>
    <t>47524000</t>
  </si>
  <si>
    <t>город Оленегорск</t>
  </si>
  <si>
    <t>47526000</t>
  </si>
  <si>
    <t>город Полярные Зори</t>
  </si>
  <si>
    <t>47528000</t>
  </si>
  <si>
    <t>город-герой Мурманск</t>
  </si>
  <si>
    <t>47701000</t>
  </si>
  <si>
    <t>NUMBER_POINT</t>
  </si>
  <si>
    <t>INVP_NAME</t>
  </si>
  <si>
    <t>INVP_ID</t>
  </si>
  <si>
    <t>L_START_DATE</t>
  </si>
  <si>
    <t>L_END_DATE</t>
  </si>
  <si>
    <t>L_DECISION_NAME</t>
  </si>
  <si>
    <t>L_DECISION_TYPE</t>
  </si>
  <si>
    <t>L_DECISION_NMBR</t>
  </si>
  <si>
    <t>L_DECISION_DATE</t>
  </si>
  <si>
    <t>Инвестиционная программа № 112 от 07.07.2023 АО "Мурманэнергосбыт" в сфере теплоснабжения по строительству, реконструкции и модернизации тепловых сетей на 2024-2026 годы</t>
  </si>
  <si>
    <t>01.01.2024</t>
  </si>
  <si>
    <t>31.12.2026</t>
  </si>
  <si>
    <t>Инвестиционная программа № 133 от 26.07.2023 АО "Мурманэнергосбыт" в сфере теплоснабжения по реконструкции и модернизации существующих объектов котельных на 2024-2025 годы</t>
  </si>
  <si>
    <t>31.12.2025</t>
  </si>
  <si>
    <t>Инвестиционная программа № 134 от 11.07.2022 АО "Мурманэнергосбыт" в сфере теплоснабжения по техническому перевооружению котельной, на территории городского округа ЗАТО Североморск на 2023 год</t>
  </si>
  <si>
    <t>01.01.2023</t>
  </si>
  <si>
    <t>31.12.2023</t>
  </si>
  <si>
    <t>Инвестиционная программа № 134 от 26.07.2023 АО "Мурманская ТЭЦ" в сфере теплоснабжения по модернизации, реконструкции и техническому перевооружению единого комплекса объектов, на территории городского округа город-герой Мурманск на 2024-2028 годы</t>
  </si>
  <si>
    <t>09.01.2024</t>
  </si>
  <si>
    <t>29.12.2028</t>
  </si>
  <si>
    <t>Инвестиционная программа № 135 от 11.07.2022 АО "Мурманэнергосбыт" в сфере теплоснабжения по строительству, реконструкции и модернизации тепловых сетей, на территории городского округа город-герой Мурманск на 2023-2026 годы</t>
  </si>
  <si>
    <t>Инвестиционная программа № 136 от 25.07.2025 АО "МЭС" в сфере теплоснабжения по модернизации, реконструкции и техническому перевооружению систем теплоснабжения на 2026-2027 годы</t>
  </si>
  <si>
    <t>01.01.2026</t>
  </si>
  <si>
    <t>31.12.2027</t>
  </si>
  <si>
    <t>Инвестиционная программа № 137 от 11.07.2022 АО "Мурманэнергосбыт" в сфере теплоснабжения по модернизации, реконструкции и техническому перевооружению систем теплоснабжения, на территории городского округа город-герой Мурманск на 2023-2024 годы</t>
  </si>
  <si>
    <t>31.12.2024</t>
  </si>
  <si>
    <t>Инвестиционная программа № 141 от 05.08.2025 ФИЛИАЛ ООО "АТОМТЕПЛОЭЛЕКТРОСЕТЬ" В Г. ПОЛЯРНЫЕ ЗОРИ в сфере теплоснабжения по модернизации тепловых сетей, на территории муниципального округа город Полярные Зори на 2026-2028 годы</t>
  </si>
  <si>
    <t>31.12.2028</t>
  </si>
  <si>
    <t>Инвестиционная программа № 143 от 14.07.2022 ПАО "ТГК-1" (филиал "Кольский") в сфере теплоснабжения по модернизации, реконструкции и техническому перевооружению имущественного комплекса, на территории муниципального округа город Апатиты на 2023-2027 годы</t>
  </si>
  <si>
    <t>Инвестиционная программа № 143 от 14.07.2022 ПАО "ТГК-1" (филиал "Кольский") в сфере теплоснабжения по модернизации, реконструкции и техническому перевооружению имущественного комплекса, на территории муниципального округа город Кировск на 2023-2027 годы</t>
  </si>
  <si>
    <t>Инвестиционная программа № 144 от 25.08.2021 АО "Мурманэнергосбыт" в сфере теплоснабжения в отношении мазутной котельной на 2022-2023 годы</t>
  </si>
  <si>
    <t>01.01.2022</t>
  </si>
  <si>
    <t>Инвестиционная программа № 144 от 25.08.2021 АО "Мурманэнергосбыт" в сфере теплоснабжения в отношении мазутной котельной, на территории городского округа город-герой Мурманск на 2022-2023 годы</t>
  </si>
  <si>
    <t>Инвестиционная программа № 144 от 25.08.2021 АО "Мурманэнергосбыт" в сфере теплоснабжения по повышению надежности и энергетической эффективности мазутной котельной, на территории городского округа город-герой Мурманск на 2022-2024 годы</t>
  </si>
  <si>
    <t>Инвестиционная программа № 153 от 29.07.2024 ООО "ПромВоенСтрой" в сфере теплоснабжения по реконструкции объектов котельных и тепловых сетей, на территории муниципального округа Печенгский на 2024-2037 годы</t>
  </si>
  <si>
    <t>29.07.2024</t>
  </si>
  <si>
    <t>31.12.2037</t>
  </si>
  <si>
    <t>Инвестиционная программа № 167 от 18.08.2022 АО "Мурманэнергосбыт" в сфере теплоснабжения по реконструкции и модернизации существующих объектов тепловых сетей, на территории сельского поселения Ловозеро, Ловозерский муниципальный район на 2023-2026 годы</t>
  </si>
  <si>
    <t>Инвестиционная программа № 171 от 25.09.2023 АО "Мурманэнергосбыт" в сфере теплоснабжения по реконструкции и модернизации существующих объектов котельных и тепловых сетей на 2024 год</t>
  </si>
  <si>
    <t>Инвестиционная программа № 172 от 09.09.2021 АО "Мурманэнергосбыт" в сфере теплоснабжения по техническому перевооружению мазутной котельной на 2022 год</t>
  </si>
  <si>
    <t>31.12.2022</t>
  </si>
  <si>
    <t>Инвестиционная программа № 183 от 09.10.2023 АО "Мурманэнергосбыт" в сфере теплоснабжения по организации мероприятий, направленных на повышение экологической эффективности, надежности, качества и бесперебойности котельной, на территории городского округа ЗАТО Североморск на 2024 год</t>
  </si>
  <si>
    <t>Инвестиционная программа № 189 от 28.10.2020 АО "Завод ТО ТБО" в сфере теплоснабжения по модернизации системы коммунальной инфраструктуры на 2021-2028 годы</t>
  </si>
  <si>
    <t>01.01.2021</t>
  </si>
  <si>
    <t>01.01.2028</t>
  </si>
  <si>
    <t>Инвестиционная программа № 194 от 28.10.2020 ПАО "ТГК-1" (филиал "Кольский") в сфере теплоснабжения по модернизации единого комплекса объектов, на территории городского округа Кировск на 2021-2022 годы</t>
  </si>
  <si>
    <t>Инвестиционная программа № 194 от 28.10.2020 ПАО "ТГК-1" (филиал "Кольский") в сфере теплоснабжения по модернизации, реконструкции и техническому перевооружению единого комплекса объектов, на территории городского округа Апатиты на 2021-2022 годы</t>
  </si>
  <si>
    <t>Инвестиционная программа № 194 от 28.10.2020 ПАО "ТГК-1" (филиал "Кольский") в сфере теплоснабжения по модернизации, реконструкции и техническому перевооружению единого комплекса объектов, на территории городского округа Кировск на 2021-2022 годы</t>
  </si>
  <si>
    <t>Инвестиционная программа № 194 от 28.10.2020 ПАО "ТГК-1" (филиал "Кольский") в сфере теплоснабжения по техническому перевооружению имущественного комплекса, на территории городского округа Апатиты на 2021-2022 годы</t>
  </si>
  <si>
    <t>Инвестиционная программа № 194 от 28.10.2020 ПАО "ТГК-1" (филиал "Кольский") в сфере теплоснабжения по техническому перевооружению имущественного комплекса, на территории городского округа Кировск на 2021-2022 годы</t>
  </si>
  <si>
    <t>Инвестиционная программа № 195 от 16.10.2023 ООО «ТЭС» в сфере теплоснабжения по реконструкции и модернизации объектов, на территории муниципального округа город Оленегорск на 2024-2026 годы</t>
  </si>
  <si>
    <t>Инвестиционная программа № 198 от 20.10.2023 ООО «Тепло Людям. Умба» в сфере теплоснабжения по реконструкции и модернизации тепловой сети, на территории городского поселения Поселок Умба, Терский муниципальный район на 2024-2032 годы</t>
  </si>
  <si>
    <t>31.12.2032</t>
  </si>
  <si>
    <t>Инвестиционная программа № 20 от 30.01.2024 АО "Мурманэнергосбыт" в сфере теплоснабжения по строительству, реконструкции, модернизации и развитию котельных и тепловых сетей на 2024 год</t>
  </si>
  <si>
    <t>30.01.2024</t>
  </si>
  <si>
    <t>Инвестиционная программа № 214 от 20.11.2020 АО "Мурманэнергосбыт" в сфере теплоснабжения по строительству, реконструкции и модернизации единого комплекса объектов, на территории городского округа ЗАТО Александровск на 2021 год</t>
  </si>
  <si>
    <t>31.12.2021</t>
  </si>
  <si>
    <t>Инвестиционная программа № 218 от 19.11.2025 АО "МЭС" в сфере теплоснабжения по модернизации, реконструкции и техническому перевооружению котельных и тепловых сетей на 2025-2028 годы</t>
  </si>
  <si>
    <t>19.11.2025</t>
  </si>
  <si>
    <t>Инвестиционная программа № 231 от 01.11.2022 АО "Мурманэнергосбыт" в сфере теплоснабжения по реконструкции и модернизации существующих объектов тепловой сети, на территории городского поселения Кола, Кольский муниципальный район на 2023-2026 годы</t>
  </si>
  <si>
    <t>Инвестиционная программа № 232 от 01.11.2022 АО "Мурманэнергосбыт" в сфере теплоснабжения по реконструкции и модернизации существующих объектов тепловой сети, на территории муниципального округа город Оленегорск на 2023-2026 годы</t>
  </si>
  <si>
    <t>Инвестиционная программа № 233 от 01.11.2022 АО "Мурманэнергосбыт" в сфере теплоснабжения по реконструкции и модернизации существующих объектов тепловой сети, на территории городского поселения Поселок Верхнетуломский, Кольский муниципальный район на 2023-2026 годы</t>
  </si>
  <si>
    <t>Инвестиционная программа № 234 от 01.11.2022 АО "Мурманэнергосбыт" в сфере теплоснабжения по реконструкции и модернизации существующих объектов тепловой сети, на территории городского поселения Молочный, Кольский муниципальный район на 2023-2026 годы</t>
  </si>
  <si>
    <t>Инвестиционная программа № 235 от 01.11.2022 АО "Мурманэнергосбыт" в сфере теплоснабжения по реконструкции и модернизации существующих объектов тепловой сети, на территории городского поселения Поселок Мурмаши, Кольский муниципальный район на 2023-2024 годы</t>
  </si>
  <si>
    <t>Инвестиционная программа № 236 от 01.11.2022 АО "Мурманэнергосбыт" в сфере теплоснабжения по модернизации, развитию и техническому перевооружению котельных и тепловых сетей, на территории городского поселения Поселок Кильдинстрой, Кольский муниципальный район на 2023-2026 годы</t>
  </si>
  <si>
    <t>Инвестиционная программа № 237 от 01.11.2022 АО "Мурманэнергосбыт" в сфере теплоснабжения по реконструкции и модернизации существующих объектов тепловой сети, на территории городского округа ЗАТО Александровск на 2023-2026 годы</t>
  </si>
  <si>
    <t>Инвестиционная программа № 238 от 01.11.2022 АО "Мурманэнергосбыт" в сфере теплоснабжения по реконструкции и модернизации существующих объектов тепловой сети, на территории городского округа ЗАТО Заозерск на 2023-2025 годы</t>
  </si>
  <si>
    <t>Инвестиционная программа № 239 от 01.11.2022 АО "Мурманэнергосбыт" в сфере теплоснабжения по реконструкции и модернизации существующих объектов тепловой сети, на территории городского поселения Поселок Ревда, Ловозерский муниципальный район на 2023-2025 годы</t>
  </si>
  <si>
    <t>Инвестиционная программа № 239 от 01.11.2022 АО "Мурманэнергосбыт" в сфере теплоснабжения по реконструкции и модернизации существующих объектов тепловой сети, на территории городского поселения Поселок Ревда, Ловозерский муниципальный район на 2023-2026 годы</t>
  </si>
  <si>
    <t>Инвестиционная программа № 243 от 20.11.2024 АО "МЭС" в сфере теплоснабжения по модернизации, реконструкции и техническому перевооружению котельных и тепловых сетей на 2024-2027 годы</t>
  </si>
  <si>
    <t>20.11.2024</t>
  </si>
  <si>
    <t>Инвестиционная программа № 263 от 06.12.2022 АО "Мурманэнергосбыт" в сфере теплоснабжения по реконструкции и техническому перевооружению котельных и тепловых сетей, на территории с Алакуртти, Алакурттинское сельское поселение, Кандалакшский муниципальный район на 2022-2052 годы</t>
  </si>
  <si>
    <t>06.12.2022</t>
  </si>
  <si>
    <t>31.12.2052</t>
  </si>
  <si>
    <t>Инвестиционная программа № 55 от 17.03.2023 АО "Мурманэнергосбыт" в сфере теплоснабжения по реконструкции и модернизации существующих объектов котельных и тепловых сетей, на территории городского округа город-герой Мурманск на 2024 год</t>
  </si>
  <si>
    <t>Инвестиционная программа № 64 от 27.03.2025 АО "МЭС" в сфере теплоснабжения по модернизации, реконструкции и техническому перевооружению котельных и тепловых сетей, на территории пгт Никель, Печенгский муниципальный округ, Печенгский муниципальный округ на 2026-2027 годы</t>
  </si>
  <si>
    <t>Инвестиционная программа № 64 от 27.03.2025 АО "МЭС" в сфере теплоснабжения по реконструкции и модернизации тепловых сетей и системы централизованного теплоснабжения на 2026-2027 годы</t>
  </si>
  <si>
    <t>Инвестиционная программа № 75 от 24.04.2023 АО "Мурманэнергосбыт" в сфере теплоснабжения по реконструкции и модернизации существующих объектов тепловых сетей, на территории ж/д ст Лопарская, Пушновское сельское поселение, Кольский муниципальный район на 2024 год</t>
  </si>
  <si>
    <t>Инвестиционная программа № 95 от 20.05.2024 ООО "Тепло Людям.Кандалакша" в сфере теплоснабжения по модернизации и строительству котельных, на территории городского округа город-герой Мурманск на 2024-2047 годы</t>
  </si>
  <si>
    <t>20.05.2024</t>
  </si>
  <si>
    <t>31.12.2047</t>
  </si>
  <si>
    <t>Инвестиционная программа № 96 от 20.05.2024 ООО "Тепло Людям.Кандалакша" в сфере теплоснабжения по модернизации и строительству котельной, на территории муниципального округа город Мончегорск на 2024-2047 годы</t>
  </si>
  <si>
    <t>Инвестиционная программа от 05.08.2025 ФИЛИАЛ ООО "АТОМТЕПЛОЭЛЕКТРОСЕТЬ" В Г. ПОЛЯРНЫЕ ЗОРИ в сфере теплоснабжения по модернизации тепловых сетей, на территории муниципального округа город Полярные Зори на 2026-2028 годы</t>
  </si>
  <si>
    <t>Инвестиционная программа от 07.12.2021 АО "Ковдорский ГОК" в сфере теплоснабжения в отношении тепловой сети на 2022-2030 годы</t>
  </si>
  <si>
    <t>31.12.2030</t>
  </si>
  <si>
    <t>Инвестиционная программа от 07.12.2021 АО "Ковдорский ГОК" в сфере теплоснабжения по модернизации и реконструкции тепловых сетей, на территории муниципального округа Ковдорский на 2021-2030 годы</t>
  </si>
  <si>
    <t>07.12.2021</t>
  </si>
  <si>
    <t>Инвестиционная программа от 10.08.2021 АО "ХТК" в сфере теплоснабжения по строительству, реконструкции и модернизации тепловых сетей, на территории муниципального округа город Кировск на 2022-2026 годы</t>
  </si>
  <si>
    <t>10.01.2022</t>
  </si>
  <si>
    <t>Инвестиционная программа от 13.03.2025 ООО "ПВС" в сфере теплоснабжения по реконструкции объектов на 2025-2033 годы</t>
  </si>
  <si>
    <t>13.03.2025</t>
  </si>
  <si>
    <t>31.12.2033</t>
  </si>
  <si>
    <t>Инвестиционная программа от 16.12.2025 ООО "ИТЭ" в сфере теплоснабжения по модернизации и реконструкции объектов на 2026-2035 годы</t>
  </si>
  <si>
    <t>31.12.2035</t>
  </si>
  <si>
    <t>Инвестиционная программа от 16.12.2025 ООО "ИТЭ" в сфере теплоснабжения по модернизации и реконструкции объектов, на территории городского округа город-герой Мурманск на 2026-2035 годы</t>
  </si>
  <si>
    <t>Инвестиционная программа от 20.11.2020 АО "Мурманэнергосбыт" в сфере теплоснабжения по строительству, реконструкции и модернизации объектов на 2021 год</t>
  </si>
  <si>
    <t>Инвестиционная программа от 29.06.2022 Акционерное общество "Апатитыэнерго" в сфере теплоснабжения по модернизации систем теплоснабжения, на территории муниципального округа город Апатиты на 2023-2027 годы</t>
  </si>
  <si>
    <t>Инвестиционная программа от 30.10.2020 АО "ОТС" в сфере теплоснабжения по модернизации и реконструкции системы инженерной инфраструктуры, на территории муниципального округа город Оленегорск на 2022 год</t>
  </si>
  <si>
    <t>TER_NAME</t>
  </si>
  <si>
    <t>Территория 1</t>
  </si>
  <si>
    <t>Территория 2</t>
  </si>
  <si>
    <t>Территория 3</t>
  </si>
  <si>
    <t>ID_TARIFF_NAME</t>
  </si>
  <si>
    <t>TARIFF_NAME</t>
  </si>
  <si>
    <t>VED_NAME</t>
  </si>
  <si>
    <t>4190064</t>
  </si>
  <si>
    <t>4190065</t>
  </si>
  <si>
    <t>4190066</t>
  </si>
  <si>
    <t>4190067</t>
  </si>
  <si>
    <t>4190068</t>
  </si>
  <si>
    <t>4190069</t>
  </si>
  <si>
    <t>4190070</t>
  </si>
  <si>
    <t>4190071</t>
  </si>
  <si>
    <t>4190072</t>
  </si>
  <si>
    <t>4190073</t>
  </si>
  <si>
    <t>ID</t>
  </si>
  <si>
    <t>LINK_NAME</t>
  </si>
  <si>
    <t>https://portal.eias.ru/Portal/DownloadPage.aspx?type=12&amp;guid=????????-????-????-????-????????????</t>
  </si>
  <si>
    <t>ALL</t>
  </si>
  <si>
    <t>https://eias.fstrf.ru/disclo/get_file?p_guid=????????-????-????-????-????????????</t>
  </si>
  <si>
    <t>Форма</t>
  </si>
  <si>
    <t>Листы</t>
  </si>
  <si>
    <t>optOrganization</t>
  </si>
  <si>
    <t>optROiV</t>
  </si>
  <si>
    <t>optHEAT</t>
  </si>
  <si>
    <t>optCOLDVSNA</t>
  </si>
  <si>
    <t>optVOTV</t>
  </si>
  <si>
    <t>optHOTVSNA</t>
  </si>
  <si>
    <t>optTKO</t>
  </si>
  <si>
    <t>optORG</t>
  </si>
  <si>
    <t>optPRICE</t>
  </si>
  <si>
    <t>optBALANCE</t>
  </si>
  <si>
    <t>optQUARTER</t>
  </si>
  <si>
    <t>optINVEST</t>
  </si>
  <si>
    <t>optTERMS</t>
  </si>
  <si>
    <t>optREQUEST</t>
  </si>
  <si>
    <t>modSave</t>
  </si>
  <si>
    <t>Расчетные листы</t>
  </si>
  <si>
    <t>Скрытые листы</t>
  </si>
  <si>
    <t>Instruction</t>
  </si>
  <si>
    <t>DATA_FORMS</t>
  </si>
  <si>
    <t>modUpdTemplLogger</t>
  </si>
  <si>
    <t>DATA_NPA</t>
  </si>
  <si>
    <t>TITLE</t>
  </si>
  <si>
    <t>TEHSHEET</t>
  </si>
  <si>
    <t>TERRITORY</t>
  </si>
  <si>
    <t>TSH_et_union_hor</t>
  </si>
  <si>
    <t>DIFFERENTIATION</t>
  </si>
  <si>
    <t>modP_T_TERMS</t>
  </si>
  <si>
    <t>DIFFERENTIATION_TARIFF</t>
  </si>
  <si>
    <t>modMainProcedures</t>
  </si>
  <si>
    <t>DIFFERENTIATION_TKO</t>
  </si>
  <si>
    <t>modB_FHD</t>
  </si>
  <si>
    <t>ORG_INFO</t>
  </si>
  <si>
    <t>modB_FHD20</t>
  </si>
  <si>
    <t>ORG_VD</t>
  </si>
  <si>
    <t>modB_KNE</t>
  </si>
  <si>
    <t>ORG_VD_TKO</t>
  </si>
  <si>
    <t>modIP_MAIN</t>
  </si>
  <si>
    <t>ORG_TERRITORY</t>
  </si>
  <si>
    <t>modIP_QRE</t>
  </si>
  <si>
    <t>P_T_TERMS</t>
  </si>
  <si>
    <t>modIP_DETAILED</t>
  </si>
  <si>
    <t>TARIFF_A</t>
  </si>
  <si>
    <t>TSH_et_union_vert</t>
  </si>
  <si>
    <t>TARIFF_B</t>
  </si>
  <si>
    <t>modROIV</t>
  </si>
  <si>
    <t>TARIFF_F</t>
  </si>
  <si>
    <t>modDIFFERENTIATION_TKO</t>
  </si>
  <si>
    <t>TARIFF_C</t>
  </si>
  <si>
    <t>modTARIFF_HEAT</t>
  </si>
  <si>
    <t>TARIFF_E1</t>
  </si>
  <si>
    <t>modTARIFF_COLDVSNA</t>
  </si>
  <si>
    <t>TARIFF_E2</t>
  </si>
  <si>
    <t>modIP_FIN_PLAN</t>
  </si>
  <si>
    <t>TARIFF_D</t>
  </si>
  <si>
    <t>REESTR_IP</t>
  </si>
  <si>
    <t>TARIFF_G</t>
  </si>
  <si>
    <t>modfrmListIP</t>
  </si>
  <si>
    <t>Лист5</t>
  </si>
  <si>
    <t>modfrmActivity</t>
  </si>
  <si>
    <t>Лист6</t>
  </si>
  <si>
    <t>REESTR_DS</t>
  </si>
  <si>
    <t>Лист7</t>
  </si>
  <si>
    <t>REESTR_VED</t>
  </si>
  <si>
    <t>Лист14</t>
  </si>
  <si>
    <t>TSH_REESTR_MO</t>
  </si>
  <si>
    <t>P_PROCEDURE_TC</t>
  </si>
  <si>
    <t>TSH_REESTR_MO_FILTER</t>
  </si>
  <si>
    <t>R_B_Purch</t>
  </si>
  <si>
    <t>REESTR_LINK</t>
  </si>
  <si>
    <t>Q_PH</t>
  </si>
  <si>
    <t>modDIFFERENTIATION_TARIFF</t>
  </si>
  <si>
    <t>Q_TP</t>
  </si>
  <si>
    <t>modDIFFERENTIATION</t>
  </si>
  <si>
    <t>Q_LIMIT</t>
  </si>
  <si>
    <t>modTERRITORY</t>
  </si>
  <si>
    <t>R_Offer</t>
  </si>
  <si>
    <t>modQ_PH</t>
  </si>
  <si>
    <t>TARIFF_A_COLDVSNA</t>
  </si>
  <si>
    <t>modORG_INFO</t>
  </si>
  <si>
    <t>TARIFF_B_COLDVSNA</t>
  </si>
  <si>
    <t>modORG_VD</t>
  </si>
  <si>
    <t>TARIFF_C_COLDVSNA</t>
  </si>
  <si>
    <t>modORG_TERRITORY</t>
  </si>
  <si>
    <t>TARIFF_D_COLDVSNA</t>
  </si>
  <si>
    <t>modfrmSelectTerritory</t>
  </si>
  <si>
    <t>TARIFF_E_COLDVSNA</t>
  </si>
  <si>
    <t>modQ_TP</t>
  </si>
  <si>
    <t>B_FHD</t>
  </si>
  <si>
    <t>modQ_LIMIT</t>
  </si>
  <si>
    <t>B_FHD20</t>
  </si>
  <si>
    <t>modListTempFilter</t>
  </si>
  <si>
    <t>B_FHD_TKO</t>
  </si>
  <si>
    <t>modCheckCyan</t>
  </si>
  <si>
    <t>B_FHD_TKO_TRANS</t>
  </si>
  <si>
    <t>modHTTP</t>
  </si>
  <si>
    <t>B_KNE</t>
  </si>
  <si>
    <t>modfrmRezimChoose</t>
  </si>
  <si>
    <t>IP_MAIN</t>
  </si>
  <si>
    <t>modSheetMain</t>
  </si>
  <si>
    <t>IP_DETAILED</t>
  </si>
  <si>
    <t>REESTR_VT</t>
  </si>
  <si>
    <t>IP_FIN_PLAN</t>
  </si>
  <si>
    <t>modfrmReportMode</t>
  </si>
  <si>
    <t>IP_QRE</t>
  </si>
  <si>
    <t>modfrmReestrObj</t>
  </si>
  <si>
    <t>TARIFF_A_HOTVSNA</t>
  </si>
  <si>
    <t>AllSheetsInThisWorkbook</t>
  </si>
  <si>
    <t>TARIFF_B_HOTVSNA</t>
  </si>
  <si>
    <t>modInstruction</t>
  </si>
  <si>
    <t>TARIFF_C_HOTVSNA</t>
  </si>
  <si>
    <t>modRegion</t>
  </si>
  <si>
    <t>TARIFF_A_VOTV</t>
  </si>
  <si>
    <t>modReestr</t>
  </si>
  <si>
    <t>TARIFF_B_VOTV</t>
  </si>
  <si>
    <t>modfrmReestr</t>
  </si>
  <si>
    <t>TARIFF_C_VOTV</t>
  </si>
  <si>
    <t>modUpdTemplMain</t>
  </si>
  <si>
    <t>ED</t>
  </si>
  <si>
    <t>TSH_REESTR_ORG</t>
  </si>
  <si>
    <t>CHANGE_INFO</t>
  </si>
  <si>
    <t>modClassifierValidate</t>
  </si>
  <si>
    <t>ListComm</t>
  </si>
  <si>
    <t>modCHECK</t>
  </si>
  <si>
    <t>CHECK</t>
  </si>
  <si>
    <t>modHyp</t>
  </si>
  <si>
    <t>ROIV_INFO</t>
  </si>
  <si>
    <t>modServiceModule</t>
  </si>
  <si>
    <t>ROIV_ORG</t>
  </si>
  <si>
    <t>modInfo</t>
  </si>
  <si>
    <t>ROIV_CASE</t>
  </si>
  <si>
    <t>modTITLE</t>
  </si>
  <si>
    <t>ROIV_OTV</t>
  </si>
  <si>
    <t>modList02</t>
  </si>
  <si>
    <t>Лист1</t>
  </si>
  <si>
    <t>modED</t>
  </si>
  <si>
    <t>modList05</t>
  </si>
  <si>
    <t>modList06</t>
  </si>
  <si>
    <t>modCHANGE_INFO</t>
  </si>
  <si>
    <t>modList11</t>
  </si>
  <si>
    <t>modList12</t>
  </si>
  <si>
    <t>modfrmDateChoose</t>
  </si>
  <si>
    <t>modComm</t>
  </si>
  <si>
    <t>modThisWorkbook</t>
  </si>
  <si>
    <t>modfrmReestrMR</t>
  </si>
  <si>
    <t>modfrmCheckUpdates</t>
  </si>
  <si>
    <t>Титульный</t>
  </si>
  <si>
    <t>Для выбора того или иного источника публикации выполните двойной щелчок по синей ячейке напротив соответствующего источника._x000D_
ВНИМАНИЕ! Если Вы снимаете галочку с пункта, то будут скрыты и очищены соответствующие строки на листе "Форма 1.0.2"!_x000D_
_x000D_
Опубликование перечисленных в шаблоне показателей на сайте организации в сети Интернет и в печатных изданиях не обязательно, если данный шаблон предоставлен по системе ЕИАС (региональный сегмент).</t>
  </si>
  <si>
    <t>Обязательное опубликование на официальном сайте органа исполнительной власти субъекта Российской Федерации в области государственного регулирования цен (тарифов), и (или) на официальном сайте органа местного самоуправления поселения или городского округа в случае их наделения в соответствии с законом субъекта Российской Федерации полномочиями по государственному регулированию цен (тарифов)предусмотрено пунктом 3 (а) постановления Правительства №6 от 17.01.2013г.</t>
  </si>
  <si>
    <t>Задайте период регулирования, выбрав даты начала и окончания периода регулирования из календаря (иконка справа от указанной ячейки), либо введите дату непосредственно в ячейку в формате - 'ДД.ММ.ГГГГ'</t>
  </si>
  <si>
    <t>Шаблон заполняется раздельно по каждому виду тарифа</t>
  </si>
  <si>
    <t>В зависимости от указанного вида деятельности будут доступны для заполнения поля 'Производство', 'Передача' и 'Сбыт'</t>
  </si>
  <si>
    <t>Если выбрано 'да', на листах с разбивкой по потребителям доступны для заполнения графы для двухставочного ставочного тарифа по группам потребителей</t>
  </si>
  <si>
    <t>Если выбрано 'да', значения тарифов для групп потребителей на листах с разбивкой по потребителям заполнятся автоматически значениями первой группы</t>
  </si>
  <si>
    <t>Если выбрано значение «да» - в шаблоне будет сформирован лист «Форма 1.0.2» для уведомления органа регулирования о публикации информации в печатных изданиях</t>
  </si>
  <si>
    <t xml:space="preserve">По умолчанию установлено значение «первичное раскрытие информации» Это означает, что информация раскрывается в соответствии с установленными сроком и периодичностью. В случае если в уже отправленном шаблоне обнаружена ошибка или произошло изменение информации, исправленный шаблон необходимо отправить с типом отчета «изменения в раскрытой ранее информации». </t>
  </si>
  <si>
    <t>Укажите является ли данное юридическое лицо подразделением(филиалом) другой организации</t>
  </si>
  <si>
    <t>Ссылки на публикации</t>
  </si>
  <si>
    <t>Вводите адрес сайта, не нарушая цвет ячейки /если копируете гиперссылку из браузера, то выполните двойной щелчок по ячейке и только после этого можете вставить скопированный элемент/</t>
  </si>
  <si>
    <t>Обосновывающие материалы необходимо загружать с помощью "ЕИАС Мониторинг". Ссылка на инструкцию по загрузке обосновывающих материалов расположена на листе 'Инструкция' в п.'Методология заполнения'._x000D_
_x000D_
Ввводите ссылку, не нарушая цвет ячейки /если копируете гиперссылку из браузера, то выполните двойной щелчок по ячейке и только после этого можете вставить скопированный элемент/.</t>
  </si>
  <si>
    <t>Если для какого-либо пункта графы 'Наименование источника (сайта или печатного издания)' информация не раскрывалась, то в соответствующем поле укажите - 'не раскрывалась'</t>
  </si>
  <si>
    <t>Список МО</t>
  </si>
  <si>
    <t>В случае, если тариф не дифференцируется по системам теплоснабжения, перечислите все муниципальные районы, в которых организация осуществляет услуги теплоснабжения и сфере оказания услуг по передаче тепловой энергии</t>
  </si>
  <si>
    <t>В случае, если тариф не дифференцируется по системам теплоснабжения, перечислите все муниципальные образования, в которых организация осуществляет услуги теплоснабжения и сфере оказания услуг по передаче тепловой энергии</t>
  </si>
  <si>
    <t>Признак дифференциации тарифа</t>
  </si>
  <si>
    <t>В случае, если тариф не дифференцируется по системам теплоснабжения, укажите "1"._x000D_
Введите значение от 1 до 100, чтобы указать очередной условный порядковый номер системы теплоснабжения</t>
  </si>
  <si>
    <t>Стандарты</t>
  </si>
  <si>
    <t>В качестве примечания Вы можете указать единицу измерения</t>
  </si>
  <si>
    <t>Для корректного формирования Таблицы 25 Формы 1.10 необходимо задать разбивку по диаметрам и способу прокладки тепловых сетей</t>
  </si>
  <si>
    <t>Перечень тарифов</t>
  </si>
  <si>
    <t>Укажите «Да» в поле «Да/Нет», если дифференциация используется._x000D_
В поле «Описание» указывается наименование территории действия тарифа при наличии дифференциации тарифа по территориальному признаку._x000D_
В случае дифференциации тарифов по территориальному признаку информация по ним указывается в отдельных строках.</t>
  </si>
  <si>
    <t>Признаки дифференциации указываются в соответствии с п.6 ст.32 ФЗ РФ от 07.12.2011 №416-ФЗ</t>
  </si>
  <si>
    <t>Укажите «Да» в поле «Да/Нет», если дифференциация используется. В поле «Описание» укажите название ЦС ГВС или любое другое описание</t>
  </si>
  <si>
    <t>Территории</t>
  </si>
  <si>
    <t>Наименование территории действия тарифа для целей идентификации</t>
  </si>
  <si>
    <t>Муниципальные районы и муниципальные образования, на территории которых действует тариф</t>
  </si>
  <si>
    <t>Инструкция</t>
  </si>
  <si>
    <t>Нет доступных обновлений, версия отчёта актуальна</t>
  </si>
</sst>
</file>

<file path=xl/styles.xml><?xml version="1.0" encoding="utf-8"?>
<styleSheet xmlns="http://schemas.openxmlformats.org/spreadsheetml/2006/main" xmlns:mc="http://schemas.openxmlformats.org/markup-compatibility/2006" xmlns:x14ac="http://schemas.microsoft.com/office/spreadsheetml/2009/9/ac" mc:Ignorable="x14ac">
  <numFmts count="11">
    <numFmt numFmtId="204" formatCode="_-* #,##0.00\ _₽_-;\-* #,##0.00\ _₽_-;_-* &quot;-&quot;??\ _₽_-;_-@_-"/>
    <numFmt numFmtId="205" formatCode="_-* #,##0\ _₽_-;\-* #,##0\ _₽_-;_-* &quot;-&quot;\ _₽_-;_-@_-"/>
    <numFmt numFmtId="206" formatCode="_-* #,##0.00\ &quot;₽&quot;_-;\-* #,##0.00\ &quot;₽&quot;_-;_-* &quot;-&quot;??\ &quot;₽&quot;_-;_-@_-"/>
    <numFmt numFmtId="207" formatCode="_-* #,##0\ &quot;₽&quot;_-;\-* #,##0\ &quot;₽&quot;_-;_-* &quot;-&quot;\ &quot;₽&quot;_-;_-@_-"/>
    <numFmt numFmtId="208" formatCode="_-* #,##0.00[$€-1]_-;\-* #,##0.00[$€-1]_-;_-* &quot;-&quot;??[$€-1]_-"/>
    <numFmt numFmtId="209" formatCode="#,##0.0"/>
    <numFmt numFmtId="210" formatCode="#,##0.000"/>
    <numFmt numFmtId="211" formatCode="#,##0.0000"/>
    <numFmt numFmtId="212" formatCode="dd\.mm\.yyyy"/>
    <numFmt numFmtId="213" formatCode="000000"/>
    <numFmt numFmtId="214" formatCode="h:mm;@"/>
  </numFmts>
  <fonts count="128">
    <font>
      <sz val="9"/>
      <color rgb="FF000000"/>
      <name val="Tahoma"/>
    </font>
    <font>
      <sz val="11"/>
      <color theme="1"/>
      <name val="Calibri"/>
      <scheme val="minor"/>
    </font>
    <font>
      <sz val="11"/>
      <color theme="0"/>
      <name val="Calibri"/>
      <scheme val="minor"/>
    </font>
    <font>
      <sz val="11"/>
      <color rgb="FF9C0006"/>
      <name val="Calibri"/>
      <scheme val="minor"/>
    </font>
    <font>
      <b/>
      <sz val="11"/>
      <color rgb="FFFA7D00"/>
      <name val="Calibri"/>
      <scheme val="minor"/>
    </font>
    <font>
      <b/>
      <sz val="11"/>
      <color theme="0"/>
      <name val="Calibri"/>
      <scheme val="minor"/>
    </font>
    <font>
      <sz val="11"/>
      <color indexed="0"/>
      <name val="Calibri"/>
      <family val="2"/>
    </font>
    <font>
      <i/>
      <sz val="11"/>
      <color rgb="FF7F7F7F"/>
      <name val="Calibri"/>
      <scheme val="minor"/>
    </font>
    <font>
      <sz val="11"/>
      <color rgb="FF006100"/>
      <name val="Calibri"/>
      <scheme val="minor"/>
    </font>
    <font>
      <b/>
      <sz val="15"/>
      <color theme="3"/>
      <name val="Calibri"/>
      <scheme val="minor"/>
    </font>
    <font>
      <b/>
      <sz val="13"/>
      <color theme="3"/>
      <name val="Calibri"/>
      <scheme val="minor"/>
    </font>
    <font>
      <b/>
      <sz val="11"/>
      <color theme="3"/>
      <name val="Calibri"/>
      <scheme val="minor"/>
    </font>
    <font>
      <sz val="11"/>
      <color rgb="FF3F3F76"/>
      <name val="Calibri"/>
      <scheme val="minor"/>
    </font>
    <font>
      <sz val="11"/>
      <color rgb="FFFA7D00"/>
      <name val="Calibri"/>
      <scheme val="minor"/>
    </font>
    <font>
      <sz val="11"/>
      <color rgb="FF9C5700"/>
      <name val="Calibri"/>
      <scheme val="minor"/>
    </font>
    <font>
      <sz val="12"/>
      <color auto="1"/>
      <name val="Arial"/>
    </font>
    <font>
      <b/>
      <sz val="11"/>
      <color rgb="FF3F3F3F"/>
      <name val="Calibri"/>
      <scheme val="minor"/>
    </font>
    <font>
      <sz val="18"/>
      <color theme="3"/>
      <name val="Cambria"/>
      <scheme val="major"/>
    </font>
    <font>
      <b/>
      <sz val="11"/>
      <color theme="1"/>
      <name val="Calibri"/>
      <scheme val="minor"/>
    </font>
    <font>
      <sz val="11"/>
      <color rgb="FFFF0000"/>
      <name val="Calibri"/>
      <scheme val="minor"/>
    </font>
    <font>
      <sz val="10"/>
      <color auto="1"/>
      <name val="Helv"/>
    </font>
    <font>
      <sz val="8"/>
      <color auto="1"/>
      <name val="Arial"/>
    </font>
    <font>
      <sz val="9"/>
      <color auto="1"/>
      <name val="Tahoma"/>
    </font>
    <font>
      <sz val="8"/>
      <color auto="1"/>
      <name val="Palatino"/>
    </font>
    <font>
      <u/>
      <sz val="10"/>
      <color rgb="FF800080"/>
      <name val="Arial Cyr"/>
    </font>
    <font>
      <u/>
      <sz val="10"/>
      <color rgb="FF0000FF"/>
      <name val="Arial Cyr"/>
    </font>
    <font>
      <sz val="8"/>
      <color auto="1"/>
      <name val="Helv"/>
    </font>
    <font>
      <u/>
      <sz val="9"/>
      <color theme="10"/>
      <name val="Tahoma"/>
    </font>
    <font>
      <sz val="10"/>
      <color auto="1"/>
      <name val="Arial"/>
    </font>
    <font>
      <sz val="10"/>
      <color auto="1"/>
      <name val="Arial Cyr"/>
    </font>
    <font>
      <u/>
      <sz val="9"/>
      <color theme="11"/>
      <name val="Tahoma"/>
    </font>
    <font>
      <sz val="9"/>
      <color rgb="FFFFFFFF"/>
      <name val="Tahoma"/>
    </font>
    <font>
      <sz val="9"/>
      <color rgb="FFCC0000"/>
      <name val="Tahoma"/>
    </font>
    <font>
      <sz val="16"/>
      <color auto="1"/>
      <name val="Tahoma"/>
    </font>
    <font>
      <sz val="16"/>
      <color rgb="FFFFFFFF"/>
      <name val="Tahoma"/>
    </font>
    <font>
      <sz val="9"/>
      <color rgb="FFBCBCBC"/>
      <name val="Tahoma"/>
    </font>
    <font>
      <sz val="11"/>
      <color rgb="FFBCBCBC"/>
      <name val="Wingdings 2"/>
    </font>
    <font>
      <b/>
      <u/>
      <sz val="9"/>
      <color auto="1"/>
      <name val="Tahoma"/>
    </font>
    <font>
      <sz val="11"/>
      <color auto="1"/>
      <name val="Webdings2"/>
    </font>
    <font>
      <sz val="9"/>
      <color rgb="FF000080"/>
      <name val="Tahoma"/>
    </font>
    <font>
      <b/>
      <sz val="11"/>
      <color rgb="FF000000"/>
      <name val="Calibri"/>
    </font>
    <font>
      <sz val="11"/>
      <color auto="1"/>
      <name val="Wingdings 2"/>
    </font>
    <font>
      <b/>
      <sz val="9"/>
      <color rgb="FFFFFFFF"/>
      <name val="Tahoma"/>
    </font>
    <font>
      <b/>
      <u/>
      <sz val="9"/>
      <color rgb="FF000080"/>
      <name val="Tahoma"/>
    </font>
    <font>
      <sz val="8"/>
      <color auto="1"/>
      <name val="Tahoma"/>
    </font>
    <font>
      <sz val="10"/>
      <color auto="1"/>
      <name val="Tahoma"/>
    </font>
    <font>
      <sz val="9"/>
      <color theme="0"/>
      <name val="Tahoma"/>
    </font>
    <font>
      <sz val="1"/>
      <color theme="0"/>
      <name val="Tahoma"/>
    </font>
    <font>
      <b/>
      <sz val="1"/>
      <color theme="0"/>
      <name val="Calibri"/>
    </font>
    <font>
      <b/>
      <sz val="9"/>
      <color auto="1"/>
      <name val="Tahoma"/>
    </font>
    <font>
      <sz val="8"/>
      <color rgb="FFBCBCBC"/>
      <name val="Tahoma"/>
    </font>
    <font>
      <sz val="12"/>
      <color rgb="FF000000"/>
      <name val="Tahoma"/>
    </font>
    <font>
      <sz val="11"/>
      <color rgb="FF000000"/>
      <name val="Calibri"/>
    </font>
    <font>
      <u/>
      <sz val="9"/>
      <color rgb="FF333399"/>
      <name val="Tahoma"/>
    </font>
    <font>
      <sz val="9"/>
      <color rgb="FFFF0000"/>
      <name val="Tahoma"/>
    </font>
    <font>
      <sz val="5"/>
      <color rgb="FFFF0000"/>
      <name val="Tahoma"/>
    </font>
    <font>
      <sz val="11"/>
      <color theme="0"/>
      <name val="Wingdings 2"/>
    </font>
    <font>
      <sz val="5"/>
      <color theme="0"/>
      <name val="Tahoma"/>
    </font>
    <font>
      <sz val="3"/>
      <color rgb="FFFFFFFF"/>
      <name val="Tahoma"/>
    </font>
    <font>
      <sz val="3"/>
      <color rgb="FFCC0000"/>
      <name val="Tahoma"/>
    </font>
    <font>
      <sz val="3"/>
      <color auto="1"/>
      <name val="Tahoma"/>
    </font>
    <font>
      <sz val="3"/>
      <color rgb="FF000000"/>
      <name val="Tahoma"/>
    </font>
    <font>
      <sz val="3"/>
      <color rgb="FF993300"/>
      <name val="Tahoma"/>
    </font>
    <font>
      <sz val="1"/>
      <color rgb="FFFFFFFF"/>
      <name val="Tahoma"/>
    </font>
    <font>
      <sz val="18"/>
      <color auto="1"/>
      <name val="Tahoma"/>
    </font>
    <font>
      <sz val="18"/>
      <color rgb="FF000000"/>
      <name val="Tahoma"/>
    </font>
    <font>
      <sz val="11"/>
      <color rgb="FF000000"/>
      <name val="Tahoma"/>
    </font>
    <font>
      <sz val="1"/>
      <color rgb="FF000000"/>
      <name val="Tahoma"/>
    </font>
    <font>
      <sz val="15"/>
      <color rgb="FF000000"/>
      <name val="Tahoma"/>
    </font>
    <font>
      <sz val="11"/>
      <color theme="0"/>
      <name val="Webdings2"/>
    </font>
    <font>
      <u/>
      <sz val="1"/>
      <color rgb="FF333399"/>
      <name val="Tahoma"/>
    </font>
    <font>
      <sz val="15"/>
      <color auto="1"/>
      <name val="Tahoma"/>
    </font>
    <font>
      <sz val="1"/>
      <color auto="1"/>
      <name val="Tahoma"/>
    </font>
    <font>
      <b/>
      <sz val="9"/>
      <color rgb="FF000080"/>
      <name val="Tahoma"/>
    </font>
    <font>
      <sz val="12"/>
      <color theme="0"/>
      <name val="Tahoma"/>
    </font>
    <font>
      <sz val="9"/>
      <color theme="1"/>
      <name val="Tahoma"/>
    </font>
    <font>
      <sz val="9"/>
      <color rgb="FF0066CC"/>
      <name val="Tahoma"/>
    </font>
    <font>
      <b/>
      <sz val="10"/>
      <color theme="1"/>
      <name val="Tahoma"/>
    </font>
    <font>
      <sz val="10"/>
      <color theme="1"/>
      <name val="Tahoma"/>
    </font>
    <font>
      <sz val="3"/>
      <color rgb="FFBCBCBC"/>
      <name val="Tahoma"/>
    </font>
    <font>
      <sz val="1"/>
      <color rgb="FFBCBCBC"/>
      <name val="Tahoma"/>
    </font>
    <font>
      <sz val="12"/>
      <color auto="1"/>
      <name val="Marlett"/>
    </font>
    <font>
      <sz val="9"/>
      <color rgb="FFBCBCBC"/>
      <name val="Wingdings 2"/>
    </font>
    <font>
      <sz val="12"/>
      <color auto="1"/>
      <name val="Tahoma"/>
    </font>
    <font>
      <sz val="15"/>
      <color theme="0"/>
      <name val="Tahoma"/>
    </font>
    <font>
      <sz val="1"/>
      <color rgb="FFFF0000"/>
      <name val="Tahoma"/>
    </font>
    <font>
      <b/>
      <sz val="11"/>
      <color theme="0"/>
      <name val="Calibri"/>
    </font>
    <font>
      <sz val="11"/>
      <color theme="0"/>
      <name val="Tahoma"/>
    </font>
    <font>
      <sz val="3"/>
      <color theme="0"/>
      <name val="Tahoma"/>
    </font>
    <font>
      <b/>
      <sz val="3"/>
      <color auto="1"/>
      <name val="Tahoma"/>
    </font>
    <font>
      <b/>
      <sz val="9"/>
      <color rgb="FF0070C0"/>
      <name val="Tahoma"/>
    </font>
    <font>
      <sz val="7"/>
      <color auto="1"/>
      <name val="Tahoma"/>
    </font>
    <font>
      <sz val="7"/>
      <color rgb="FFFFFFFF"/>
      <name val="Tahoma"/>
    </font>
    <font>
      <sz val="7"/>
      <color theme="0" tint="-0.5"/>
      <name val="Tahoma"/>
    </font>
    <font>
      <sz val="8"/>
      <color theme="0"/>
      <name val="Tahoma"/>
    </font>
    <font>
      <sz val="7"/>
      <color rgb="FF000000"/>
      <name val="Tahoma"/>
    </font>
    <font>
      <b/>
      <sz val="9"/>
      <color theme="0"/>
      <name val="Tahoma"/>
    </font>
    <font>
      <b/>
      <sz val="1"/>
      <color theme="0"/>
      <name val="Tahoma"/>
    </font>
    <font>
      <sz val="19"/>
      <color theme="0"/>
      <name val="Tahoma"/>
    </font>
    <font>
      <sz val="8"/>
      <color rgb="FFFFFFFF"/>
      <name val="Tahoma"/>
    </font>
    <font>
      <b/>
      <sz val="1"/>
      <color auto="1"/>
      <name val="Tahoma"/>
    </font>
    <font>
      <b/>
      <sz val="1"/>
      <color rgb="FF000080"/>
      <name val="Tahoma"/>
    </font>
    <font>
      <b/>
      <sz val="10"/>
      <color auto="1"/>
      <name val="Tahoma"/>
    </font>
    <font>
      <b/>
      <sz val="9"/>
      <color rgb="FF000000"/>
      <name val="Tahoma"/>
    </font>
    <font>
      <sz val="10"/>
      <color rgb="FF000000"/>
      <name val="Arial"/>
    </font>
    <font>
      <sz val="8"/>
      <color rgb="FF000080"/>
      <name val="Tahoma"/>
    </font>
    <font>
      <sz val="1"/>
      <color auto="1"/>
      <name val="Webdings2"/>
    </font>
    <font>
      <sz val="1"/>
      <color theme="0"/>
      <name val="Webdings2"/>
    </font>
    <font>
      <b/>
      <sz val="9"/>
      <color auto="1"/>
      <name val="Calibri"/>
    </font>
    <font>
      <sz val="1"/>
      <color rgb="FF000080"/>
      <name val="Tahoma"/>
    </font>
    <font>
      <sz val="9"/>
      <color theme="0"/>
      <name val="Webdings2"/>
    </font>
    <font>
      <sz val="1"/>
      <color theme="0"/>
      <name val="Wingdings 2"/>
    </font>
    <font>
      <sz val="18"/>
      <color theme="0"/>
      <name val="Tahoma"/>
    </font>
    <font>
      <sz val="9"/>
      <color auto="1"/>
      <name val="Wingdings 2"/>
    </font>
    <font>
      <sz val="9"/>
      <color rgb="FFFFFFFF"/>
      <name val="Wingdings 2"/>
    </font>
    <font>
      <b/>
      <u/>
      <sz val="11"/>
      <color rgb="FF0000FF"/>
      <name val="Tahoma"/>
    </font>
    <font>
      <sz val="11"/>
      <color rgb="FFFFFFFF"/>
      <name val="Tahoma"/>
    </font>
    <font>
      <u/>
      <sz val="20"/>
      <color rgb="FF003366"/>
      <name val="Tahoma"/>
    </font>
    <font>
      <b/>
      <sz val="10"/>
      <color rgb="FF000000"/>
      <name val="Tahoma"/>
    </font>
    <font>
      <sz val="11"/>
      <color rgb="FF000000"/>
      <name val="Marlett"/>
    </font>
    <font>
      <sz val="10"/>
      <color rgb="FF000000"/>
      <name val="Tahoma"/>
    </font>
    <font>
      <sz val="14"/>
      <color rgb="FFBCBCBC"/>
      <name val="Calibri"/>
    </font>
    <font>
      <sz val="9"/>
      <color rgb="FF333399"/>
      <name val="Tahoma"/>
    </font>
    <font>
      <b/>
      <sz val="8"/>
      <color rgb="FFC0C0C0"/>
      <name val="Wingdings 2"/>
    </font>
    <font>
      <u/>
      <sz val="9"/>
      <color rgb="FF000080"/>
      <name val="Tahoma"/>
    </font>
    <font>
      <b/>
      <sz val="8"/>
      <color theme="0"/>
      <name val="Wingdings 2"/>
    </font>
    <font>
      <b/>
      <sz val="9"/>
      <color rgb="FFCC0000"/>
      <name val="Tahoma"/>
    </font>
    <font>
      <u/>
      <sz val="9"/>
      <color auto="1"/>
      <name val="Tahoma"/>
    </font>
  </fonts>
  <fills count="58">
    <fill>
      <patternFill patternType="none"/>
    </fill>
    <fill>
      <patternFill patternType="gray125"/>
    </fill>
    <fill>
      <patternFill patternType="solid">
        <fgColor theme="4" tint="0.8"/>
      </patternFill>
    </fill>
    <fill>
      <patternFill patternType="solid">
        <fgColor theme="5" tint="0.8"/>
      </patternFill>
    </fill>
    <fill>
      <patternFill patternType="solid">
        <fgColor theme="6" tint="0.8"/>
      </patternFill>
    </fill>
    <fill>
      <patternFill patternType="solid">
        <fgColor theme="7" tint="0.8"/>
      </patternFill>
    </fill>
    <fill>
      <patternFill patternType="solid">
        <fgColor theme="8" tint="0.8"/>
      </patternFill>
    </fill>
    <fill>
      <patternFill patternType="solid">
        <fgColor theme="9" tint="0.8"/>
      </patternFill>
    </fill>
    <fill>
      <patternFill patternType="solid">
        <fgColor theme="4" tint="0.6"/>
      </patternFill>
    </fill>
    <fill>
      <patternFill patternType="solid">
        <fgColor theme="5" tint="0.6"/>
      </patternFill>
    </fill>
    <fill>
      <patternFill patternType="solid">
        <fgColor theme="6" tint="0.6"/>
      </patternFill>
    </fill>
    <fill>
      <patternFill patternType="solid">
        <fgColor theme="7" tint="0.6"/>
      </patternFill>
    </fill>
    <fill>
      <patternFill patternType="solid">
        <fgColor theme="8" tint="0.6"/>
      </patternFill>
    </fill>
    <fill>
      <patternFill patternType="solid">
        <fgColor theme="9" tint="0.6"/>
      </patternFill>
    </fill>
    <fill>
      <patternFill patternType="solid">
        <fgColor theme="4" tint="0.4"/>
      </patternFill>
    </fill>
    <fill>
      <patternFill patternType="solid">
        <fgColor theme="5" tint="0.4"/>
      </patternFill>
    </fill>
    <fill>
      <patternFill patternType="solid">
        <fgColor theme="6" tint="0.4"/>
      </patternFill>
    </fill>
    <fill>
      <patternFill patternType="solid">
        <fgColor theme="7" tint="0.4"/>
      </patternFill>
    </fill>
    <fill>
      <patternFill patternType="solid">
        <fgColor theme="8" tint="0.4"/>
      </patternFill>
    </fill>
    <fill>
      <patternFill patternType="solid">
        <fgColor theme="9" tint="0.4"/>
      </patternFill>
    </fill>
    <fill>
      <patternFill patternType="solid">
        <fgColor theme="4"/>
      </patternFill>
    </fill>
    <fill>
      <patternFill patternType="solid">
        <fgColor theme="5"/>
      </patternFill>
    </fill>
    <fill>
      <patternFill patternType="solid">
        <fgColor theme="6"/>
      </patternFill>
    </fill>
    <fill>
      <patternFill patternType="solid">
        <fgColor theme="7"/>
      </patternFill>
    </fill>
    <fill>
      <patternFill patternType="solid">
        <fgColor theme="8"/>
      </patternFill>
    </fill>
    <fill>
      <patternFill patternType="solid">
        <fgColor theme="9"/>
      </patternFill>
    </fill>
    <fill>
      <patternFill patternType="solid">
        <fgColor rgb="FFFFC7CE"/>
      </patternFill>
    </fill>
    <fill>
      <patternFill patternType="solid">
        <fgColor rgb="FFF2F2F2"/>
      </patternFill>
    </fill>
    <fill>
      <patternFill patternType="solid">
        <fgColor rgb="FFA5A5A5"/>
      </patternFill>
    </fill>
    <fill>
      <patternFill patternType="solid">
        <fgColor rgb="FFC6EFCE"/>
      </patternFill>
    </fill>
    <fill>
      <patternFill patternType="solid">
        <fgColor rgb="FFFFCC99"/>
      </patternFill>
    </fill>
    <fill>
      <patternFill patternType="solid">
        <fgColor rgb="FFFFEB9C"/>
      </patternFill>
    </fill>
    <fill>
      <patternFill patternType="solid">
        <fgColor rgb="FFFFFFCC"/>
      </patternFill>
    </fill>
    <fill>
      <patternFill patternType="solid">
        <fgColor rgb="FFFFFF99"/>
      </patternFill>
    </fill>
    <fill>
      <patternFill patternType="solid">
        <fgColor rgb="FFD7EAD3"/>
      </patternFill>
    </fill>
    <fill>
      <patternFill patternType="solid">
        <fgColor rgb="FFFFFFFF"/>
      </patternFill>
    </fill>
    <fill>
      <patternFill patternType="solid">
        <fgColor rgb="FFFFFFC0"/>
      </patternFill>
    </fill>
    <fill>
      <patternFill patternType="lightDown">
        <fgColor rgb="FFC0C0C0"/>
      </patternFill>
    </fill>
    <fill>
      <patternFill patternType="solid">
        <fgColor rgb="FFFFB7B7"/>
      </patternFill>
    </fill>
    <fill>
      <patternFill patternType="solid">
        <fgColor rgb="FFE3FAFD"/>
      </patternFill>
    </fill>
    <fill>
      <patternFill patternType="solid">
        <fgColor rgb="FFB7E4FF"/>
      </patternFill>
    </fill>
    <fill>
      <patternFill patternType="solid">
        <fgColor rgb="FFC0C0C0"/>
      </patternFill>
    </fill>
    <fill>
      <patternFill patternType="solid">
        <fgColor theme="0"/>
      </patternFill>
    </fill>
    <fill>
      <patternFill patternType="solid">
        <fgColor rgb="FF8DB4E2"/>
      </patternFill>
    </fill>
    <fill>
      <patternFill patternType="solid">
        <fgColor theme="2" tint="-0.1"/>
      </patternFill>
    </fill>
    <fill>
      <patternFill patternType="solid">
        <fgColor theme="9" tint="-0.25"/>
      </patternFill>
    </fill>
    <fill>
      <patternFill patternType="solid">
        <fgColor theme="0" tint="-0.15"/>
      </patternFill>
    </fill>
    <fill>
      <patternFill patternType="solid">
        <fgColor rgb="FF0066CC"/>
      </patternFill>
    </fill>
    <fill>
      <patternFill patternType="solid">
        <fgColor rgb="FFFFFF00"/>
      </patternFill>
    </fill>
    <fill>
      <patternFill patternType="solid">
        <fgColor rgb="FFFF9900"/>
      </patternFill>
    </fill>
    <fill>
      <patternFill patternType="solid">
        <fgColor rgb="FF808000"/>
      </patternFill>
    </fill>
    <fill>
      <patternFill patternType="solid">
        <fgColor rgb="FFCC99FF"/>
      </patternFill>
    </fill>
    <fill>
      <patternFill patternType="lightDown">
        <fgColor rgb="FFB7E4FF"/>
        <bgColor rgb="FFFFFFFF"/>
      </patternFill>
    </fill>
    <fill>
      <patternFill patternType="solid">
        <fgColor rgb="FFD3DBDB"/>
      </patternFill>
    </fill>
    <fill>
      <patternFill patternType="solid">
        <fgColor rgb="FFCCCCFF"/>
      </patternFill>
    </fill>
    <fill>
      <patternFill patternType="solid">
        <fgColor rgb="FF00CCFF"/>
      </patternFill>
    </fill>
    <fill>
      <patternFill patternType="solid">
        <fgColor rgb="FFBCBCBC"/>
      </patternFill>
    </fill>
    <fill>
      <patternFill patternType="solid">
        <fgColor rgb="FFEAEBEE"/>
      </patternFill>
    </fill>
  </fills>
  <borders count="75">
    <border>
      <left/>
      <right/>
      <top/>
      <bottom/>
    </border>
    <border>
      <left style="thin">
        <color rgb="FF7F7F7F"/>
      </left>
      <right style="thin">
        <color rgb="FF7F7F7F"/>
      </right>
      <top style="thin">
        <color rgb="FF7F7F7F"/>
      </top>
      <bottom style="thin">
        <color rgb="FF7F7F7F"/>
      </bottom>
    </border>
    <border>
      <left style="double">
        <color rgb="FF3F3F3F"/>
      </left>
      <right style="double">
        <color rgb="FF3F3F3F"/>
      </right>
      <top style="double">
        <color rgb="FF3F3F3F"/>
      </top>
      <bottom style="double">
        <color rgb="FF3F3F3F"/>
      </bottom>
    </border>
    <border>
      <left/>
      <right/>
      <top/>
      <bottom style="thick">
        <color theme="4"/>
      </bottom>
    </border>
    <border>
      <left/>
      <right/>
      <top/>
      <bottom style="thick">
        <color theme="4" tint="0.5"/>
      </bottom>
    </border>
    <border>
      <left/>
      <right/>
      <top/>
      <bottom style="medium">
        <color theme="4" tint="0.4"/>
      </bottom>
    </border>
    <border>
      <left/>
      <right/>
      <top/>
      <bottom style="double">
        <color rgb="FFFF8001"/>
      </bottom>
    </border>
    <border>
      <left style="thin">
        <color rgb="FFB2B2B2"/>
      </left>
      <right style="thin">
        <color rgb="FFB2B2B2"/>
      </right>
      <top style="thin">
        <color rgb="FFB2B2B2"/>
      </top>
      <bottom style="thin">
        <color rgb="FFB2B2B2"/>
      </bottom>
    </border>
    <border>
      <left style="thin">
        <color rgb="FF3F3F3F"/>
      </left>
      <right style="thin">
        <color rgb="FF3F3F3F"/>
      </right>
      <top style="thin">
        <color rgb="FF3F3F3F"/>
      </top>
      <bottom style="thin">
        <color rgb="FF3F3F3F"/>
      </bottom>
    </border>
    <border>
      <left/>
      <right/>
      <top style="thin">
        <color theme="4"/>
      </top>
      <bottom style="double">
        <color theme="4"/>
      </bottom>
    </border>
    <border>
      <left style="thin">
        <color rgb="FF000000"/>
      </left>
      <right style="thin">
        <color rgb="FF000000"/>
      </right>
      <top style="thin">
        <color rgb="FF000000"/>
      </top>
      <bottom style="thin">
        <color rgb="FF000000"/>
      </bottom>
    </border>
    <border>
      <left style="thin">
        <color rgb="FFBCBCBC"/>
      </left>
      <right style="thin">
        <color rgb="FFBCBCBC"/>
      </right>
      <top style="thin">
        <color rgb="FFBCBCBC"/>
      </top>
      <bottom style="thin">
        <color rgb="FFBCBCBC"/>
      </bottom>
    </border>
    <border>
      <left style="thin">
        <color rgb="FFC0C0C0"/>
      </left>
      <right style="thin">
        <color rgb="FFC0C0C0"/>
      </right>
      <top style="thin">
        <color rgb="FFC0C0C0"/>
      </top>
      <bottom style="thin">
        <color rgb="FFC0C0C0"/>
      </bottom>
    </border>
    <border>
      <left/>
      <right style="thin">
        <color rgb="FFC0C0C0"/>
      </right>
      <top style="thin">
        <color rgb="FFC0C0C0"/>
      </top>
      <bottom style="thin">
        <color rgb="FFC0C0C0"/>
      </bottom>
    </border>
    <border>
      <left style="thin">
        <color rgb="FFC0C0C0"/>
      </left>
      <right/>
      <top style="thin">
        <color rgb="FFC0C0C0"/>
      </top>
      <bottom style="thin">
        <color rgb="FFC0C0C0"/>
      </bottom>
    </border>
    <border>
      <left/>
      <right/>
      <top style="thin">
        <color rgb="FFC0C0C0"/>
      </top>
      <bottom style="thin">
        <color rgb="FFC0C0C0"/>
      </bottom>
    </border>
    <border>
      <left style="thin">
        <color rgb="FFD3DBDB"/>
      </left>
      <right style="thin">
        <color rgb="FFD3DBDB"/>
      </right>
      <top style="thin">
        <color rgb="FFD3DBDB"/>
      </top>
      <bottom style="thin">
        <color rgb="FFD3DBDB"/>
      </bottom>
    </border>
    <border>
      <left style="thin">
        <color rgb="FFC0C0C0"/>
      </left>
      <right style="thin">
        <color rgb="FFC0C0C0"/>
      </right>
      <top style="thin">
        <color rgb="FFC0C0C0"/>
      </top>
      <bottom/>
    </border>
    <border>
      <left/>
      <right/>
      <top style="dotted">
        <color rgb="FF000000"/>
      </top>
      <bottom style="dotted">
        <color rgb="FF000000"/>
      </bottom>
    </border>
    <border>
      <left/>
      <right/>
      <top style="thin">
        <color rgb="FFC0C0C0"/>
      </top>
      <bottom/>
    </border>
    <border>
      <left/>
      <right style="thin">
        <color rgb="FFC0C0C0"/>
      </right>
      <top style="thin">
        <color rgb="FFC0C0C0"/>
      </top>
      <bottom/>
    </border>
    <border>
      <left/>
      <right/>
      <top style="thin">
        <color rgb="FFD3DBDB"/>
      </top>
      <bottom/>
    </border>
    <border>
      <left style="thin">
        <color rgb="FFC0C0C0"/>
      </left>
      <right/>
      <top/>
      <bottom/>
    </border>
    <border>
      <left style="thin">
        <color rgb="FFC0C0C0"/>
      </left>
      <right style="thin">
        <color rgb="FFC0C0C0"/>
      </right>
      <top/>
      <bottom style="thin">
        <color rgb="FFC0C0C0"/>
      </bottom>
    </border>
    <border>
      <left/>
      <right style="thin">
        <color rgb="FFC0C0C0"/>
      </right>
      <top/>
      <bottom/>
    </border>
    <border>
      <left style="thin">
        <color rgb="FFC0C0C0"/>
      </left>
      <right style="thin">
        <color rgb="FFC0C0C0"/>
      </right>
      <top style="thin">
        <color rgb="FFC0C0C0"/>
      </top>
      <bottom style="thin">
        <color rgb="FFBCBCBC"/>
      </bottom>
    </border>
    <border>
      <left style="hair">
        <color rgb="FFC0C0C0"/>
      </left>
      <right/>
      <top style="hair">
        <color rgb="FFC0C0C0"/>
      </top>
      <bottom style="hair">
        <color rgb="FFC0C0C0"/>
      </bottom>
    </border>
    <border>
      <left/>
      <right/>
      <top/>
      <bottom style="thin">
        <color rgb="FFC0C0C0"/>
      </bottom>
    </border>
    <border>
      <left style="thin">
        <color theme="0" tint="-0.25"/>
      </left>
      <right style="thin">
        <color rgb="FFC0C0C0"/>
      </right>
      <top style="thin">
        <color rgb="FFC0C0C0"/>
      </top>
      <bottom style="thin">
        <color rgb="FFC0C0C0"/>
      </bottom>
    </border>
    <border>
      <left/>
      <right style="thin">
        <color rgb="FFC0C0C0"/>
      </right>
      <top/>
      <bottom style="thin">
        <color rgb="FFC0C0C0"/>
      </bottom>
    </border>
    <border>
      <left style="thin">
        <color rgb="FFC0C0C0"/>
      </left>
      <right/>
      <top/>
      <bottom style="thin">
        <color rgb="FFC0C0C0"/>
      </bottom>
    </border>
    <border>
      <left style="thin">
        <color theme="0" tint="-0.25"/>
      </left>
      <right style="thin">
        <color theme="0" tint="-0.25"/>
      </right>
      <top style="thin">
        <color theme="0" tint="-0.25"/>
      </top>
      <bottom style="thin">
        <color theme="0" tint="-0.25"/>
      </bottom>
    </border>
    <border>
      <left style="thin">
        <color theme="0" tint="-0.25"/>
      </left>
      <right style="thin">
        <color theme="0" tint="-0.25"/>
      </right>
      <top/>
      <bottom style="thin">
        <color theme="0" tint="-0.25"/>
      </bottom>
    </border>
    <border>
      <left style="thin">
        <color theme="0" tint="-0.25"/>
      </left>
      <right/>
      <top style="thin">
        <color theme="0" tint="-0.25"/>
      </top>
      <bottom style="thin">
        <color theme="0" tint="-0.25"/>
      </bottom>
    </border>
    <border>
      <left style="thin">
        <color theme="0" tint="-0.25"/>
      </left>
      <right/>
      <top/>
      <bottom style="thin">
        <color theme="0" tint="-0.25"/>
      </bottom>
    </border>
    <border>
      <left style="thin">
        <color theme="0" tint="-0.25"/>
      </left>
      <right style="thin">
        <color theme="0" tint="-0.25"/>
      </right>
      <top style="thin">
        <color theme="0" tint="-0.25"/>
      </top>
      <bottom/>
    </border>
    <border>
      <left style="thin">
        <color rgb="FFC0C0C0"/>
      </left>
      <right style="thin">
        <color rgb="FFC0C0C0"/>
      </right>
      <top/>
      <bottom/>
    </border>
    <border>
      <left style="thin">
        <color rgb="FFC0C0C0"/>
      </left>
      <right/>
      <top style="thin">
        <color rgb="FFC0C0C0"/>
      </top>
      <bottom/>
    </border>
    <border>
      <left style="thin">
        <color rgb="FFBCBCBC"/>
      </left>
      <right/>
      <top/>
      <bottom/>
    </border>
    <border>
      <left/>
      <right/>
      <top/>
      <bottom style="thin">
        <color rgb="FFBCBCBC"/>
      </bottom>
    </border>
    <border>
      <left style="thin">
        <color theme="0" tint="-0.25"/>
      </left>
      <right style="thin">
        <color theme="0" tint="-0.25"/>
      </right>
      <top/>
      <bottom/>
    </border>
    <border>
      <left/>
      <right/>
      <top style="thin">
        <color rgb="FFBCBCBC"/>
      </top>
      <bottom style="thin">
        <color rgb="FFBCBCBC"/>
      </bottom>
    </border>
    <border>
      <left style="thin">
        <color rgb="FFC0C0C0"/>
      </left>
      <right/>
      <top style="thin">
        <color rgb="FFBCBCBC"/>
      </top>
      <bottom style="thin">
        <color rgb="FFC0C0C0"/>
      </bottom>
    </border>
    <border>
      <left/>
      <right/>
      <top style="thin">
        <color rgb="FFBCBCBC"/>
      </top>
      <bottom style="thin">
        <color rgb="FFC0C0C0"/>
      </bottom>
    </border>
    <border>
      <left/>
      <right/>
      <top style="thin">
        <color rgb="FFD3DBDB"/>
      </top>
      <bottom style="thin">
        <color rgb="FFD3DBDB"/>
      </bottom>
    </border>
    <border>
      <left style="thin">
        <color rgb="FFD3DBDB"/>
      </left>
      <right/>
      <top style="thin">
        <color rgb="FFD3DBDB"/>
      </top>
      <bottom style="thin">
        <color rgb="FFD3DBDB"/>
      </bottom>
    </border>
    <border>
      <left style="thin">
        <color theme="0" tint="-0.35"/>
      </left>
      <right style="thin">
        <color theme="0" tint="-0.35"/>
      </right>
      <top style="thin">
        <color theme="0" tint="-0.35"/>
      </top>
      <bottom style="thin">
        <color theme="0" tint="-0.35"/>
      </bottom>
    </border>
    <border>
      <left style="thin">
        <color rgb="FFBCBCBC"/>
      </left>
      <right/>
      <top style="medium">
        <color rgb="FFBCBCBC"/>
      </top>
      <bottom style="thin">
        <color rgb="FFC0C0C0"/>
      </bottom>
    </border>
    <border>
      <left style="thin">
        <color rgb="FFBCBCBC"/>
      </left>
      <right/>
      <top style="medium">
        <color rgb="FFBCBCBC"/>
      </top>
      <bottom/>
    </border>
    <border>
      <left/>
      <right/>
      <top style="medium">
        <color rgb="FFBCBCBC"/>
      </top>
      <bottom/>
    </border>
    <border>
      <left/>
      <right/>
      <top/>
      <bottom style="medium">
        <color rgb="FFC0C0C0"/>
      </bottom>
    </border>
    <border>
      <left/>
      <right/>
      <top style="thin">
        <color rgb="FFC0C0C0"/>
      </top>
      <bottom style="medium">
        <color rgb="FFC0C0C0"/>
      </bottom>
    </border>
    <border>
      <left/>
      <right style="thin">
        <color theme="0" tint="-0.25"/>
      </right>
      <top style="thin">
        <color rgb="FFC0C0C0"/>
      </top>
      <bottom style="thin">
        <color rgb="FFC0C0C0"/>
      </bottom>
    </border>
    <border>
      <left/>
      <right/>
      <top style="medium">
        <color rgb="FFBCBCBC"/>
      </top>
      <bottom style="thin">
        <color rgb="FFBCBCBC"/>
      </bottom>
    </border>
    <border>
      <left/>
      <right style="thin">
        <color rgb="FFBCBCBC"/>
      </right>
      <top style="medium">
        <color rgb="FFBCBCBC"/>
      </top>
      <bottom style="thin">
        <color rgb="FFBCBCBC"/>
      </bottom>
    </border>
    <border>
      <left/>
      <right/>
      <top style="medium">
        <color rgb="FFC0C0C0"/>
      </top>
      <bottom style="thin">
        <color rgb="FFC0C0C0"/>
      </bottom>
    </border>
    <border>
      <left style="thin">
        <color rgb="FFC0C0C0"/>
      </left>
      <right/>
      <top style="thin">
        <color rgb="FFC0C0C0"/>
      </top>
      <bottom style="medium">
        <color rgb="FFC0C0C0"/>
      </bottom>
    </border>
    <border>
      <left style="thin">
        <color theme="0" tint="-0.25"/>
      </left>
      <right style="thin">
        <color rgb="FFC0C0C0"/>
      </right>
      <top style="thin">
        <color rgb="FFC0C0C0"/>
      </top>
      <bottom/>
    </border>
    <border>
      <left style="thin">
        <color theme="0" tint="-0.25"/>
      </left>
      <right/>
      <top style="thin">
        <color rgb="FFC0C0C0"/>
      </top>
      <bottom style="thin">
        <color rgb="FFC0C0C0"/>
      </bottom>
    </border>
    <border>
      <left style="thin">
        <color theme="0" tint="-0.25"/>
      </left>
      <right/>
      <top style="thin">
        <color rgb="FFC0C0C0"/>
      </top>
      <bottom/>
    </border>
    <border>
      <left style="thin">
        <color rgb="FFBCBCBC"/>
      </left>
      <right/>
      <top style="thin">
        <color rgb="FFBCBCBC"/>
      </top>
      <bottom/>
    </border>
    <border>
      <left/>
      <right/>
      <top style="thin">
        <color rgb="FFBCBCBC"/>
      </top>
      <bottom/>
    </border>
    <border>
      <left style="thin">
        <color rgb="FFBCBCBC"/>
      </left>
      <right/>
      <top/>
      <bottom style="thin">
        <color rgb="FFBCBCBC"/>
      </bottom>
    </border>
    <border>
      <left style="thin">
        <color rgb="FF999999"/>
      </left>
      <right/>
      <top style="thin">
        <color rgb="FF999999"/>
      </top>
      <bottom style="thin">
        <color rgb="FF999999"/>
      </bottom>
    </border>
    <border>
      <left/>
      <right/>
      <top style="thin">
        <color rgb="FF999999"/>
      </top>
      <bottom style="thin">
        <color rgb="FF999999"/>
      </bottom>
    </border>
    <border>
      <left/>
      <right style="thin">
        <color rgb="FF999999"/>
      </right>
      <top style="thin">
        <color rgb="FF999999"/>
      </top>
      <bottom style="thin">
        <color rgb="FF999999"/>
      </bottom>
    </border>
    <border>
      <left/>
      <right style="thin">
        <color rgb="FFBCBCBC"/>
      </right>
      <top/>
      <bottom/>
    </border>
    <border>
      <left/>
      <right style="thin">
        <color rgb="FFBCBCBC"/>
      </right>
      <top style="thin">
        <color rgb="FFBCBCBC"/>
      </top>
      <bottom/>
    </border>
    <border>
      <left style="thin">
        <color rgb="FFC0C0C0"/>
      </left>
      <right style="thin">
        <color rgb="FFC0C0C0"/>
      </right>
      <top style="thin">
        <color rgb="FFBCBCBC"/>
      </top>
      <bottom style="thin">
        <color rgb="FFBCBCBC"/>
      </bottom>
    </border>
    <border>
      <left style="thin">
        <color rgb="FFC0C0C0"/>
      </left>
      <right/>
      <top style="thin">
        <color rgb="FFBCBCBC"/>
      </top>
      <bottom style="thin">
        <color rgb="FFBCBCBC"/>
      </bottom>
    </border>
    <border>
      <left/>
      <right style="thin">
        <color rgb="FFC0C0C0"/>
      </right>
      <top style="thin">
        <color rgb="FFBCBCBC"/>
      </top>
      <bottom style="thin">
        <color rgb="FFBCBCBC"/>
      </bottom>
    </border>
    <border>
      <left style="thin">
        <color rgb="FFBCBCBC"/>
      </left>
      <right/>
      <top style="thin">
        <color rgb="FFBCBCBC"/>
      </top>
      <bottom style="thin">
        <color rgb="FFBCBCBC"/>
      </bottom>
    </border>
    <border>
      <left/>
      <right style="thin">
        <color rgb="FFBCBCBC"/>
      </right>
      <top style="thin">
        <color rgb="FFBCBCBC"/>
      </top>
      <bottom style="thin">
        <color rgb="FFBCBCBC"/>
      </bottom>
    </border>
    <border>
      <left style="thin">
        <color rgb="FFBCBCBC"/>
      </left>
      <right/>
      <top style="thin">
        <color rgb="FFBCBCBC"/>
      </top>
      <bottom style="thin">
        <color rgb="FFC0C0C0"/>
      </bottom>
    </border>
    <border>
      <left style="thin">
        <color rgb="FFC0C0C0"/>
      </left>
      <right style="thin">
        <color rgb="FFC0C0C0"/>
      </right>
      <top style="thin">
        <color rgb="FFC0C0C0"/>
      </top>
      <bottom style="medium">
        <color rgb="FFC0C0C0"/>
      </bottom>
    </border>
  </borders>
  <cellStyleXfs count="64">
    <xf numFmtId="49" fontId="0" fillId="0" borderId="0" applyFont="1" applyFill="0" applyBorder="0" applyNumberFormat="1">
      <alignment vertical="top"/>
    </xf>
    <xf numFmtId="0" fontId="1" fillId="2" borderId="0" applyFont="1" applyFill="1" applyBorder="0">
      <alignment vertical="top"/>
    </xf>
    <xf numFmtId="0" fontId="1" fillId="3" borderId="0" applyFont="1" applyFill="1" applyBorder="0">
      <alignment vertical="top"/>
    </xf>
    <xf numFmtId="0" fontId="1" fillId="4" borderId="0" applyFont="1" applyFill="1" applyBorder="0">
      <alignment vertical="top"/>
    </xf>
    <xf numFmtId="0" fontId="1" fillId="5" borderId="0" applyFont="1" applyFill="1" applyBorder="0">
      <alignment vertical="top"/>
    </xf>
    <xf numFmtId="0" fontId="1" fillId="6" borderId="0" applyFont="1" applyFill="1" applyBorder="0">
      <alignment vertical="top"/>
    </xf>
    <xf numFmtId="0" fontId="1" fillId="7" borderId="0" applyFont="1" applyFill="1" applyBorder="0">
      <alignment vertical="top"/>
    </xf>
    <xf numFmtId="0" fontId="1" fillId="8" borderId="0" applyFont="1" applyFill="1" applyBorder="0">
      <alignment vertical="top"/>
    </xf>
    <xf numFmtId="0" fontId="1" fillId="9" borderId="0" applyFont="1" applyFill="1" applyBorder="0">
      <alignment vertical="top"/>
    </xf>
    <xf numFmtId="0" fontId="1" fillId="10" borderId="0" applyFont="1" applyFill="1" applyBorder="0">
      <alignment vertical="top"/>
    </xf>
    <xf numFmtId="0" fontId="1" fillId="11" borderId="0" applyFont="1" applyFill="1" applyBorder="0">
      <alignment vertical="top"/>
    </xf>
    <xf numFmtId="0" fontId="1" fillId="12" borderId="0" applyFont="1" applyFill="1" applyBorder="0">
      <alignment vertical="top"/>
    </xf>
    <xf numFmtId="0" fontId="1" fillId="13" borderId="0" applyFont="1" applyFill="1" applyBorder="0">
      <alignment vertical="top"/>
    </xf>
    <xf numFmtId="0" fontId="1" fillId="14" borderId="0" applyFont="1" applyFill="1" applyBorder="0">
      <alignment vertical="top"/>
    </xf>
    <xf numFmtId="0" fontId="1" fillId="15" borderId="0" applyFont="1" applyFill="1" applyBorder="0">
      <alignment vertical="top"/>
    </xf>
    <xf numFmtId="0" fontId="1" fillId="16" borderId="0" applyFont="1" applyFill="1" applyBorder="0">
      <alignment vertical="top"/>
    </xf>
    <xf numFmtId="0" fontId="1" fillId="17" borderId="0" applyFont="1" applyFill="1" applyBorder="0">
      <alignment vertical="top"/>
    </xf>
    <xf numFmtId="0" fontId="1" fillId="18" borderId="0" applyFont="1" applyFill="1" applyBorder="0">
      <alignment vertical="top"/>
    </xf>
    <xf numFmtId="0" fontId="1" fillId="19" borderId="0" applyFont="1" applyFill="1" applyBorder="0">
      <alignment vertical="top"/>
    </xf>
    <xf numFmtId="0" fontId="2" fillId="20" borderId="0" applyFont="1" applyFill="1" applyBorder="0">
      <alignment vertical="top"/>
    </xf>
    <xf numFmtId="0" fontId="2" fillId="21" borderId="0" applyFont="1" applyFill="1" applyBorder="0">
      <alignment vertical="top"/>
    </xf>
    <xf numFmtId="0" fontId="2" fillId="22" borderId="0" applyFont="1" applyFill="1" applyBorder="0">
      <alignment vertical="top"/>
    </xf>
    <xf numFmtId="0" fontId="2" fillId="23" borderId="0" applyFont="1" applyFill="1" applyBorder="0">
      <alignment vertical="top"/>
    </xf>
    <xf numFmtId="0" fontId="2" fillId="24" borderId="0" applyFont="1" applyFill="1" applyBorder="0">
      <alignment vertical="top"/>
    </xf>
    <xf numFmtId="0" fontId="2" fillId="25" borderId="0" applyFont="1" applyFill="1" applyBorder="0">
      <alignment vertical="top"/>
    </xf>
    <xf numFmtId="0" fontId="3" fillId="26" borderId="0" applyFont="1" applyFill="1" applyBorder="0">
      <alignment vertical="top"/>
    </xf>
    <xf numFmtId="0" fontId="4" fillId="27" borderId="1" applyFont="1" applyFill="1" applyBorder="1">
      <alignment vertical="top"/>
    </xf>
    <xf numFmtId="0" fontId="5" fillId="28" borderId="2" applyFont="1" applyFill="1" applyBorder="1">
      <alignment vertical="top"/>
    </xf>
    <xf numFmtId="204" fontId="6" fillId="0" borderId="0" applyFont="0" applyFill="0" applyBorder="0" applyNumberFormat="1">
      <alignment vertical="top"/>
    </xf>
    <xf numFmtId="205" fontId="6" fillId="0" borderId="0" applyFont="0" applyFill="0" applyBorder="0" applyNumberFormat="1">
      <alignment vertical="top"/>
    </xf>
    <xf numFmtId="206" fontId="6" fillId="0" borderId="0" applyFont="0" applyFill="0" applyBorder="0" applyNumberFormat="1">
      <alignment vertical="top"/>
    </xf>
    <xf numFmtId="207" fontId="6" fillId="0" borderId="0" applyFont="0" applyFill="0" applyBorder="0" applyNumberFormat="1">
      <alignment vertical="top"/>
    </xf>
    <xf numFmtId="0" fontId="7" fillId="0" borderId="0" applyFont="1" applyFill="0" applyBorder="0">
      <alignment vertical="top"/>
    </xf>
    <xf numFmtId="0" fontId="8" fillId="29" borderId="0" applyFont="1" applyFill="1" applyBorder="0">
      <alignment vertical="top"/>
    </xf>
    <xf numFmtId="0" fontId="9" fillId="0" borderId="3" applyFont="1" applyFill="0" applyBorder="1">
      <alignment vertical="top"/>
    </xf>
    <xf numFmtId="0" fontId="10" fillId="0" borderId="4" applyFont="1" applyFill="0" applyBorder="1">
      <alignment vertical="top"/>
    </xf>
    <xf numFmtId="0" fontId="11" fillId="0" borderId="5" applyFont="1" applyFill="0" applyBorder="1">
      <alignment vertical="top"/>
    </xf>
    <xf numFmtId="0" fontId="11" fillId="0" borderId="0" applyFont="1" applyFill="0" applyBorder="0">
      <alignment vertical="top"/>
    </xf>
    <xf numFmtId="0" fontId="12" fillId="30" borderId="1" applyFont="1" applyFill="1" applyBorder="1">
      <alignment vertical="top"/>
    </xf>
    <xf numFmtId="0" fontId="13" fillId="0" borderId="6" applyFont="1" applyFill="0" applyBorder="1">
      <alignment vertical="top"/>
    </xf>
    <xf numFmtId="0" fontId="14" fillId="31" borderId="0" applyFont="1" applyFill="1" applyBorder="0">
      <alignment vertical="top"/>
    </xf>
    <xf numFmtId="0" fontId="15" fillId="0" borderId="0" applyFont="1" applyFill="0" applyBorder="0">
      <alignment vertical="top"/>
    </xf>
    <xf numFmtId="0" fontId="6" fillId="32" borderId="7" applyFont="0" applyFill="1" applyBorder="1">
      <alignment vertical="top"/>
    </xf>
    <xf numFmtId="0" fontId="16" fillId="27" borderId="8" applyFont="1" applyFill="1" applyBorder="1">
      <alignment vertical="top"/>
    </xf>
    <xf numFmtId="9" fontId="6" fillId="0" borderId="0" applyFont="0" applyFill="0" applyBorder="0" applyNumberFormat="1">
      <alignment vertical="top"/>
    </xf>
    <xf numFmtId="0" fontId="17" fillId="0" borderId="0" applyFont="1" applyFill="0" applyBorder="0">
      <alignment vertical="top"/>
    </xf>
    <xf numFmtId="0" fontId="18" fillId="0" borderId="9" applyFont="1" applyFill="0" applyBorder="1">
      <alignment vertical="top"/>
    </xf>
    <xf numFmtId="0" fontId="19" fillId="0" borderId="0" applyFont="1" applyFill="0" applyBorder="0">
      <alignment vertical="top"/>
    </xf>
    <xf numFmtId="0" fontId="20" fillId="0" borderId="0" applyFont="1" applyFill="0" applyBorder="0"/>
    <xf numFmtId="208" fontId="20" fillId="0" borderId="0" applyFont="1" applyFill="0" applyBorder="0" applyNumberFormat="1"/>
    <xf numFmtId="38" fontId="21" fillId="0" borderId="0" applyFont="1" applyFill="0" applyBorder="0" applyNumberFormat="1">
      <alignment vertical="top"/>
    </xf>
    <xf numFmtId="209" fontId="22" fillId="33" borderId="0" applyFont="1" applyFill="1" applyBorder="0" applyNumberFormat="1">
      <protection locked="0"/>
    </xf>
    <xf numFmtId="0" fontId="23" fillId="0" borderId="0" applyFont="1" applyFill="0" applyBorder="0">
      <alignment vertical="center"/>
    </xf>
    <xf numFmtId="210" fontId="22" fillId="33" borderId="0" applyFont="1" applyFill="1" applyBorder="0" applyNumberFormat="1">
      <protection locked="0"/>
    </xf>
    <xf numFmtId="211" fontId="22" fillId="33" borderId="0" applyFont="1" applyFill="1" applyBorder="0" applyNumberFormat="1">
      <protection locked="0"/>
    </xf>
    <xf numFmtId="0" fontId="24" fillId="0" borderId="0" applyFont="1" applyFill="0" applyBorder="0">
      <alignment vertical="top"/>
    </xf>
    <xf numFmtId="0" fontId="25" fillId="0" borderId="0" applyFont="1" applyFill="0" applyBorder="0">
      <alignment vertical="top"/>
    </xf>
    <xf numFmtId="0" fontId="26" fillId="0" borderId="0" applyFont="1" applyFill="0" applyBorder="0"/>
    <xf numFmtId="0" fontId="27" fillId="0" borderId="0" applyFont="1" applyFill="0" applyBorder="0">
      <alignment vertical="top"/>
    </xf>
    <xf numFmtId="49" fontId="22" fillId="0" borderId="0" applyFont="1" applyFill="0" applyBorder="0" applyNumberFormat="1">
      <alignment vertical="top"/>
    </xf>
    <xf numFmtId="0" fontId="28" fillId="0" borderId="0" applyFont="1" applyFill="0" applyBorder="0"/>
    <xf numFmtId="49" fontId="0" fillId="0" borderId="0" applyFont="1" applyFill="0" applyBorder="0" applyNumberFormat="1">
      <alignment vertical="top"/>
    </xf>
    <xf numFmtId="0" fontId="29" fillId="0" borderId="0" applyFont="1" applyFill="0" applyBorder="0"/>
    <xf numFmtId="0" fontId="30" fillId="0" borderId="0" applyFont="1" applyFill="0" applyBorder="0">
      <alignment vertical="top"/>
    </xf>
  </cellStyleXfs>
  <cellXfs count="5337">
    <xf numFmtId="49" fontId="0" fillId="0" borderId="0" xfId="0" applyFont="1" applyNumberFormat="1">
      <alignment vertical="top"/>
    </xf>
    <xf numFmtId="0" fontId="1" fillId="2" borderId="0" xfId="1" applyFont="1" applyFill="1">
      <alignment vertical="top"/>
    </xf>
    <xf numFmtId="0" fontId="1" fillId="3" borderId="0" xfId="2" applyFont="1" applyFill="1">
      <alignment vertical="top"/>
    </xf>
    <xf numFmtId="0" fontId="1" fillId="4" borderId="0" xfId="3" applyFont="1" applyFill="1">
      <alignment vertical="top"/>
    </xf>
    <xf numFmtId="0" fontId="1" fillId="5" borderId="0" xfId="4" applyFont="1" applyFill="1">
      <alignment vertical="top"/>
    </xf>
    <xf numFmtId="0" fontId="1" fillId="6" borderId="0" xfId="5" applyFont="1" applyFill="1">
      <alignment vertical="top"/>
    </xf>
    <xf numFmtId="0" fontId="1" fillId="7" borderId="0" xfId="6" applyFont="1" applyFill="1">
      <alignment vertical="top"/>
    </xf>
    <xf numFmtId="0" fontId="1" fillId="8" borderId="0" xfId="7" applyFont="1" applyFill="1">
      <alignment vertical="top"/>
    </xf>
    <xf numFmtId="0" fontId="1" fillId="9" borderId="0" xfId="8" applyFont="1" applyFill="1">
      <alignment vertical="top"/>
    </xf>
    <xf numFmtId="0" fontId="1" fillId="10" borderId="0" xfId="9" applyFont="1" applyFill="1">
      <alignment vertical="top"/>
    </xf>
    <xf numFmtId="0" fontId="1" fillId="11" borderId="0" xfId="10" applyFont="1" applyFill="1">
      <alignment vertical="top"/>
    </xf>
    <xf numFmtId="0" fontId="1" fillId="12" borderId="0" xfId="11" applyFont="1" applyFill="1">
      <alignment vertical="top"/>
    </xf>
    <xf numFmtId="0" fontId="1" fillId="13" borderId="0" xfId="12" applyFont="1" applyFill="1">
      <alignment vertical="top"/>
    </xf>
    <xf numFmtId="0" fontId="1" fillId="14" borderId="0" xfId="13" applyFont="1" applyFill="1">
      <alignment vertical="top"/>
    </xf>
    <xf numFmtId="0" fontId="1" fillId="15" borderId="0" xfId="14" applyFont="1" applyFill="1">
      <alignment vertical="top"/>
    </xf>
    <xf numFmtId="0" fontId="1" fillId="16" borderId="0" xfId="15" applyFont="1" applyFill="1">
      <alignment vertical="top"/>
    </xf>
    <xf numFmtId="0" fontId="1" fillId="17" borderId="0" xfId="16" applyFont="1" applyFill="1">
      <alignment vertical="top"/>
    </xf>
    <xf numFmtId="0" fontId="1" fillId="18" borderId="0" xfId="17" applyFont="1" applyFill="1">
      <alignment vertical="top"/>
    </xf>
    <xf numFmtId="0" fontId="1" fillId="19" borderId="0" xfId="18" applyFont="1" applyFill="1">
      <alignment vertical="top"/>
    </xf>
    <xf numFmtId="0" fontId="2" fillId="20" borderId="0" xfId="19" applyFont="1" applyFill="1">
      <alignment vertical="top"/>
    </xf>
    <xf numFmtId="0" fontId="2" fillId="21" borderId="0" xfId="20" applyFont="1" applyFill="1">
      <alignment vertical="top"/>
    </xf>
    <xf numFmtId="0" fontId="2" fillId="22" borderId="0" xfId="21" applyFont="1" applyFill="1">
      <alignment vertical="top"/>
    </xf>
    <xf numFmtId="0" fontId="2" fillId="23" borderId="0" xfId="22" applyFont="1" applyFill="1">
      <alignment vertical="top"/>
    </xf>
    <xf numFmtId="0" fontId="2" fillId="24" borderId="0" xfId="23" applyFont="1" applyFill="1">
      <alignment vertical="top"/>
    </xf>
    <xf numFmtId="0" fontId="2" fillId="25" borderId="0" xfId="24" applyFont="1" applyFill="1">
      <alignment vertical="top"/>
    </xf>
    <xf numFmtId="0" fontId="3" fillId="26" borderId="0" xfId="25" applyFont="1" applyFill="1">
      <alignment vertical="top"/>
    </xf>
    <xf numFmtId="0" fontId="4" fillId="27" borderId="1" xfId="26" applyFont="1" applyFill="1" applyBorder="1">
      <alignment vertical="top"/>
    </xf>
    <xf numFmtId="0" fontId="5" fillId="28" borderId="2" xfId="27" applyFont="1" applyFill="1" applyBorder="1">
      <alignment vertical="top"/>
    </xf>
    <xf numFmtId="204" fontId="6" fillId="0" borderId="0" xfId="28" applyFont="0" applyNumberFormat="1">
      <alignment vertical="top"/>
    </xf>
    <xf numFmtId="205" fontId="6" fillId="0" borderId="0" xfId="29" applyFont="0" applyNumberFormat="1">
      <alignment vertical="top"/>
    </xf>
    <xf numFmtId="206" fontId="6" fillId="0" borderId="0" xfId="30" applyFont="0" applyNumberFormat="1">
      <alignment vertical="top"/>
    </xf>
    <xf numFmtId="207" fontId="6" fillId="0" borderId="0" xfId="31" applyFont="0" applyNumberFormat="1">
      <alignment vertical="top"/>
    </xf>
    <xf numFmtId="0" fontId="7" fillId="0" borderId="0" xfId="32" applyFont="1">
      <alignment vertical="top"/>
    </xf>
    <xf numFmtId="0" fontId="8" fillId="29" borderId="0" xfId="33" applyFont="1" applyFill="1">
      <alignment vertical="top"/>
    </xf>
    <xf numFmtId="0" fontId="9" fillId="0" borderId="3" xfId="34" applyFont="1" applyBorder="1">
      <alignment vertical="top"/>
    </xf>
    <xf numFmtId="0" fontId="10" fillId="0" borderId="4" xfId="35" applyFont="1" applyBorder="1">
      <alignment vertical="top"/>
    </xf>
    <xf numFmtId="0" fontId="11" fillId="0" borderId="5" xfId="36" applyFont="1" applyBorder="1">
      <alignment vertical="top"/>
    </xf>
    <xf numFmtId="0" fontId="11" fillId="0" borderId="0" xfId="37" applyFont="1">
      <alignment vertical="top"/>
    </xf>
    <xf numFmtId="0" fontId="12" fillId="30" borderId="1" xfId="38" applyFont="1" applyFill="1" applyBorder="1">
      <alignment vertical="top"/>
    </xf>
    <xf numFmtId="0" fontId="13" fillId="0" borderId="6" xfId="39" applyFont="1" applyBorder="1">
      <alignment vertical="top"/>
    </xf>
    <xf numFmtId="0" fontId="14" fillId="31" borderId="0" xfId="40" applyFont="1" applyFill="1">
      <alignment vertical="top"/>
    </xf>
    <xf numFmtId="0" fontId="15" fillId="0" borderId="0" xfId="41" applyFont="1">
      <alignment vertical="top"/>
    </xf>
    <xf numFmtId="0" fontId="6" fillId="32" borderId="7" xfId="42" applyFont="0" applyFill="1" applyBorder="1">
      <alignment vertical="top"/>
    </xf>
    <xf numFmtId="0" fontId="16" fillId="27" borderId="8" xfId="43" applyFont="1" applyFill="1" applyBorder="1">
      <alignment vertical="top"/>
    </xf>
    <xf numFmtId="9" fontId="6" fillId="0" borderId="0" xfId="44" applyFont="0" applyNumberFormat="1">
      <alignment vertical="top"/>
    </xf>
    <xf numFmtId="0" fontId="17" fillId="0" borderId="0" xfId="45" applyFont="1">
      <alignment vertical="top"/>
    </xf>
    <xf numFmtId="0" fontId="18" fillId="0" borderId="9" xfId="46" applyFont="1" applyBorder="1">
      <alignment vertical="top"/>
    </xf>
    <xf numFmtId="0" fontId="19" fillId="0" borderId="0" xfId="47" applyFont="1">
      <alignment vertical="top"/>
    </xf>
    <xf numFmtId="0" fontId="20" fillId="0" borderId="0" xfId="48" applyFont="1"/>
    <xf numFmtId="208" fontId="20" fillId="0" borderId="0" xfId="49" applyFont="1" applyNumberFormat="1"/>
    <xf numFmtId="38" fontId="21" fillId="0" borderId="0" xfId="50" applyFont="1" applyNumberFormat="1">
      <alignment vertical="top"/>
    </xf>
    <xf numFmtId="209" fontId="22" fillId="33" borderId="0" xfId="51" applyFont="1" applyFill="1" applyNumberFormat="1">
      <protection locked="0"/>
    </xf>
    <xf numFmtId="0" fontId="23" fillId="0" borderId="0" xfId="52" applyFont="1">
      <alignment vertical="center"/>
    </xf>
    <xf numFmtId="210" fontId="22" fillId="33" borderId="0" xfId="53" applyFont="1" applyFill="1" applyNumberFormat="1">
      <protection locked="0"/>
    </xf>
    <xf numFmtId="211" fontId="22" fillId="33" borderId="0" xfId="54" applyFont="1" applyFill="1" applyNumberFormat="1">
      <protection locked="0"/>
    </xf>
    <xf numFmtId="0" fontId="24" fillId="0" borderId="0" xfId="55" applyFont="1">
      <alignment vertical="top"/>
    </xf>
    <xf numFmtId="0" fontId="25" fillId="0" borderId="0" xfId="56" applyFont="1">
      <alignment vertical="top"/>
    </xf>
    <xf numFmtId="0" fontId="26" fillId="0" borderId="0" xfId="57" applyFont="1"/>
    <xf numFmtId="0" fontId="27" fillId="0" borderId="0" xfId="58" applyFont="1">
      <alignment vertical="top"/>
    </xf>
    <xf numFmtId="49" fontId="22" fillId="0" borderId="0" xfId="59" applyFont="1" applyNumberFormat="1">
      <alignment vertical="top"/>
    </xf>
    <xf numFmtId="0" fontId="28" fillId="0" borderId="0" xfId="60" applyFont="1"/>
    <xf numFmtId="49" fontId="0" fillId="0" borderId="0" xfId="61" applyFont="1" applyNumberFormat="1">
      <alignment vertical="top"/>
    </xf>
    <xf numFmtId="0" fontId="29" fillId="0" borderId="0" xfId="62" applyFont="1"/>
    <xf numFmtId="0" fontId="30" fillId="0" borderId="0" xfId="63" applyFont="1">
      <alignment vertical="top"/>
    </xf>
    <xf numFmtId="49" fontId="0" fillId="0" borderId="0" xfId="61" applyFont="1" applyNumberFormat="1">
      <alignment vertical="top"/>
    </xf>
    <xf numFmtId="49" fontId="0" fillId="0" borderId="0" xfId="61" applyFont="1" applyNumberFormat="1">
      <alignment vertical="top"/>
    </xf>
    <xf numFmtId="0" fontId="22" fillId="0" borderId="0" xfId="0" applyFont="1">
      <alignment vertical="top" wrapText="1"/>
    </xf>
    <xf numFmtId="49" fontId="0" fillId="0" borderId="0" xfId="0" applyFont="1" applyNumberFormat="1">
      <alignment vertical="top"/>
    </xf>
    <xf numFmtId="49" fontId="22" fillId="34" borderId="10" xfId="0" applyFont="1" applyFill="1" applyBorder="1" applyNumberFormat="1">
      <alignment horizontal="center" vertical="top"/>
    </xf>
    <xf numFmtId="49" fontId="0" fillId="0" borderId="0" xfId="0" applyFont="1" applyNumberFormat="1">
      <alignment vertical="top"/>
    </xf>
    <xf numFmtId="0" fontId="22" fillId="0" borderId="0" xfId="0" applyFont="1"/>
    <xf numFmtId="0" fontId="22" fillId="35" borderId="0" xfId="0" applyFont="1" applyFill="1"/>
    <xf numFmtId="0" fontId="31" fillId="0" borderId="0" xfId="0" applyFont="1">
      <alignment vertical="center" wrapText="1"/>
    </xf>
    <xf numFmtId="0" fontId="32" fillId="0" borderId="0" xfId="0" applyFont="1">
      <alignment vertical="center" wrapText="1"/>
    </xf>
    <xf numFmtId="0" fontId="22" fillId="35" borderId="0" xfId="0" applyFont="1" applyFill="1">
      <alignment vertical="center" wrapText="1"/>
    </xf>
    <xf numFmtId="0" fontId="22" fillId="0" borderId="0" xfId="0" applyFont="1">
      <alignment vertical="center" wrapText="1"/>
    </xf>
    <xf numFmtId="0" fontId="33" fillId="35" borderId="0" xfId="0" applyFont="1" applyFill="1">
      <alignment vertical="center" wrapText="1"/>
    </xf>
    <xf numFmtId="0" fontId="22" fillId="35" borderId="0" xfId="0" applyFont="1" applyFill="1">
      <alignment horizontal="right" vertical="center" wrapText="1" indent="1"/>
    </xf>
    <xf numFmtId="0" fontId="22" fillId="35" borderId="0" xfId="0" applyFont="1" applyFill="1">
      <alignment horizontal="center" vertical="center" wrapText="1"/>
    </xf>
    <xf numFmtId="0" fontId="32" fillId="0" borderId="0" xfId="0" applyFont="1">
      <alignment horizontal="center" vertical="center" wrapText="1"/>
    </xf>
    <xf numFmtId="0" fontId="34" fillId="35" borderId="0" xfId="0" applyFont="1" applyFill="1">
      <alignment horizontal="center" vertical="center" wrapText="1"/>
    </xf>
    <xf numFmtId="0" fontId="22" fillId="0" borderId="0" xfId="0" applyFont="1">
      <alignment vertical="center"/>
    </xf>
    <xf numFmtId="49" fontId="22" fillId="35" borderId="0" xfId="0" applyFont="1" applyFill="1" applyNumberFormat="1">
      <alignment horizontal="right" vertical="center" wrapText="1" indent="1"/>
    </xf>
    <xf numFmtId="49" fontId="33" fillId="35" borderId="0" xfId="0" applyFont="1" applyFill="1" applyNumberFormat="1">
      <alignment horizontal="center" vertical="center" wrapText="1"/>
    </xf>
    <xf numFmtId="0" fontId="22" fillId="0" borderId="0" xfId="0" applyFont="1">
      <alignment vertical="center" wrapText="1"/>
    </xf>
    <xf numFmtId="0" fontId="22" fillId="35" borderId="0" xfId="0" applyFont="1" applyFill="1">
      <alignment vertical="center" wrapText="1"/>
    </xf>
    <xf numFmtId="0" fontId="22" fillId="35" borderId="0" xfId="0" applyFont="1" applyFill="1">
      <alignment horizontal="right" vertical="center" wrapText="1"/>
    </xf>
    <xf numFmtId="49" fontId="0" fillId="35" borderId="0" xfId="0" applyFont="1" applyFill="1" applyNumberFormat="1">
      <alignment horizontal="right" vertical="center" wrapText="1" indent="1"/>
    </xf>
    <xf numFmtId="49" fontId="35" fillId="35" borderId="0" xfId="0" applyFont="1" applyFill="1" applyNumberFormat="1">
      <alignment horizontal="center" vertical="center" wrapText="1"/>
    </xf>
    <xf numFmtId="49" fontId="0" fillId="0" borderId="0" xfId="0" applyFont="1" applyNumberFormat="1">
      <alignment vertical="top"/>
    </xf>
    <xf numFmtId="49" fontId="0" fillId="0" borderId="0" xfId="0" applyFont="1" applyNumberFormat="1">
      <alignment vertical="top"/>
    </xf>
    <xf numFmtId="0" fontId="36" fillId="35" borderId="0" xfId="0" applyFont="1" applyFill="1">
      <alignment horizontal="center" vertical="center" wrapText="1"/>
    </xf>
    <xf numFmtId="0" fontId="36" fillId="0" borderId="0" xfId="0" applyFont="1">
      <alignment horizontal="center" vertical="center"/>
    </xf>
    <xf numFmtId="0" fontId="36" fillId="35" borderId="0" xfId="0" applyFont="1" applyFill="1">
      <alignment horizontal="center" vertical="center"/>
    </xf>
    <xf numFmtId="49" fontId="37" fillId="0" borderId="11" xfId="0" applyFont="1" applyBorder="1" applyNumberFormat="1">
      <alignment vertical="top" wrapText="1"/>
    </xf>
    <xf numFmtId="0" fontId="0" fillId="0" borderId="11" xfId="0" applyFont="1" applyBorder="1">
      <alignment vertical="top" wrapText="1"/>
    </xf>
    <xf numFmtId="0" fontId="22" fillId="35" borderId="0" xfId="0" applyFont="1" applyFill="1">
      <alignment horizontal="center" vertical="center" wrapText="1"/>
    </xf>
    <xf numFmtId="0" fontId="38" fillId="35" borderId="0" xfId="0" applyFont="1" applyFill="1">
      <alignment vertical="center" wrapText="1"/>
    </xf>
    <xf numFmtId="0" fontId="38" fillId="0" borderId="0" xfId="0" applyFont="1">
      <alignment vertical="center" wrapText="1"/>
    </xf>
    <xf numFmtId="0" fontId="31" fillId="0" borderId="0" xfId="0" applyFont="1">
      <alignment horizontal="left" vertical="center" wrapText="1"/>
    </xf>
    <xf numFmtId="49" fontId="31" fillId="0" borderId="0" xfId="0" applyFont="1" applyNumberFormat="1">
      <alignment horizontal="left" vertical="center" wrapText="1"/>
    </xf>
    <xf numFmtId="0" fontId="0" fillId="0" borderId="0" xfId="0" applyFont="1">
      <alignment vertical="top"/>
    </xf>
    <xf numFmtId="49" fontId="22" fillId="0" borderId="0" xfId="0" applyFont="1" applyNumberFormat="1">
      <alignment vertical="center" wrapText="1"/>
    </xf>
    <xf numFmtId="49" fontId="22" fillId="0" borderId="0" xfId="0" applyFont="1" applyNumberFormat="1">
      <alignment vertical="top"/>
    </xf>
    <xf numFmtId="0" fontId="22" fillId="0" borderId="0" xfId="0" applyFont="1">
      <alignment vertical="center" wrapText="1"/>
    </xf>
    <xf numFmtId="0" fontId="0" fillId="0" borderId="0" xfId="0" applyFont="1">
      <alignment vertical="center"/>
    </xf>
    <xf numFmtId="0" fontId="22" fillId="35" borderId="12" xfId="0" applyFont="1" applyFill="1" applyBorder="1">
      <alignment horizontal="center" vertical="center" wrapText="1"/>
    </xf>
    <xf numFmtId="49" fontId="22" fillId="36" borderId="12" xfId="0" applyFont="1" applyFill="1" applyBorder="1" applyNumberFormat="1">
      <alignment horizontal="left" vertical="center" wrapText="1"/>
      <protection locked="0"/>
    </xf>
    <xf numFmtId="49" fontId="39" fillId="37" borderId="13" xfId="0" applyFont="1" applyFill="1" applyBorder="1" applyNumberFormat="1">
      <alignment horizontal="left" vertical="center"/>
    </xf>
    <xf numFmtId="0" fontId="0" fillId="0" borderId="12" xfId="0" applyFont="1" applyBorder="1">
      <alignment horizontal="center" vertical="center" wrapText="1"/>
    </xf>
    <xf numFmtId="0" fontId="22" fillId="37" borderId="14" xfId="0" applyFont="1" applyFill="1" applyBorder="1">
      <alignment vertical="center" wrapText="1"/>
    </xf>
    <xf numFmtId="0" fontId="22" fillId="0" borderId="12" xfId="0" applyFont="1" applyBorder="1">
      <alignment horizontal="center" vertical="center" wrapText="1"/>
    </xf>
    <xf numFmtId="0" fontId="40" fillId="0" borderId="0" xfId="0" applyFont="1">
      <alignment vertical="center"/>
    </xf>
    <xf numFmtId="49" fontId="22" fillId="0" borderId="12" xfId="0" applyFont="1" applyBorder="1" applyNumberFormat="1">
      <alignment horizontal="center" vertical="center" wrapText="1"/>
    </xf>
    <xf numFmtId="0" fontId="22" fillId="35" borderId="12" xfId="0" applyFont="1" applyFill="1" applyBorder="1">
      <alignment horizontal="center" vertical="center"/>
    </xf>
    <xf numFmtId="49" fontId="22" fillId="36" borderId="12" xfId="0" applyFont="1" applyFill="1" applyBorder="1" applyNumberFormat="1">
      <alignment horizontal="left" vertical="center" wrapText="1"/>
      <protection locked="0"/>
    </xf>
    <xf numFmtId="0" fontId="31" fillId="0" borderId="0" xfId="0" applyFont="1">
      <alignment vertical="center" wrapText="1"/>
    </xf>
    <xf numFmtId="0" fontId="41" fillId="0" borderId="0" xfId="0" applyFont="1">
      <alignment vertical="center" wrapText="1"/>
    </xf>
    <xf numFmtId="49" fontId="22" fillId="0" borderId="0" xfId="0" applyFont="1" applyNumberFormat="1">
      <alignment vertical="top"/>
    </xf>
    <xf numFmtId="49" fontId="31" fillId="0" borderId="0" xfId="0" applyFont="1" applyNumberFormat="1">
      <alignment vertical="top"/>
    </xf>
    <xf numFmtId="49" fontId="22" fillId="0" borderId="0" xfId="0" applyFont="1" applyNumberFormat="1">
      <alignment vertical="top"/>
    </xf>
    <xf numFmtId="49" fontId="36" fillId="0" borderId="0" xfId="0" applyFont="1" applyNumberFormat="1">
      <alignment horizontal="center" vertical="center"/>
    </xf>
    <xf numFmtId="49" fontId="22" fillId="0" borderId="0" xfId="0" applyFont="1" applyNumberFormat="1">
      <alignment vertical="top"/>
    </xf>
    <xf numFmtId="0" fontId="22" fillId="35" borderId="0" xfId="0" applyFont="1" applyFill="1"/>
    <xf numFmtId="0" fontId="42" fillId="35" borderId="0" xfId="0" applyFont="1" applyFill="1">
      <alignment horizontal="center" vertical="center" wrapText="1"/>
    </xf>
    <xf numFmtId="0" fontId="31" fillId="35" borderId="0" xfId="0" applyFont="1" applyFill="1"/>
    <xf numFmtId="49" fontId="22" fillId="0" borderId="0" xfId="0" applyFont="1" applyNumberFormat="1">
      <alignment vertical="top"/>
    </xf>
    <xf numFmtId="49" fontId="36" fillId="0" borderId="0" xfId="0" applyFont="1" applyNumberFormat="1">
      <alignment horizontal="center" vertical="center" wrapText="1"/>
    </xf>
    <xf numFmtId="0" fontId="22" fillId="35" borderId="12" xfId="0" applyFont="1" applyFill="1" applyBorder="1">
      <alignment horizontal="center" vertical="center" wrapText="1"/>
    </xf>
    <xf numFmtId="49" fontId="22" fillId="0" borderId="12" xfId="0" applyFont="1" applyBorder="1" applyNumberFormat="1">
      <alignment horizontal="center" vertical="center" wrapText="1"/>
    </xf>
    <xf numFmtId="49" fontId="43" fillId="37" borderId="15" xfId="0" applyFont="1" applyFill="1" applyBorder="1" applyNumberFormat="1">
      <alignment horizontal="center" vertical="top"/>
    </xf>
    <xf numFmtId="49" fontId="39" fillId="37" borderId="15" xfId="0" applyFont="1" applyFill="1" applyBorder="1" applyNumberFormat="1">
      <alignment horizontal="left" vertical="center"/>
    </xf>
    <xf numFmtId="49" fontId="22" fillId="0" borderId="0" xfId="0" applyFont="1" applyNumberFormat="1">
      <alignment horizontal="center" vertical="top"/>
    </xf>
    <xf numFmtId="0" fontId="40" fillId="0" borderId="0" xfId="0" applyFont="1">
      <alignment vertical="center"/>
    </xf>
    <xf numFmtId="0" fontId="0" fillId="0" borderId="0" xfId="0" applyFont="1">
      <alignment horizontal="center" vertical="center" wrapText="1"/>
    </xf>
    <xf numFmtId="49" fontId="22" fillId="0" borderId="0" xfId="0" applyFont="1" applyNumberFormat="1">
      <alignment horizontal="center" vertical="center" wrapText="1"/>
    </xf>
    <xf numFmtId="49" fontId="22" fillId="0" borderId="0" xfId="0" applyFont="1" applyNumberFormat="1">
      <alignment vertical="center" wrapText="1"/>
    </xf>
    <xf numFmtId="0" fontId="36" fillId="35" borderId="0" xfId="0" applyFont="1" applyFill="1">
      <alignment horizontal="center" vertical="center" wrapText="1"/>
    </xf>
    <xf numFmtId="49" fontId="44" fillId="0" borderId="0" xfId="0" applyFont="1" applyNumberFormat="1">
      <alignment horizontal="right" vertical="top"/>
    </xf>
    <xf numFmtId="49" fontId="44" fillId="0" borderId="0" xfId="0" applyFont="1" applyNumberFormat="1">
      <alignment vertical="top"/>
    </xf>
    <xf numFmtId="0" fontId="22" fillId="0" borderId="0" xfId="0" applyFont="1">
      <alignment horizontal="center" vertical="center" wrapText="1"/>
    </xf>
    <xf numFmtId="49" fontId="22" fillId="0" borderId="0" xfId="0" applyFont="1" applyNumberFormat="1">
      <alignment vertical="top"/>
    </xf>
    <xf numFmtId="0" fontId="0" fillId="0" borderId="0" xfId="0" applyFont="1">
      <alignment vertical="center"/>
    </xf>
    <xf numFmtId="0" fontId="45" fillId="0" borderId="0" xfId="0" applyFont="1">
      <alignment vertical="center" wrapText="1"/>
    </xf>
    <xf numFmtId="49" fontId="22" fillId="0" borderId="16" xfId="0" applyFont="1" applyBorder="1" applyNumberFormat="1">
      <alignment vertical="top"/>
    </xf>
    <xf numFmtId="0" fontId="29" fillId="0" borderId="0" xfId="0" applyFont="1"/>
    <xf numFmtId="49" fontId="46" fillId="0" borderId="0" xfId="0" applyFont="1" applyNumberFormat="1">
      <alignment vertical="top"/>
    </xf>
    <xf numFmtId="0" fontId="46" fillId="0" borderId="0" xfId="0" applyFont="1">
      <alignment vertical="center" wrapText="1"/>
    </xf>
    <xf numFmtId="49" fontId="0" fillId="35" borderId="12" xfId="0" applyFont="1" applyFill="1" applyBorder="1" applyNumberFormat="1">
      <alignment horizontal="center" vertical="center" wrapText="1"/>
    </xf>
    <xf numFmtId="0" fontId="31" fillId="0" borderId="0" xfId="0" applyFont="1">
      <alignment horizontal="left" vertical="center" wrapText="1"/>
    </xf>
    <xf numFmtId="49" fontId="22" fillId="0" borderId="12" xfId="0" applyFont="1" applyBorder="1" applyNumberFormat="1">
      <alignment horizontal="left" vertical="center" wrapText="1"/>
    </xf>
    <xf numFmtId="0" fontId="22" fillId="35" borderId="17" xfId="0" applyFont="1" applyFill="1" applyBorder="1">
      <alignment horizontal="center" vertical="center"/>
    </xf>
    <xf numFmtId="0" fontId="22" fillId="0" borderId="12" xfId="0" applyFont="1" applyBorder="1">
      <alignment vertical="center" wrapText="1"/>
    </xf>
    <xf numFmtId="0" fontId="47" fillId="0" borderId="0" xfId="0" applyFont="1">
      <alignment vertical="center" wrapText="1"/>
    </xf>
    <xf numFmtId="0" fontId="47" fillId="0" borderId="0" xfId="0" applyFont="1">
      <alignment vertical="center"/>
    </xf>
    <xf numFmtId="0" fontId="48" fillId="0" borderId="0" xfId="0" applyFont="1">
      <alignment vertical="center"/>
    </xf>
    <xf numFmtId="0" fontId="47" fillId="0" borderId="0" xfId="0" applyFont="1">
      <alignment vertical="center"/>
    </xf>
    <xf numFmtId="0" fontId="47" fillId="0" borderId="0" xfId="0" applyFont="1">
      <alignment vertical="center"/>
    </xf>
    <xf numFmtId="0" fontId="0" fillId="0" borderId="0" xfId="0" applyFont="1">
      <alignment vertical="top" wrapText="1"/>
    </xf>
    <xf numFmtId="49" fontId="22" fillId="0" borderId="12" xfId="0" applyFont="1" applyBorder="1" applyNumberFormat="1">
      <alignment horizontal="center" vertical="center" wrapText="1"/>
    </xf>
    <xf numFmtId="0" fontId="45" fillId="0" borderId="18" xfId="0" applyFont="1" applyBorder="1">
      <alignment vertical="top" wrapText="1"/>
    </xf>
    <xf numFmtId="49" fontId="0" fillId="0" borderId="12" xfId="0" applyFont="1" applyBorder="1" applyNumberFormat="1">
      <alignment vertical="top" wrapText="1"/>
    </xf>
    <xf numFmtId="0" fontId="0" fillId="0" borderId="12" xfId="0" applyFont="1" applyBorder="1">
      <alignment vertical="top" wrapText="1"/>
    </xf>
    <xf numFmtId="0" fontId="1" fillId="0" borderId="0" xfId="0" applyFont="1"/>
    <xf numFmtId="0" fontId="0" fillId="0" borderId="0" xfId="0" applyFont="1"/>
    <xf numFmtId="0" fontId="36" fillId="0" borderId="0" xfId="0" applyFont="1">
      <alignment horizontal="center" vertical="center" wrapText="1"/>
    </xf>
    <xf numFmtId="0" fontId="36" fillId="0" borderId="0" xfId="0" applyFont="1">
      <alignment horizontal="center" vertical="center" wrapText="1"/>
    </xf>
    <xf numFmtId="0" fontId="22" fillId="0" borderId="0" xfId="0" applyFont="1">
      <alignment horizontal="right" vertical="center" wrapText="1"/>
    </xf>
    <xf numFmtId="4" fontId="22" fillId="0" borderId="0" xfId="0" applyFont="1" applyNumberFormat="1">
      <alignment horizontal="right" vertical="center" wrapText="1"/>
    </xf>
    <xf numFmtId="0" fontId="22" fillId="0" borderId="0" xfId="0" applyFont="1">
      <alignment horizontal="left" vertical="center" wrapText="1" indent="1"/>
    </xf>
    <xf numFmtId="49" fontId="22" fillId="0" borderId="0" xfId="0" applyFont="1" applyNumberFormat="1">
      <alignment vertical="top"/>
    </xf>
    <xf numFmtId="4" fontId="22" fillId="0" borderId="0" xfId="0" applyFont="1" applyNumberFormat="1">
      <alignment horizontal="center" vertical="center" wrapText="1"/>
    </xf>
    <xf numFmtId="0" fontId="46" fillId="0" borderId="0" xfId="0" applyFont="1">
      <alignment vertical="center"/>
    </xf>
    <xf numFmtId="213" fontId="22" fillId="0" borderId="12" xfId="0" applyFont="1" applyBorder="1" applyNumberFormat="1">
      <alignment horizontal="center" vertical="center" wrapText="1"/>
    </xf>
    <xf numFmtId="49" fontId="46" fillId="37" borderId="19" xfId="0" applyFont="1" applyFill="1" applyBorder="1" applyNumberFormat="1">
      <alignment horizontal="left" vertical="center" wrapText="1"/>
    </xf>
    <xf numFmtId="49" fontId="0" fillId="37" borderId="15" xfId="0" applyFont="1" applyFill="1" applyBorder="1" applyNumberFormat="1">
      <alignment horizontal="left" vertical="center"/>
    </xf>
    <xf numFmtId="49" fontId="46" fillId="37" borderId="20" xfId="0" applyFont="1" applyFill="1" applyBorder="1" applyNumberFormat="1">
      <alignment horizontal="left" vertical="center" wrapText="1"/>
    </xf>
    <xf numFmtId="0" fontId="35" fillId="0" borderId="0" xfId="0" applyFont="1">
      <alignment horizontal="center" vertical="center" wrapText="1"/>
    </xf>
    <xf numFmtId="49" fontId="49" fillId="37" borderId="15" xfId="0" applyFont="1" applyFill="1" applyBorder="1" applyNumberFormat="1">
      <alignment horizontal="right" vertical="center" wrapText="1"/>
    </xf>
    <xf numFmtId="49" fontId="22" fillId="37" borderId="15" xfId="0" applyFont="1" applyFill="1" applyBorder="1" applyNumberFormat="1">
      <alignment horizontal="right" vertical="center" wrapText="1"/>
    </xf>
    <xf numFmtId="49" fontId="22" fillId="37" borderId="13" xfId="0" applyFont="1" applyFill="1" applyBorder="1" applyNumberFormat="1">
      <alignment horizontal="right" vertical="center" wrapText="1"/>
    </xf>
    <xf numFmtId="0" fontId="22" fillId="0" borderId="21" xfId="0" applyFont="1" applyBorder="1">
      <alignment vertical="center" wrapText="1"/>
    </xf>
    <xf numFmtId="0" fontId="44" fillId="0" borderId="0" xfId="0" applyFont="1">
      <alignment vertical="center" wrapText="1"/>
    </xf>
    <xf numFmtId="0" fontId="50" fillId="0" borderId="0" xfId="0" applyFont="1">
      <alignment horizontal="center" vertical="center" wrapText="1"/>
    </xf>
    <xf numFmtId="49" fontId="0" fillId="35" borderId="0" xfId="0" applyFont="1" applyFill="1" applyNumberFormat="1">
      <alignment vertical="top"/>
    </xf>
    <xf numFmtId="49" fontId="51" fillId="38" borderId="0" xfId="0" applyFont="1" applyFill="1" applyNumberFormat="1">
      <alignment vertical="top"/>
    </xf>
    <xf numFmtId="49" fontId="51" fillId="0" borderId="0" xfId="0" applyFont="1" applyNumberFormat="1">
      <alignment vertical="top"/>
    </xf>
    <xf numFmtId="0" fontId="46" fillId="0" borderId="0" xfId="0" applyFont="1">
      <alignment vertical="center"/>
    </xf>
    <xf numFmtId="49" fontId="0" fillId="37" borderId="15" xfId="0" applyFont="1" applyFill="1" applyBorder="1" applyNumberFormat="1">
      <alignment horizontal="right" vertical="center" wrapText="1"/>
    </xf>
    <xf numFmtId="49" fontId="0" fillId="0" borderId="0" xfId="0" applyFont="1" applyNumberFormat="1">
      <alignment vertical="top"/>
    </xf>
    <xf numFmtId="0" fontId="49" fillId="0" borderId="11" xfId="0" applyFont="1" applyBorder="1">
      <alignment vertical="center" wrapText="1"/>
    </xf>
    <xf numFmtId="0" fontId="45" fillId="0" borderId="0" xfId="0" applyFont="1">
      <alignment vertical="top" wrapText="1"/>
    </xf>
    <xf numFmtId="0" fontId="22" fillId="0" borderId="11" xfId="0" applyFont="1" applyBorder="1">
      <alignment vertical="center" wrapText="1"/>
    </xf>
    <xf numFmtId="49" fontId="22" fillId="0" borderId="0" xfId="0" applyFont="1" applyNumberFormat="1">
      <alignment vertical="top"/>
    </xf>
    <xf numFmtId="0" fontId="22" fillId="35" borderId="0" xfId="0" applyFont="1" applyFill="1">
      <alignment horizontal="right" vertical="center"/>
    </xf>
    <xf numFmtId="0" fontId="0" fillId="0" borderId="12" xfId="0" applyFont="1" applyBorder="1">
      <alignment horizontal="left" vertical="center" wrapText="1" indent="1"/>
    </xf>
    <xf numFmtId="0" fontId="0" fillId="39" borderId="12" xfId="0" applyFont="1" applyFill="1" applyBorder="1">
      <alignment horizontal="left" vertical="center" wrapText="1" indent="2"/>
      <protection locked="0"/>
    </xf>
    <xf numFmtId="49" fontId="47" fillId="0" borderId="0" xfId="0" applyFont="1" applyNumberFormat="1">
      <alignment vertical="top"/>
    </xf>
    <xf numFmtId="0" fontId="0" fillId="0" borderId="12" xfId="0" applyFont="1" applyBorder="1">
      <alignment vertical="center" wrapText="1"/>
    </xf>
    <xf numFmtId="0" fontId="0" fillId="0" borderId="12" xfId="0" applyFont="1" applyBorder="1">
      <alignment horizontal="center" vertical="center" wrapText="1"/>
    </xf>
    <xf numFmtId="0" fontId="0" fillId="39" borderId="12" xfId="0" applyFont="1" applyFill="1" applyBorder="1">
      <alignment horizontal="left" vertical="center" wrapText="1" indent="1"/>
      <protection locked="0"/>
    </xf>
    <xf numFmtId="49" fontId="39" fillId="37" borderId="15" xfId="0" applyFont="1" applyFill="1" applyBorder="1" applyNumberFormat="1">
      <alignment horizontal="left" vertical="center" indent="3"/>
    </xf>
    <xf numFmtId="49" fontId="43" fillId="37" borderId="13" xfId="0" applyFont="1" applyFill="1" applyBorder="1" applyNumberFormat="1">
      <alignment horizontal="center" vertical="top"/>
    </xf>
    <xf numFmtId="0" fontId="45" fillId="0" borderId="0" xfId="0" applyFont="1">
      <alignment horizontal="right" vertical="top" wrapText="1"/>
    </xf>
    <xf numFmtId="49" fontId="39" fillId="37" borderId="15" xfId="0" applyFont="1" applyFill="1" applyBorder="1" applyNumberFormat="1">
      <alignment horizontal="left" vertical="center" indent="1"/>
    </xf>
    <xf numFmtId="49" fontId="39" fillId="37" borderId="15" xfId="0" applyFont="1" applyFill="1" applyBorder="1" applyNumberFormat="1">
      <alignment horizontal="left" vertical="center" indent="2"/>
    </xf>
    <xf numFmtId="0" fontId="0" fillId="0" borderId="12" xfId="0" applyFont="1" applyBorder="1">
      <alignment horizontal="left" vertical="center" wrapText="1" indent="1"/>
    </xf>
    <xf numFmtId="0" fontId="0" fillId="0" borderId="12" xfId="0" applyFont="1" applyBorder="1">
      <alignment horizontal="left" vertical="center" wrapText="1" indent="2"/>
    </xf>
    <xf numFmtId="49" fontId="22" fillId="40" borderId="12" xfId="0" applyFont="1" applyFill="1" applyBorder="1" applyNumberFormat="1">
      <alignment horizontal="left" vertical="center" wrapText="1"/>
    </xf>
    <xf numFmtId="0" fontId="22" fillId="0" borderId="12" xfId="0" applyFont="1" applyBorder="1">
      <alignment vertical="top" wrapText="1"/>
    </xf>
    <xf numFmtId="0" fontId="36" fillId="0" borderId="0" xfId="0" applyFont="1">
      <alignment horizontal="center" vertical="center" wrapText="1"/>
    </xf>
    <xf numFmtId="49" fontId="0" fillId="0" borderId="17" xfId="0" applyFont="1" applyBorder="1" applyNumberFormat="1">
      <alignment vertical="top"/>
    </xf>
    <xf numFmtId="0" fontId="47" fillId="0" borderId="0" xfId="0" applyFont="1">
      <alignment vertical="center"/>
    </xf>
    <xf numFmtId="0" fontId="52" fillId="0" borderId="0" xfId="0" applyFont="1">
      <alignment vertical="center"/>
    </xf>
    <xf numFmtId="49" fontId="53" fillId="39" borderId="12" xfId="0" applyFont="1" applyFill="1" applyBorder="1" applyNumberFormat="1">
      <alignment horizontal="left" vertical="center" wrapText="1"/>
      <protection locked="0"/>
    </xf>
    <xf numFmtId="49" fontId="43" fillId="37" borderId="13" xfId="0" applyFont="1" applyFill="1" applyBorder="1" applyNumberFormat="1">
      <alignment horizontal="center" vertical="top"/>
    </xf>
    <xf numFmtId="0" fontId="0" fillId="34" borderId="12" xfId="0" applyFont="1" applyFill="1" applyBorder="1">
      <alignment horizontal="left" vertical="center" wrapText="1" indent="1"/>
    </xf>
    <xf numFmtId="49" fontId="22" fillId="39" borderId="12" xfId="0" applyFont="1" applyFill="1" applyBorder="1" applyNumberFormat="1">
      <alignment horizontal="left" vertical="center" wrapText="1" indent="1"/>
      <protection locked="0"/>
    </xf>
    <xf numFmtId="49" fontId="22" fillId="34" borderId="12" xfId="0" applyFont="1" applyFill="1" applyBorder="1" applyNumberFormat="1">
      <alignment horizontal="left" vertical="center" wrapText="1" indent="1"/>
    </xf>
    <xf numFmtId="49" fontId="22" fillId="0" borderId="12" xfId="0" applyFont="1" applyBorder="1" applyNumberFormat="1">
      <alignment horizontal="left" vertical="center" wrapText="1" indent="1"/>
    </xf>
    <xf numFmtId="0" fontId="22" fillId="0" borderId="12" xfId="0" applyFont="1" applyBorder="1">
      <alignment horizontal="center" vertical="center" wrapText="1"/>
    </xf>
    <xf numFmtId="0" fontId="45" fillId="0" borderId="0" xfId="0" applyFont="1">
      <alignment vertical="center" wrapText="1"/>
    </xf>
    <xf numFmtId="0" fontId="47" fillId="0" borderId="0" xfId="0" applyFont="1">
      <alignment horizontal="center" vertical="center" wrapText="1"/>
    </xf>
    <xf numFmtId="0" fontId="0" fillId="0" borderId="12" xfId="0" applyFont="1" applyBorder="1">
      <alignment horizontal="left" vertical="center" wrapText="1"/>
    </xf>
    <xf numFmtId="49" fontId="35" fillId="0" borderId="15" xfId="0" applyFont="1" applyBorder="1" applyNumberFormat="1">
      <alignment horizontal="center" vertical="center" wrapText="1"/>
    </xf>
    <xf numFmtId="0" fontId="54" fillId="0" borderId="0" xfId="0" applyFont="1">
      <alignment vertical="center"/>
    </xf>
    <xf numFmtId="0" fontId="55" fillId="0" borderId="0" xfId="0" applyFont="1">
      <alignment vertical="center"/>
    </xf>
    <xf numFmtId="0" fontId="47" fillId="0" borderId="0" xfId="0" applyFont="1">
      <alignment vertical="center"/>
    </xf>
    <xf numFmtId="0" fontId="47" fillId="0" borderId="0" xfId="0" applyFont="1">
      <alignment horizontal="left" vertical="center" wrapText="1" indent="1"/>
    </xf>
    <xf numFmtId="0" fontId="46" fillId="0" borderId="0" xfId="0" applyFont="1">
      <alignment horizontal="left" vertical="center" wrapText="1" indent="1"/>
    </xf>
    <xf numFmtId="0" fontId="56" fillId="0" borderId="0" xfId="0" applyFont="1">
      <alignment horizontal="left" vertical="center" wrapText="1" indent="1"/>
    </xf>
    <xf numFmtId="0" fontId="57" fillId="0" borderId="0" xfId="0" applyFont="1">
      <alignment horizontal="left" vertical="center" indent="1"/>
    </xf>
    <xf numFmtId="0" fontId="56" fillId="0" borderId="0" xfId="0" applyFont="1">
      <alignment vertical="center" wrapText="1"/>
    </xf>
    <xf numFmtId="0" fontId="58" fillId="0" borderId="0" xfId="0" applyFont="1">
      <alignment horizontal="left" vertical="center" wrapText="1"/>
    </xf>
    <xf numFmtId="0" fontId="59" fillId="0" borderId="0" xfId="0" applyFont="1">
      <alignment vertical="center" wrapText="1"/>
    </xf>
    <xf numFmtId="0" fontId="60" fillId="35" borderId="0" xfId="0" applyFont="1" applyFill="1">
      <alignment vertical="center" wrapText="1"/>
    </xf>
    <xf numFmtId="0" fontId="61" fillId="35" borderId="0" xfId="0" applyFont="1" applyFill="1">
      <alignment horizontal="right" vertical="center" wrapText="1" indent="1"/>
    </xf>
    <xf numFmtId="0" fontId="60" fillId="0" borderId="0" xfId="0" applyFont="1">
      <alignment vertical="center" wrapText="1"/>
    </xf>
    <xf numFmtId="0" fontId="60" fillId="35" borderId="0" xfId="0" applyFont="1" applyFill="1">
      <alignment horizontal="right" vertical="center" wrapText="1" indent="1"/>
    </xf>
    <xf numFmtId="0" fontId="62" fillId="35" borderId="0" xfId="0" applyFont="1" applyFill="1">
      <alignment horizontal="center" vertical="center" wrapText="1"/>
    </xf>
    <xf numFmtId="0" fontId="58" fillId="35" borderId="0" xfId="0" applyFont="1" applyFill="1">
      <alignment horizontal="center" vertical="center" wrapText="1"/>
    </xf>
    <xf numFmtId="0" fontId="60" fillId="35" borderId="0" xfId="0" applyFont="1" applyFill="1">
      <alignment horizontal="left" vertical="center" wrapText="1" indent="1"/>
    </xf>
    <xf numFmtId="0" fontId="63" fillId="0" borderId="0" xfId="0" applyFont="1">
      <alignment horizontal="left" vertical="center" wrapText="1"/>
    </xf>
    <xf numFmtId="0" fontId="63" fillId="0" borderId="0" xfId="0" applyFont="1">
      <alignment vertical="center" wrapText="1"/>
    </xf>
    <xf numFmtId="0" fontId="60" fillId="0" borderId="0" xfId="0" applyFont="1">
      <alignment vertical="center" wrapText="1"/>
    </xf>
    <xf numFmtId="0" fontId="60" fillId="0" borderId="0" xfId="0" applyFont="1">
      <alignment horizontal="right" vertical="center"/>
    </xf>
    <xf numFmtId="49" fontId="22" fillId="0" borderId="0" xfId="0" applyFont="1" applyNumberFormat="1">
      <alignment vertical="center" wrapText="1"/>
    </xf>
    <xf numFmtId="0" fontId="0" fillId="0" borderId="0" xfId="0" applyFont="1">
      <alignment horizontal="left" vertical="center" indent="1"/>
    </xf>
    <xf numFmtId="0" fontId="47" fillId="0" borderId="0" xfId="0" applyFont="1">
      <alignment horizontal="left" vertical="center" indent="1"/>
    </xf>
    <xf numFmtId="0" fontId="47" fillId="0" borderId="0" xfId="0" applyFont="1">
      <alignment horizontal="left" vertical="center" indent="1"/>
    </xf>
    <xf numFmtId="0" fontId="47" fillId="0" borderId="22" xfId="0" applyFont="1" applyBorder="1">
      <alignment vertical="center"/>
    </xf>
    <xf numFmtId="0" fontId="22" fillId="0" borderId="12" xfId="0" applyFont="1" applyBorder="1">
      <alignment horizontal="center" vertical="center" wrapText="1"/>
    </xf>
    <xf numFmtId="0" fontId="0" fillId="0" borderId="12" xfId="0" applyFont="1" applyBorder="1">
      <alignment horizontal="center" vertical="center"/>
    </xf>
    <xf numFmtId="49" fontId="0" fillId="0" borderId="12" xfId="0" applyFont="1" applyBorder="1" applyNumberFormat="1">
      <alignment horizontal="center" vertical="center"/>
    </xf>
    <xf numFmtId="49" fontId="0" fillId="0" borderId="12" xfId="0" applyFont="1" applyBorder="1" applyNumberFormat="1">
      <alignment horizontal="left" vertical="center"/>
    </xf>
    <xf numFmtId="49" fontId="22" fillId="0" borderId="0" xfId="0" applyFont="1" applyNumberFormat="1">
      <alignment vertical="top"/>
    </xf>
    <xf numFmtId="0" fontId="22" fillId="0" borderId="0" xfId="0" applyFont="1">
      <alignment horizontal="left" vertical="center" wrapText="1" indent="2"/>
    </xf>
    <xf numFmtId="0" fontId="22" fillId="0" borderId="12" xfId="0" applyFont="1" applyBorder="1">
      <alignment vertical="top" wrapText="1"/>
    </xf>
    <xf numFmtId="0" fontId="0" fillId="39" borderId="12" xfId="0" applyFont="1" applyFill="1" applyBorder="1">
      <alignment horizontal="left" vertical="center" wrapText="1"/>
      <protection locked="0"/>
    </xf>
    <xf numFmtId="0" fontId="22" fillId="0" borderId="12" xfId="0" applyFont="1" applyBorder="1">
      <alignment horizontal="left" vertical="top" wrapText="1"/>
    </xf>
    <xf numFmtId="0" fontId="22" fillId="0" borderId="12" xfId="0" applyFont="1" applyBorder="1">
      <alignment horizontal="left" vertical="center" wrapText="1"/>
    </xf>
    <xf numFmtId="0" fontId="22" fillId="0" borderId="12" xfId="0" applyFont="1" applyBorder="1">
      <alignment horizontal="center" vertical="center" wrapText="1"/>
    </xf>
    <xf numFmtId="49" fontId="22" fillId="0" borderId="17" xfId="0" applyFont="1" applyBorder="1" applyNumberFormat="1">
      <alignment horizontal="left" vertical="center" wrapText="1"/>
    </xf>
    <xf numFmtId="49" fontId="49" fillId="37" borderId="14" xfId="0" applyFont="1" applyFill="1" applyBorder="1" applyNumberFormat="1">
      <alignment horizontal="center" vertical="center"/>
    </xf>
    <xf numFmtId="49" fontId="39" fillId="37" borderId="13" xfId="0" applyFont="1" applyFill="1" applyBorder="1" applyNumberFormat="1">
      <alignment horizontal="left" vertical="center"/>
    </xf>
    <xf numFmtId="0" fontId="22" fillId="0" borderId="0" xfId="0" applyFont="1"/>
    <xf numFmtId="0" fontId="64" fillId="0" borderId="0" xfId="0" applyFont="1">
      <alignment vertical="center" wrapText="1"/>
    </xf>
    <xf numFmtId="0" fontId="64" fillId="0" borderId="0" xfId="0" applyFont="1">
      <alignment vertical="center" wrapText="1"/>
    </xf>
    <xf numFmtId="0" fontId="64" fillId="0" borderId="0" xfId="0" applyFont="1"/>
    <xf numFmtId="49" fontId="65" fillId="0" borderId="0" xfId="0" applyFont="1" applyNumberFormat="1">
      <alignment vertical="top"/>
    </xf>
    <xf numFmtId="49" fontId="66" fillId="0" borderId="0" xfId="0" applyFont="1" applyNumberFormat="1">
      <alignment vertical="top"/>
    </xf>
    <xf numFmtId="0" fontId="22" fillId="0" borderId="0" xfId="0" applyFont="1">
      <alignment horizontal="center" vertical="center" wrapText="1"/>
    </xf>
    <xf numFmtId="49" fontId="22" fillId="39" borderId="12" xfId="0" applyFont="1" applyFill="1" applyBorder="1" applyNumberFormat="1">
      <alignment horizontal="left" vertical="center" wrapText="1" indent="1"/>
      <protection locked="0"/>
    </xf>
    <xf numFmtId="0" fontId="47" fillId="0" borderId="0" xfId="0" applyFont="1">
      <alignment vertical="top"/>
    </xf>
    <xf numFmtId="49" fontId="47" fillId="0" borderId="0" xfId="0" applyFont="1" applyNumberFormat="1">
      <alignment vertical="top"/>
    </xf>
    <xf numFmtId="0" fontId="0" fillId="0" borderId="0" xfId="0" applyFont="1">
      <alignment vertical="top"/>
    </xf>
    <xf numFmtId="49" fontId="22" fillId="0" borderId="12" xfId="0" applyFont="1" applyBorder="1" applyNumberFormat="1">
      <alignment horizontal="right" vertical="center"/>
    </xf>
    <xf numFmtId="0" fontId="67" fillId="0" borderId="0" xfId="0" applyFont="1">
      <alignment vertical="center"/>
    </xf>
    <xf numFmtId="0" fontId="47" fillId="0" borderId="0" xfId="0" applyFont="1">
      <alignment vertical="center"/>
    </xf>
    <xf numFmtId="0" fontId="47" fillId="0" borderId="0" xfId="0" applyFont="1">
      <alignment vertical="center" wrapText="1"/>
    </xf>
    <xf numFmtId="0" fontId="22" fillId="0" borderId="12" xfId="0" applyFont="1" applyBorder="1">
      <alignment horizontal="left" vertical="center" wrapText="1"/>
    </xf>
    <xf numFmtId="0" fontId="68" fillId="0" borderId="0" xfId="0" applyFont="1">
      <alignment vertical="center"/>
    </xf>
    <xf numFmtId="49" fontId="35" fillId="35" borderId="0" xfId="0" applyFont="1" applyFill="1" applyNumberFormat="1">
      <alignment horizontal="center" vertical="center" wrapText="1"/>
    </xf>
    <xf numFmtId="0" fontId="0" fillId="0" borderId="0" xfId="0" applyFont="1">
      <alignment vertical="center"/>
    </xf>
    <xf numFmtId="0" fontId="22" fillId="0" borderId="12" xfId="0" applyFont="1" applyBorder="1">
      <alignment horizontal="center" vertical="center" wrapText="1"/>
    </xf>
    <xf numFmtId="49" fontId="22" fillId="0" borderId="12" xfId="0" applyFont="1" applyBorder="1" applyNumberFormat="1">
      <alignment horizontal="center" vertical="center" wrapText="1"/>
    </xf>
    <xf numFmtId="0" fontId="22" fillId="35" borderId="12" xfId="0" applyFont="1" applyFill="1" applyBorder="1">
      <alignment horizontal="left" vertical="center" wrapText="1" indent="4"/>
    </xf>
    <xf numFmtId="0" fontId="22" fillId="35" borderId="12" xfId="0" applyFont="1" applyFill="1" applyBorder="1">
      <alignment horizontal="left" vertical="center" wrapText="1" indent="5"/>
    </xf>
    <xf numFmtId="49" fontId="39" fillId="37" borderId="15" xfId="0" applyFont="1" applyFill="1" applyBorder="1" applyNumberFormat="1">
      <alignment horizontal="left" vertical="center" indent="5"/>
    </xf>
    <xf numFmtId="49" fontId="39" fillId="37" borderId="15" xfId="0" applyFont="1" applyFill="1" applyBorder="1" applyNumberFormat="1">
      <alignment horizontal="left" vertical="center" indent="6"/>
    </xf>
    <xf numFmtId="0" fontId="22" fillId="0" borderId="12" xfId="0" applyFont="1" applyBorder="1">
      <alignment vertical="center" wrapText="1"/>
    </xf>
    <xf numFmtId="0" fontId="45" fillId="0" borderId="0" xfId="0" applyFont="1">
      <alignment vertical="center" wrapText="1"/>
    </xf>
    <xf numFmtId="0" fontId="69" fillId="35" borderId="0" xfId="0" applyFont="1" applyFill="1">
      <alignment vertical="center" wrapText="1"/>
    </xf>
    <xf numFmtId="49" fontId="22" fillId="0" borderId="12" xfId="0" applyFont="1" applyBorder="1" applyNumberFormat="1">
      <alignment horizontal="center" vertical="center" wrapText="1"/>
    </xf>
    <xf numFmtId="49" fontId="0" fillId="0" borderId="0" xfId="0" applyFont="1" applyNumberFormat="1">
      <alignment vertical="top"/>
    </xf>
    <xf numFmtId="49" fontId="39" fillId="37" borderId="14" xfId="0" applyFont="1" applyFill="1" applyBorder="1" applyNumberFormat="1">
      <alignment horizontal="left" vertical="center" indent="1"/>
    </xf>
    <xf numFmtId="0" fontId="0" fillId="35" borderId="12" xfId="0" applyFont="1" applyFill="1" applyBorder="1">
      <alignment horizontal="right" vertical="center" wrapText="1" indent="1"/>
    </xf>
    <xf numFmtId="49" fontId="0" fillId="0" borderId="12" xfId="0" applyFont="1" applyBorder="1" applyNumberFormat="1">
      <alignment horizontal="left" vertical="center"/>
    </xf>
    <xf numFmtId="0" fontId="22" fillId="0" borderId="12" xfId="0" applyFont="1" applyBorder="1">
      <alignment vertical="top" wrapText="1"/>
    </xf>
    <xf numFmtId="0" fontId="22" fillId="0" borderId="12" xfId="0" applyFont="1" applyBorder="1">
      <alignment vertical="center" wrapText="1"/>
    </xf>
    <xf numFmtId="0" fontId="67" fillId="0" borderId="0" xfId="0" applyFont="1">
      <alignment vertical="center"/>
    </xf>
    <xf numFmtId="0" fontId="22" fillId="0" borderId="12" xfId="0" applyFont="1" applyBorder="1">
      <alignment horizontal="left" vertical="center" wrapText="1" indent="6"/>
    </xf>
    <xf numFmtId="0" fontId="22" fillId="0" borderId="17" xfId="0" applyFont="1" applyBorder="1">
      <alignment vertical="center" wrapText="1"/>
    </xf>
    <xf numFmtId="0" fontId="22" fillId="0" borderId="23" xfId="0" applyFont="1" applyBorder="1">
      <alignment vertical="center" wrapText="1"/>
    </xf>
    <xf numFmtId="49" fontId="0" fillId="37" borderId="13" xfId="0" applyFont="1" applyFill="1" applyBorder="1" applyNumberFormat="1">
      <alignment horizontal="center" vertical="center" wrapText="1"/>
    </xf>
    <xf numFmtId="0" fontId="0" fillId="0" borderId="14" xfId="0" applyFont="1" applyBorder="1">
      <alignment vertical="center"/>
    </xf>
    <xf numFmtId="0" fontId="0" fillId="35" borderId="14" xfId="0" applyFont="1" applyFill="1" applyBorder="1">
      <alignment horizontal="right" vertical="center" wrapText="1" indent="1"/>
    </xf>
    <xf numFmtId="49" fontId="31" fillId="0" borderId="0" xfId="0" applyFont="1" applyNumberFormat="1">
      <alignment vertical="top"/>
    </xf>
    <xf numFmtId="0" fontId="38" fillId="35" borderId="0" xfId="0" applyFont="1" applyFill="1">
      <alignment vertical="center" wrapText="1"/>
    </xf>
    <xf numFmtId="0" fontId="22" fillId="35" borderId="12" xfId="0" applyFont="1" applyFill="1" applyBorder="1">
      <alignment horizontal="left" vertical="center" wrapText="1" indent="1"/>
    </xf>
    <xf numFmtId="0" fontId="22" fillId="35" borderId="12" xfId="0" applyFont="1" applyFill="1" applyBorder="1">
      <alignment horizontal="left" vertical="center" wrapText="1" indent="2"/>
    </xf>
    <xf numFmtId="0" fontId="22" fillId="35" borderId="12" xfId="0" applyFont="1" applyFill="1" applyBorder="1">
      <alignment horizontal="left" vertical="center" wrapText="1" indent="3"/>
    </xf>
    <xf numFmtId="0" fontId="22" fillId="0" borderId="12" xfId="0" applyFont="1" applyBorder="1">
      <alignment horizontal="left" vertical="center" wrapText="1" indent="4"/>
    </xf>
    <xf numFmtId="49" fontId="39" fillId="37" borderId="14" xfId="0" applyFont="1" applyFill="1" applyBorder="1" applyNumberFormat="1">
      <alignment vertical="center" wrapText="1"/>
    </xf>
    <xf numFmtId="49" fontId="39" fillId="37" borderId="15" xfId="0" applyFont="1" applyFill="1" applyBorder="1" applyNumberFormat="1">
      <alignment vertical="center"/>
    </xf>
    <xf numFmtId="49" fontId="39" fillId="37" borderId="15" xfId="0" applyFont="1" applyFill="1" applyBorder="1" applyNumberFormat="1">
      <alignment vertical="center" wrapText="1"/>
    </xf>
    <xf numFmtId="0" fontId="22" fillId="0" borderId="0" xfId="0" applyFont="1">
      <alignment vertical="top" wrapText="1"/>
    </xf>
    <xf numFmtId="49" fontId="39" fillId="37" borderId="14" xfId="0" applyFont="1" applyFill="1" applyBorder="1" applyNumberFormat="1">
      <alignment horizontal="left" vertical="center"/>
    </xf>
    <xf numFmtId="0" fontId="39" fillId="37" borderId="14" xfId="0" applyFont="1" applyFill="1" applyBorder="1">
      <alignment horizontal="left" vertical="center"/>
    </xf>
    <xf numFmtId="0" fontId="39" fillId="37" borderId="15" xfId="0" applyFont="1" applyFill="1" applyBorder="1">
      <alignment horizontal="left" vertical="center"/>
    </xf>
    <xf numFmtId="0" fontId="39" fillId="37" borderId="13" xfId="0" applyFont="1" applyFill="1" applyBorder="1">
      <alignment horizontal="left" vertical="center"/>
    </xf>
    <xf numFmtId="0" fontId="0" fillId="0" borderId="0" xfId="0" applyFont="1">
      <alignment vertical="center"/>
    </xf>
    <xf numFmtId="49" fontId="0" fillId="0" borderId="0" xfId="0" applyFont="1" applyNumberFormat="1">
      <alignment vertical="center"/>
    </xf>
    <xf numFmtId="0" fontId="49" fillId="35" borderId="0" xfId="0" applyFont="1" applyFill="1">
      <alignment horizontal="center" vertical="center" wrapText="1"/>
    </xf>
    <xf numFmtId="0" fontId="22" fillId="0" borderId="0" xfId="0" applyFont="1">
      <alignment vertical="center" wrapText="1"/>
    </xf>
    <xf numFmtId="49" fontId="22" fillId="37" borderId="13" xfId="0" applyFont="1" applyFill="1" applyBorder="1" applyNumberFormat="1">
      <alignment horizontal="center" vertical="center" wrapText="1"/>
    </xf>
    <xf numFmtId="4" fontId="22" fillId="0" borderId="12" xfId="0" applyFont="1" applyBorder="1" applyNumberFormat="1">
      <alignment horizontal="right" vertical="center" wrapText="1"/>
    </xf>
    <xf numFmtId="0" fontId="22" fillId="0" borderId="0" xfId="0" applyFont="1">
      <alignment vertical="center" wrapText="1"/>
    </xf>
    <xf numFmtId="0" fontId="22" fillId="0" borderId="0" xfId="0" applyFont="1">
      <alignment vertical="center" wrapText="1"/>
    </xf>
    <xf numFmtId="4" fontId="47" fillId="0" borderId="12" xfId="0" applyFont="1" applyBorder="1" applyNumberFormat="1">
      <alignment horizontal="center" vertical="center" wrapText="1"/>
    </xf>
    <xf numFmtId="0" fontId="0" fillId="0" borderId="0" xfId="0" applyFont="1">
      <alignment vertical="center"/>
    </xf>
    <xf numFmtId="0" fontId="0" fillId="0" borderId="12" xfId="0" applyFont="1" applyBorder="1">
      <alignment horizontal="left" vertical="center" wrapText="1" indent="1"/>
    </xf>
    <xf numFmtId="49" fontId="70" fillId="0" borderId="14" xfId="0" applyFont="1" applyBorder="1" applyNumberFormat="1">
      <alignment horizontal="left" vertical="center" wrapText="1"/>
    </xf>
    <xf numFmtId="0" fontId="67" fillId="0" borderId="12" xfId="0" applyFont="1" applyBorder="1">
      <alignment horizontal="left" vertical="center" wrapText="1" indent="2"/>
    </xf>
    <xf numFmtId="49" fontId="67" fillId="0" borderId="12" xfId="0" applyFont="1" applyBorder="1" applyNumberFormat="1">
      <alignment horizontal="center" vertical="center" wrapText="1"/>
    </xf>
    <xf numFmtId="0" fontId="71" fillId="0" borderId="0" xfId="0" applyFont="1">
      <alignment vertical="center" wrapText="1"/>
    </xf>
    <xf numFmtId="0" fontId="22" fillId="0" borderId="0" xfId="0" applyFont="1">
      <alignment vertical="top"/>
    </xf>
    <xf numFmtId="0" fontId="22" fillId="0" borderId="0" xfId="0" applyFont="1">
      <alignment horizontal="right" vertical="top" wrapText="1"/>
    </xf>
    <xf numFmtId="0" fontId="22" fillId="0" borderId="17" xfId="0" applyFont="1" applyBorder="1">
      <alignment vertical="center" wrapText="1"/>
    </xf>
    <xf numFmtId="49" fontId="43" fillId="37" borderId="15" xfId="0" applyFont="1" applyFill="1" applyBorder="1" applyNumberFormat="1">
      <alignment horizontal="center" vertical="top"/>
    </xf>
    <xf numFmtId="0" fontId="22" fillId="0" borderId="23" xfId="0" applyFont="1" applyBorder="1">
      <alignment vertical="top" wrapText="1"/>
    </xf>
    <xf numFmtId="0" fontId="0" fillId="0" borderId="0" xfId="0" applyFont="1">
      <alignment horizontal="left" vertical="top" wrapText="1"/>
    </xf>
    <xf numFmtId="0" fontId="22" fillId="0" borderId="17" xfId="0" applyFont="1" applyBorder="1">
      <alignment vertical="top" wrapText="1"/>
    </xf>
    <xf numFmtId="0" fontId="22" fillId="0" borderId="0" xfId="0" applyFont="1">
      <alignment vertical="center" wrapText="1"/>
    </xf>
    <xf numFmtId="49" fontId="22" fillId="0" borderId="0" xfId="0" applyFont="1" applyNumberFormat="1">
      <alignment vertical="top"/>
    </xf>
    <xf numFmtId="0" fontId="38" fillId="0" borderId="0" xfId="0" applyFont="1">
      <alignment vertical="center" wrapText="1"/>
    </xf>
    <xf numFmtId="0" fontId="22" fillId="0" borderId="12" xfId="0" applyFont="1" applyBorder="1">
      <alignment vertical="center" wrapText="1"/>
    </xf>
    <xf numFmtId="49" fontId="22" fillId="0" borderId="0" xfId="0" applyFont="1" applyNumberFormat="1">
      <alignment horizontal="center" vertical="center" wrapText="1"/>
    </xf>
    <xf numFmtId="0" fontId="22" fillId="37" borderId="14" xfId="0" applyFont="1" applyFill="1" applyBorder="1">
      <alignment vertical="center" wrapText="1"/>
    </xf>
    <xf numFmtId="0" fontId="22" fillId="39" borderId="12" xfId="0" applyFont="1" applyFill="1" applyBorder="1">
      <alignment horizontal="left" vertical="center" wrapText="1" indent="1"/>
      <protection locked="0"/>
    </xf>
    <xf numFmtId="49" fontId="39" fillId="37" borderId="15" xfId="0" applyFont="1" applyFill="1" applyBorder="1" applyNumberFormat="1">
      <alignment horizontal="left" vertical="center" indent="2"/>
    </xf>
    <xf numFmtId="0" fontId="47" fillId="0" borderId="0" xfId="0" applyFont="1">
      <alignment vertical="center"/>
    </xf>
    <xf numFmtId="0" fontId="72" fillId="0" borderId="0" xfId="0" applyFont="1">
      <alignment vertical="center" wrapText="1"/>
    </xf>
    <xf numFmtId="0" fontId="41" fillId="35" borderId="0" xfId="0" applyFont="1" applyFill="1">
      <alignment horizontal="center" vertical="center" wrapText="1"/>
    </xf>
    <xf numFmtId="0" fontId="22" fillId="0" borderId="24" xfId="0" applyFont="1" applyBorder="1">
      <alignment vertical="center" wrapText="1"/>
    </xf>
    <xf numFmtId="0" fontId="36" fillId="0" borderId="0" xfId="0" applyFont="1">
      <alignment vertical="center" wrapText="1"/>
    </xf>
    <xf numFmtId="49" fontId="22" fillId="0" borderId="24" xfId="0" applyFont="1" applyBorder="1" applyNumberFormat="1">
      <alignment vertical="top"/>
    </xf>
    <xf numFmtId="0" fontId="47" fillId="0" borderId="24" xfId="0" applyFont="1" applyBorder="1">
      <alignment horizontal="center" vertical="center" wrapText="1"/>
    </xf>
    <xf numFmtId="0" fontId="47" fillId="0" borderId="24" xfId="0" applyFont="1" applyBorder="1">
      <alignment vertical="center" wrapText="1"/>
    </xf>
    <xf numFmtId="49" fontId="31" fillId="0" borderId="0" xfId="0" applyFont="1" applyNumberFormat="1">
      <alignment vertical="top"/>
    </xf>
    <xf numFmtId="49" fontId="0" fillId="0" borderId="24" xfId="0" applyFont="1" applyBorder="1" applyNumberFormat="1">
      <alignment vertical="top"/>
    </xf>
    <xf numFmtId="49" fontId="22" fillId="0" borderId="0" xfId="0" applyFont="1" applyNumberFormat="1">
      <alignment vertical="top"/>
    </xf>
    <xf numFmtId="49" fontId="22" fillId="0" borderId="0" xfId="0" applyFont="1" applyNumberFormat="1">
      <alignment vertical="center" wrapText="1"/>
    </xf>
    <xf numFmtId="0" fontId="31" fillId="0" borderId="0" xfId="0" applyFont="1">
      <alignment vertical="center" wrapText="1"/>
    </xf>
    <xf numFmtId="0" fontId="22" fillId="35" borderId="0" xfId="0" applyFont="1" applyFill="1">
      <alignment vertical="center" wrapText="1"/>
    </xf>
    <xf numFmtId="49" fontId="22" fillId="0" borderId="0" xfId="0" applyFont="1" applyNumberFormat="1">
      <alignment vertical="center" wrapText="1"/>
    </xf>
    <xf numFmtId="49" fontId="39" fillId="37" borderId="15" xfId="0" applyFont="1" applyFill="1" applyBorder="1" applyNumberFormat="1">
      <alignment horizontal="left" vertical="center" indent="4"/>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0" fontId="47" fillId="0" borderId="0" xfId="0" applyFont="1">
      <alignment vertical="center"/>
    </xf>
    <xf numFmtId="0" fontId="22" fillId="0" borderId="0" xfId="0" applyFont="1">
      <alignment vertical="top" wrapText="1"/>
    </xf>
    <xf numFmtId="49" fontId="22" fillId="0" borderId="12" xfId="0" applyFont="1" applyBorder="1" applyNumberFormat="1">
      <alignment horizontal="right" vertical="top"/>
    </xf>
    <xf numFmtId="49" fontId="22" fillId="0" borderId="17" xfId="0" applyFont="1" applyBorder="1" applyNumberFormat="1">
      <alignment horizontal="right" vertical="top"/>
    </xf>
    <xf numFmtId="49" fontId="39" fillId="37" borderId="15" xfId="0" applyFont="1" applyFill="1" applyBorder="1" applyNumberFormat="1">
      <alignment horizontal="left" vertical="center" indent="3"/>
    </xf>
    <xf numFmtId="49" fontId="0" fillId="0" borderId="0" xfId="0" applyFont="1" applyNumberFormat="1">
      <alignment vertical="top"/>
    </xf>
    <xf numFmtId="0" fontId="22" fillId="0" borderId="0" xfId="0" applyFont="1">
      <alignment vertical="center" wrapText="1"/>
    </xf>
    <xf numFmtId="49" fontId="38" fillId="0" borderId="0" xfId="0" applyFont="1" applyNumberFormat="1">
      <alignment vertical="top"/>
    </xf>
    <xf numFmtId="0" fontId="38" fillId="35" borderId="0" xfId="0" applyFont="1" applyFill="1">
      <alignment vertical="center" wrapText="1"/>
    </xf>
    <xf numFmtId="49" fontId="22" fillId="39" borderId="12" xfId="0" applyFont="1" applyFill="1" applyBorder="1" applyNumberFormat="1">
      <alignment horizontal="left" vertical="center" wrapText="1"/>
      <protection locked="0"/>
    </xf>
    <xf numFmtId="49" fontId="22" fillId="36" borderId="12" xfId="0" applyFont="1" applyFill="1" applyBorder="1" applyNumberFormat="1">
      <alignment horizontal="left" vertical="center" wrapText="1"/>
      <protection locked="0"/>
    </xf>
    <xf numFmtId="49" fontId="47" fillId="0" borderId="0" xfId="0" applyFont="1" applyNumberFormat="1">
      <alignment vertical="top"/>
    </xf>
    <xf numFmtId="49" fontId="47" fillId="0" borderId="0" xfId="0" applyFont="1" applyNumberFormat="1">
      <alignment vertical="top"/>
    </xf>
    <xf numFmtId="49" fontId="22" fillId="39" borderId="12" xfId="0" applyFont="1" applyFill="1" applyBorder="1" applyNumberFormat="1">
      <alignment horizontal="left" vertical="center" wrapText="1"/>
      <protection locked="0"/>
    </xf>
    <xf numFmtId="49" fontId="53" fillId="39" borderId="12" xfId="0" applyFont="1" applyFill="1" applyBorder="1" applyNumberFormat="1">
      <alignment horizontal="left" vertical="center" wrapText="1"/>
      <protection locked="0"/>
    </xf>
    <xf numFmtId="49" fontId="0" fillId="0" borderId="25" xfId="0" applyFont="1" applyBorder="1" applyNumberFormat="1">
      <alignment horizontal="center" vertical="center"/>
    </xf>
    <xf numFmtId="210" fontId="22" fillId="0" borderId="12" xfId="0" applyFont="1" applyBorder="1" applyNumberFormat="1">
      <alignment horizontal="right" vertical="center" wrapText="1"/>
    </xf>
    <xf numFmtId="49" fontId="53" fillId="39" borderId="14" xfId="0" applyFont="1" applyFill="1" applyBorder="1" applyNumberFormat="1">
      <alignment horizontal="left" vertical="center" wrapText="1"/>
      <protection locked="0"/>
    </xf>
    <xf numFmtId="0" fontId="22" fillId="35" borderId="12" xfId="0" applyFont="1" applyFill="1" applyBorder="1">
      <alignment horizontal="center" vertical="center" wrapText="1"/>
    </xf>
    <xf numFmtId="0" fontId="36" fillId="35" borderId="0" xfId="0" applyFont="1" applyFill="1">
      <alignment horizontal="center" vertical="center" wrapText="1"/>
    </xf>
    <xf numFmtId="0" fontId="0" fillId="0" borderId="12" xfId="0" applyFont="1" applyBorder="1">
      <alignment horizontal="left" vertical="center" wrapText="1"/>
    </xf>
    <xf numFmtId="0" fontId="22" fillId="35" borderId="0" xfId="0" applyFont="1" applyFill="1">
      <alignment horizontal="center" vertical="center" wrapText="1"/>
    </xf>
    <xf numFmtId="0" fontId="49" fillId="0" borderId="0" xfId="0" applyFont="1">
      <alignment vertical="top" wrapText="1"/>
    </xf>
    <xf numFmtId="0" fontId="22" fillId="35" borderId="26" xfId="0" applyFont="1" applyFill="1" applyBorder="1">
      <alignment horizontal="right" vertical="center" wrapText="1" indent="1"/>
    </xf>
    <xf numFmtId="0" fontId="0" fillId="35" borderId="26" xfId="0" applyFont="1" applyFill="1" applyBorder="1">
      <alignment horizontal="right" vertical="center" wrapText="1" indent="1"/>
    </xf>
    <xf numFmtId="0" fontId="22" fillId="0" borderId="0" xfId="0" applyFont="1">
      <alignment horizontal="left" vertical="center" wrapText="1" indent="4"/>
    </xf>
    <xf numFmtId="0" fontId="22" fillId="35" borderId="0" xfId="0" applyFont="1" applyFill="1">
      <alignment horizontal="center" vertical="center" wrapText="1"/>
    </xf>
    <xf numFmtId="49" fontId="39" fillId="37" borderId="15" xfId="0" applyFont="1" applyFill="1" applyBorder="1" applyNumberFormat="1">
      <alignment horizontal="left" vertical="center"/>
    </xf>
    <xf numFmtId="0" fontId="22" fillId="0" borderId="19" xfId="0" applyFont="1" applyBorder="1">
      <alignment vertical="center" wrapText="1"/>
    </xf>
    <xf numFmtId="0" fontId="22" fillId="0" borderId="0" xfId="0" applyFont="1">
      <alignment horizontal="left" vertical="center" wrapText="1" indent="1"/>
    </xf>
    <xf numFmtId="0" fontId="71" fillId="0" borderId="0" xfId="0" applyFont="1">
      <alignment vertical="center" wrapText="1"/>
    </xf>
    <xf numFmtId="49" fontId="0" fillId="35" borderId="14" xfId="0" applyFont="1" applyFill="1" applyBorder="1" applyNumberFormat="1">
      <alignment horizontal="center" vertical="center" wrapText="1"/>
    </xf>
    <xf numFmtId="49" fontId="39" fillId="37" borderId="27" xfId="0" applyFont="1" applyFill="1" applyBorder="1" applyNumberFormat="1">
      <alignment horizontal="left" vertical="center" indent="2"/>
    </xf>
    <xf numFmtId="49" fontId="53" fillId="36" borderId="12" xfId="0" applyFont="1" applyFill="1" applyBorder="1" applyNumberFormat="1">
      <alignment horizontal="left" vertical="center" wrapText="1"/>
      <protection locked="0"/>
    </xf>
    <xf numFmtId="49" fontId="22" fillId="0" borderId="19" xfId="0" applyFont="1" applyBorder="1" applyNumberFormat="1">
      <alignment vertical="top"/>
    </xf>
    <xf numFmtId="49" fontId="73" fillId="37" borderId="13" xfId="0" applyFont="1" applyFill="1" applyBorder="1" applyNumberFormat="1">
      <alignment horizontal="left" vertical="center" indent="1"/>
    </xf>
    <xf numFmtId="49" fontId="73" fillId="37" borderId="15" xfId="0" applyFont="1" applyFill="1" applyBorder="1" applyNumberFormat="1">
      <alignment horizontal="left" vertical="center" indent="1"/>
    </xf>
    <xf numFmtId="49" fontId="49" fillId="37" borderId="14" xfId="0" applyFont="1" applyFill="1" applyBorder="1" applyNumberFormat="1">
      <alignment horizontal="center" vertical="center"/>
    </xf>
    <xf numFmtId="49" fontId="73" fillId="37" borderId="15" xfId="0" applyFont="1" applyFill="1" applyBorder="1" applyNumberFormat="1">
      <alignment vertical="center"/>
    </xf>
    <xf numFmtId="0" fontId="0" fillId="41" borderId="12" xfId="0" applyFont="1" applyFill="1" applyBorder="1">
      <alignment horizontal="right" vertical="center"/>
    </xf>
    <xf numFmtId="0" fontId="32" fillId="0" borderId="0" xfId="0" applyFont="1">
      <alignment vertical="center" wrapText="1"/>
    </xf>
    <xf numFmtId="0" fontId="22" fillId="0" borderId="0" xfId="0" applyFont="1">
      <alignment vertical="center" wrapText="1"/>
    </xf>
    <xf numFmtId="0" fontId="33" fillId="35" borderId="0" xfId="0" applyFont="1" applyFill="1">
      <alignment vertical="center" wrapText="1"/>
    </xf>
    <xf numFmtId="0" fontId="31" fillId="0" borderId="0" xfId="0" applyFont="1">
      <alignment horizontal="center" vertical="center" wrapText="1"/>
    </xf>
    <xf numFmtId="0" fontId="0" fillId="0" borderId="0" xfId="0" applyFont="1">
      <alignment vertical="center" wrapText="1"/>
    </xf>
    <xf numFmtId="0" fontId="31" fillId="0" borderId="0" xfId="0" applyFont="1">
      <alignment horizontal="left" vertical="center" wrapText="1"/>
    </xf>
    <xf numFmtId="0" fontId="0" fillId="0" borderId="12" xfId="0" applyFont="1" applyBorder="1">
      <alignment horizontal="center" vertical="center" wrapText="1"/>
    </xf>
    <xf numFmtId="49" fontId="39" fillId="37" borderId="15" xfId="0" applyFont="1" applyFill="1" applyBorder="1" applyNumberFormat="1">
      <alignment horizontal="left" vertical="center" indent="1"/>
    </xf>
    <xf numFmtId="49" fontId="39" fillId="37" borderId="15" xfId="0" applyFont="1" applyFill="1" applyBorder="1" applyNumberFormat="1">
      <alignment horizontal="left" vertical="center"/>
    </xf>
    <xf numFmtId="0" fontId="46" fillId="0" borderId="0" xfId="0" applyFont="1">
      <alignment vertical="center" wrapText="1"/>
    </xf>
    <xf numFmtId="0" fontId="0" fillId="0" borderId="0" xfId="0" applyFont="1">
      <alignment vertical="center"/>
    </xf>
    <xf numFmtId="49" fontId="47" fillId="0" borderId="0" xfId="0" applyFont="1" applyNumberFormat="1">
      <alignment vertical="top"/>
    </xf>
    <xf numFmtId="0" fontId="74" fillId="0" borderId="0" xfId="0" applyFont="1">
      <alignment vertical="center" wrapText="1"/>
    </xf>
    <xf numFmtId="49" fontId="49" fillId="37" borderId="14" xfId="0" applyFont="1" applyFill="1" applyBorder="1" applyNumberFormat="1">
      <alignment horizontal="right" vertical="center" wrapText="1"/>
    </xf>
    <xf numFmtId="49" fontId="46" fillId="0" borderId="0" xfId="0" applyFont="1" applyNumberFormat="1">
      <alignment vertical="top"/>
    </xf>
    <xf numFmtId="49" fontId="0" fillId="0" borderId="0" xfId="0" applyFont="1" applyNumberFormat="1">
      <alignment vertical="top"/>
    </xf>
    <xf numFmtId="49" fontId="0" fillId="37" borderId="13" xfId="0" applyFont="1" applyFill="1" applyBorder="1" applyNumberFormat="1">
      <alignment horizontal="right" vertical="center" wrapText="1"/>
    </xf>
    <xf numFmtId="0" fontId="0" fillId="0" borderId="12" xfId="0" applyFont="1" applyBorder="1">
      <alignment horizontal="center" vertical="center" wrapText="1"/>
    </xf>
    <xf numFmtId="0" fontId="58" fillId="0" borderId="0" xfId="0" applyFont="1">
      <alignment horizontal="left" vertical="center" wrapText="1"/>
    </xf>
    <xf numFmtId="0" fontId="59" fillId="0" borderId="0" xfId="0" applyFont="1">
      <alignment vertical="center" wrapText="1"/>
    </xf>
    <xf numFmtId="0" fontId="60" fillId="35" borderId="0" xfId="0" applyFont="1" applyFill="1">
      <alignment vertical="center" wrapText="1"/>
    </xf>
    <xf numFmtId="0" fontId="61" fillId="35" borderId="0" xfId="0" applyFont="1" applyFill="1">
      <alignment horizontal="right" vertical="center" wrapText="1" indent="1"/>
    </xf>
    <xf numFmtId="0" fontId="60" fillId="0" borderId="0" xfId="0" applyFont="1">
      <alignment vertical="center" wrapText="1"/>
    </xf>
    <xf numFmtId="0" fontId="0" fillId="0" borderId="14" xfId="0" applyFont="1" applyBorder="1">
      <alignment horizontal="center" vertical="center" wrapText="1"/>
    </xf>
    <xf numFmtId="0" fontId="0" fillId="36" borderId="12" xfId="0" applyFont="1" applyFill="1" applyBorder="1">
      <alignment horizontal="right" vertical="center" wrapText="1"/>
      <protection locked="0"/>
    </xf>
    <xf numFmtId="3" fontId="0" fillId="39" borderId="12" xfId="0" applyFont="1" applyFill="1" applyBorder="1" applyNumberFormat="1">
      <alignment horizontal="right" vertical="center" wrapText="1"/>
      <protection locked="0"/>
    </xf>
    <xf numFmtId="49" fontId="0" fillId="0" borderId="12" xfId="0" applyFont="1" applyBorder="1" applyNumberFormat="1">
      <alignment horizontal="center" vertical="center" wrapText="1"/>
    </xf>
    <xf numFmtId="49" fontId="0" fillId="0" borderId="12" xfId="0" applyFont="1" applyBorder="1" applyNumberFormat="1">
      <alignment vertical="top" wrapText="1"/>
    </xf>
    <xf numFmtId="0" fontId="0" fillId="35" borderId="14" xfId="0" applyFont="1" applyFill="1" applyBorder="1">
      <alignment horizontal="left" vertical="center" wrapText="1" indent="1"/>
    </xf>
    <xf numFmtId="0" fontId="0" fillId="35" borderId="17" xfId="0" applyFont="1" applyFill="1" applyBorder="1">
      <alignment horizontal="left" vertical="center" wrapText="1"/>
    </xf>
    <xf numFmtId="0" fontId="0" fillId="35" borderId="12" xfId="0" applyFont="1" applyFill="1" applyBorder="1">
      <alignment horizontal="left" vertical="center" wrapText="1"/>
    </xf>
    <xf numFmtId="0" fontId="0" fillId="35" borderId="12" xfId="0" applyFont="1" applyFill="1" applyBorder="1">
      <alignment horizontal="left" vertical="center" wrapText="1" indent="2"/>
    </xf>
    <xf numFmtId="0" fontId="0" fillId="35" borderId="12" xfId="0" applyFont="1" applyFill="1" applyBorder="1">
      <alignment horizontal="center" vertical="center"/>
    </xf>
    <xf numFmtId="49" fontId="0" fillId="39" borderId="12" xfId="0" applyFont="1" applyFill="1" applyBorder="1" applyNumberFormat="1">
      <alignment horizontal="left" vertical="center" wrapText="1"/>
      <protection locked="0"/>
    </xf>
    <xf numFmtId="0" fontId="0" fillId="35" borderId="12" xfId="0" applyFont="1" applyFill="1" applyBorder="1">
      <alignment horizontal="left" vertical="center" wrapText="1" indent="1"/>
    </xf>
    <xf numFmtId="0" fontId="0" fillId="0" borderId="12" xfId="0" applyFont="1" applyBorder="1">
      <alignment horizontal="center" vertical="center" wrapText="1"/>
    </xf>
    <xf numFmtId="0" fontId="0" fillId="35" borderId="12" xfId="0" applyFont="1" applyFill="1" applyBorder="1">
      <alignment vertical="center" wrapText="1"/>
    </xf>
    <xf numFmtId="49" fontId="0" fillId="35" borderId="12" xfId="0" applyFont="1" applyFill="1" applyBorder="1" applyNumberFormat="1">
      <alignment horizontal="center" vertical="center"/>
    </xf>
    <xf numFmtId="0" fontId="0" fillId="35" borderId="12" xfId="0" applyFont="1" applyFill="1" applyBorder="1">
      <alignment horizontal="center" vertical="center" wrapText="1"/>
    </xf>
    <xf numFmtId="0" fontId="22" fillId="0" borderId="0" xfId="0" applyFont="1">
      <alignment vertical="center" wrapText="1"/>
    </xf>
    <xf numFmtId="49" fontId="35" fillId="35" borderId="0" xfId="0" applyFont="1" applyFill="1" applyNumberFormat="1">
      <alignment horizontal="center" vertical="center" wrapText="1"/>
    </xf>
    <xf numFmtId="0" fontId="31" fillId="0" borderId="0" xfId="0" applyFont="1">
      <alignment vertical="center" wrapText="1"/>
    </xf>
    <xf numFmtId="0" fontId="36" fillId="35" borderId="0" xfId="0" applyFont="1" applyFill="1">
      <alignment horizontal="center" vertical="center" wrapText="1"/>
    </xf>
    <xf numFmtId="0" fontId="36" fillId="0" borderId="0" xfId="0" applyFont="1">
      <alignment horizontal="center" vertical="center" wrapText="1"/>
    </xf>
    <xf numFmtId="0" fontId="41" fillId="0" borderId="0" xfId="0" applyFont="1">
      <alignment vertical="center" wrapText="1"/>
    </xf>
    <xf numFmtId="0" fontId="45" fillId="0" borderId="0" xfId="0" applyFont="1">
      <alignment horizontal="center" vertical="center" wrapText="1"/>
    </xf>
    <xf numFmtId="0" fontId="44" fillId="0" borderId="0" xfId="0" applyFont="1">
      <alignment vertical="center" wrapText="1"/>
    </xf>
    <xf numFmtId="0" fontId="0" fillId="35" borderId="0" xfId="0" applyFont="1" applyFill="1"/>
    <xf numFmtId="0" fontId="0" fillId="35" borderId="0" xfId="0" applyFont="1" applyFill="1">
      <alignment horizontal="center"/>
    </xf>
    <xf numFmtId="0" fontId="22" fillId="35" borderId="0" xfId="0" applyFont="1" applyFill="1">
      <alignment vertical="center" wrapText="1"/>
    </xf>
    <xf numFmtId="0" fontId="75" fillId="35" borderId="0" xfId="0" applyFont="1" applyFill="1">
      <alignment horizontal="center"/>
    </xf>
    <xf numFmtId="0" fontId="75" fillId="35" borderId="0" xfId="0" applyFont="1" applyFill="1"/>
    <xf numFmtId="0" fontId="76" fillId="35" borderId="0" xfId="0" applyFont="1" applyFill="1"/>
    <xf numFmtId="0" fontId="77" fillId="35" borderId="0" xfId="0" applyFont="1" applyFill="1">
      <alignment horizontal="right" vertical="center"/>
    </xf>
    <xf numFmtId="0" fontId="77" fillId="35" borderId="0" xfId="0" applyFont="1" applyFill="1">
      <alignment horizontal="right" vertical="top"/>
    </xf>
    <xf numFmtId="0" fontId="22" fillId="35" borderId="0" xfId="0" applyFont="1" applyFill="1">
      <alignment horizontal="center" vertical="center" wrapText="1"/>
    </xf>
    <xf numFmtId="0" fontId="35" fillId="35" borderId="0" xfId="0" applyFont="1" applyFill="1">
      <alignment horizontal="center" vertical="center"/>
    </xf>
    <xf numFmtId="0" fontId="22" fillId="0" borderId="12" xfId="0" applyFont="1" applyBorder="1">
      <alignment horizontal="center" vertical="center" wrapText="1"/>
    </xf>
    <xf numFmtId="0" fontId="44" fillId="0" borderId="0" xfId="0" applyFont="1">
      <alignment vertical="top" wrapText="1"/>
    </xf>
    <xf numFmtId="0" fontId="22" fillId="37" borderId="14" xfId="0" applyFont="1" applyFill="1" applyBorder="1">
      <alignment horizontal="center"/>
    </xf>
    <xf numFmtId="0" fontId="73" fillId="37" borderId="15" xfId="0" applyFont="1" applyFill="1" applyBorder="1">
      <alignment horizontal="left" vertical="center"/>
    </xf>
    <xf numFmtId="0" fontId="73" fillId="37" borderId="13" xfId="0" applyFont="1" applyFill="1" applyBorder="1">
      <alignment horizontal="left" vertical="center"/>
    </xf>
    <xf numFmtId="0" fontId="78" fillId="35" borderId="0" xfId="0" applyFont="1" applyFill="1">
      <alignment vertical="center"/>
    </xf>
    <xf numFmtId="0" fontId="78" fillId="35" borderId="0" xfId="0" applyFont="1" applyFill="1">
      <alignment vertical="center" wrapText="1"/>
    </xf>
    <xf numFmtId="49" fontId="22" fillId="35" borderId="12" xfId="0" applyFont="1" applyFill="1" applyBorder="1" applyNumberFormat="1">
      <alignment horizontal="center" vertical="center" wrapText="1"/>
    </xf>
    <xf numFmtId="0" fontId="22" fillId="35" borderId="12" xfId="0" applyFont="1" applyFill="1" applyBorder="1">
      <alignment horizontal="center" vertical="center" wrapText="1"/>
    </xf>
    <xf numFmtId="0" fontId="22" fillId="35" borderId="12" xfId="0" applyFont="1" applyFill="1" applyBorder="1">
      <alignment vertical="center" wrapText="1"/>
    </xf>
    <xf numFmtId="0" fontId="65" fillId="35" borderId="0" xfId="0" applyFont="1" applyFill="1"/>
    <xf numFmtId="0" fontId="51" fillId="35" borderId="0" xfId="0" applyFont="1" applyFill="1"/>
    <xf numFmtId="0" fontId="61" fillId="35" borderId="0" xfId="0" applyFont="1" applyFill="1"/>
    <xf numFmtId="0" fontId="61" fillId="35" borderId="0" xfId="0" applyFont="1" applyFill="1">
      <alignment horizontal="center"/>
    </xf>
    <xf numFmtId="0" fontId="58" fillId="0" borderId="0" xfId="0" applyFont="1">
      <alignment vertical="center" wrapText="1"/>
    </xf>
    <xf numFmtId="0" fontId="60" fillId="0" borderId="0" xfId="0" applyFont="1">
      <alignment vertical="center" wrapText="1"/>
    </xf>
    <xf numFmtId="0" fontId="60" fillId="35" borderId="0" xfId="0" applyFont="1" applyFill="1">
      <alignment vertical="center" wrapText="1"/>
    </xf>
    <xf numFmtId="0" fontId="60" fillId="35" borderId="0" xfId="0" applyFont="1" applyFill="1">
      <alignment horizontal="right" vertical="center"/>
    </xf>
    <xf numFmtId="0" fontId="60" fillId="35" borderId="0" xfId="0" applyFont="1" applyFill="1">
      <alignment horizontal="right" vertical="center" wrapText="1"/>
    </xf>
    <xf numFmtId="4" fontId="60" fillId="0" borderId="0" xfId="0" applyFont="1" applyNumberFormat="1">
      <alignment horizontal="right" vertical="center" wrapText="1"/>
    </xf>
    <xf numFmtId="0" fontId="60" fillId="0" borderId="0" xfId="0" applyFont="1">
      <alignment horizontal="left" vertical="center" wrapText="1" indent="1"/>
    </xf>
    <xf numFmtId="0" fontId="79" fillId="35" borderId="0" xfId="0" applyFont="1" applyFill="1">
      <alignment horizontal="center" vertical="center" wrapText="1"/>
    </xf>
    <xf numFmtId="0" fontId="35" fillId="35" borderId="0" xfId="0" applyFont="1" applyFill="1">
      <alignment horizontal="center" vertical="center" wrapText="1"/>
    </xf>
    <xf numFmtId="0" fontId="64" fillId="0" borderId="0" xfId="0" applyFont="1">
      <alignment vertical="center" wrapText="1"/>
    </xf>
    <xf numFmtId="0" fontId="47" fillId="0" borderId="0" xfId="0" applyFont="1">
      <alignment vertical="center" wrapText="1"/>
    </xf>
    <xf numFmtId="49" fontId="22" fillId="40" borderId="12" xfId="0" applyFont="1" applyFill="1" applyBorder="1" applyNumberFormat="1">
      <alignment horizontal="left" vertical="center" wrapText="1"/>
    </xf>
    <xf numFmtId="0" fontId="64" fillId="0" borderId="0" xfId="0" applyFont="1">
      <alignment horizontal="center" vertical="center" wrapText="1"/>
    </xf>
    <xf numFmtId="0" fontId="22" fillId="35" borderId="24" xfId="0" applyFont="1" applyFill="1" applyBorder="1">
      <alignment vertical="center" wrapText="1"/>
    </xf>
    <xf numFmtId="49" fontId="35" fillId="35" borderId="15" xfId="0" applyFont="1" applyFill="1" applyBorder="1" applyNumberFormat="1">
      <alignment horizontal="center" vertical="center" wrapText="1"/>
    </xf>
    <xf numFmtId="0" fontId="47" fillId="0" borderId="0" xfId="0" applyFont="1">
      <alignment horizontal="center" vertical="center" wrapText="1"/>
    </xf>
    <xf numFmtId="0" fontId="79" fillId="0" borderId="0" xfId="0" applyFont="1">
      <alignment horizontal="center" vertical="center" wrapText="1"/>
    </xf>
    <xf numFmtId="0" fontId="72" fillId="0" borderId="0" xfId="0" applyFont="1">
      <alignment vertical="center" wrapText="1"/>
    </xf>
    <xf numFmtId="49" fontId="72" fillId="0" borderId="12" xfId="0" applyFont="1" applyBorder="1" applyNumberFormat="1">
      <alignment horizontal="left" vertical="center" wrapText="1"/>
    </xf>
    <xf numFmtId="0" fontId="80" fillId="35" borderId="0" xfId="0" applyFont="1" applyFill="1">
      <alignment horizontal="center" vertical="center" wrapText="1"/>
    </xf>
    <xf numFmtId="49" fontId="72" fillId="0" borderId="17" xfId="0" applyFont="1" applyBorder="1" applyNumberFormat="1">
      <alignment horizontal="left" vertical="center" wrapText="1"/>
    </xf>
    <xf numFmtId="0" fontId="47" fillId="0" borderId="0" xfId="0" applyFont="1">
      <alignment vertical="center"/>
    </xf>
    <xf numFmtId="0" fontId="47" fillId="35" borderId="0" xfId="0" applyFont="1" applyFill="1"/>
    <xf numFmtId="0" fontId="47" fillId="35" borderId="0" xfId="0" applyFont="1" applyFill="1">
      <alignment vertical="center" wrapText="1"/>
    </xf>
    <xf numFmtId="0" fontId="47" fillId="0" borderId="0" xfId="0" applyFont="1">
      <alignment vertical="center" wrapText="1"/>
    </xf>
    <xf numFmtId="49" fontId="22" fillId="0" borderId="0" xfId="0" applyFont="1" applyNumberFormat="1">
      <alignment vertical="top"/>
    </xf>
    <xf numFmtId="0" fontId="22" fillId="0" borderId="0" xfId="0" applyFont="1">
      <alignment vertical="center" wrapText="1"/>
    </xf>
    <xf numFmtId="0" fontId="36" fillId="35" borderId="0" xfId="0" applyFont="1" applyFill="1">
      <alignment horizontal="center" vertical="center" wrapText="1"/>
    </xf>
    <xf numFmtId="0" fontId="41" fillId="0" borderId="0" xfId="0" applyFont="1">
      <alignment vertical="center" wrapText="1"/>
    </xf>
    <xf numFmtId="49" fontId="22" fillId="0" borderId="12" xfId="0" applyFont="1" applyBorder="1" applyNumberFormat="1">
      <alignment horizontal="left" vertical="center" wrapText="1"/>
    </xf>
    <xf numFmtId="0" fontId="22" fillId="0" borderId="0" xfId="0" applyFont="1">
      <alignment vertical="center" wrapText="1"/>
    </xf>
    <xf numFmtId="49" fontId="47" fillId="0" borderId="0" xfId="0" applyFont="1" applyNumberFormat="1">
      <alignment vertical="center" wrapText="1"/>
    </xf>
    <xf numFmtId="0" fontId="47" fillId="0" borderId="0" xfId="0" applyFont="1">
      <alignment vertical="center" wrapText="1"/>
    </xf>
    <xf numFmtId="0" fontId="22" fillId="0" borderId="12" xfId="0" applyFont="1" applyBorder="1">
      <alignment horizontal="center" vertical="center" wrapText="1"/>
    </xf>
    <xf numFmtId="14"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14" fontId="81" fillId="37" borderId="15" xfId="0" applyFont="1" applyFill="1" applyBorder="1" applyNumberFormat="1">
      <alignment horizontal="center" vertical="center" wrapText="1"/>
    </xf>
    <xf numFmtId="0" fontId="47" fillId="0" borderId="0" xfId="0" applyFont="1">
      <alignment horizontal="left" vertical="center" wrapText="1"/>
    </xf>
    <xf numFmtId="49" fontId="47" fillId="0" borderId="0" xfId="0" applyFont="1" applyNumberFormat="1">
      <alignment horizontal="left" vertical="center" wrapText="1"/>
    </xf>
    <xf numFmtId="0" fontId="47" fillId="0" borderId="0" xfId="0" applyFont="1">
      <alignment vertical="center" wrapText="1"/>
    </xf>
    <xf numFmtId="49" fontId="53" fillId="0" borderId="12" xfId="0" applyFont="1" applyBorder="1" applyNumberFormat="1">
      <alignment horizontal="left" vertical="center" wrapText="1"/>
    </xf>
    <xf numFmtId="14" fontId="22" fillId="40" borderId="12" xfId="0" applyFont="1" applyFill="1" applyBorder="1" applyNumberFormat="1">
      <alignment horizontal="center" vertical="center" wrapText="1"/>
    </xf>
    <xf numFmtId="0" fontId="22" fillId="0" borderId="12" xfId="0" applyFont="1" applyBorder="1">
      <alignment horizontal="center" vertical="center" wrapText="1"/>
    </xf>
    <xf numFmtId="0" fontId="22" fillId="0" borderId="0" xfId="0" applyFont="1">
      <alignment horizontal="center" vertical="center" wrapText="1"/>
    </xf>
    <xf numFmtId="0" fontId="22" fillId="0" borderId="12" xfId="0" applyFont="1" applyBorder="1">
      <alignment horizontal="center" vertical="center" wrapText="1"/>
    </xf>
    <xf numFmtId="49" fontId="22" fillId="40" borderId="12" xfId="0" applyFont="1" applyFill="1" applyBorder="1" applyNumberFormat="1">
      <alignment horizontal="center" vertical="center" wrapText="1"/>
    </xf>
    <xf numFmtId="0" fontId="82" fillId="0" borderId="0" xfId="0" applyFont="1">
      <alignment horizontal="center" vertical="center" wrapText="1"/>
    </xf>
    <xf numFmtId="0" fontId="36" fillId="0" borderId="0" xfId="0" applyFont="1">
      <alignment horizontal="center" vertical="center" wrapText="1"/>
    </xf>
    <xf numFmtId="49" fontId="22" fillId="0" borderId="12" xfId="0" applyFont="1" applyBorder="1" applyNumberFormat="1">
      <alignment horizontal="center" vertical="center" wrapText="1"/>
    </xf>
    <xf numFmtId="0" fontId="0" fillId="35" borderId="14" xfId="0" applyFont="1" applyFill="1" applyBorder="1">
      <alignment horizontal="left" vertical="center" wrapText="1"/>
    </xf>
    <xf numFmtId="49" fontId="49" fillId="37" borderId="15" xfId="0" applyFont="1" applyFill="1" applyBorder="1" applyNumberFormat="1">
      <alignment horizontal="center" vertical="center"/>
    </xf>
    <xf numFmtId="0" fontId="32" fillId="0" borderId="0" xfId="0" applyFont="1">
      <alignment vertical="center" wrapText="1"/>
    </xf>
    <xf numFmtId="0" fontId="31" fillId="0" borderId="0" xfId="0" applyFont="1">
      <alignment horizontal="center" vertical="center" wrapText="1"/>
    </xf>
    <xf numFmtId="0" fontId="22" fillId="0" borderId="0" xfId="0" applyFont="1">
      <alignment horizontal="center" vertical="center" wrapText="1"/>
    </xf>
    <xf numFmtId="0" fontId="22" fillId="0" borderId="0" xfId="0" applyFont="1">
      <alignment vertical="center" wrapText="1"/>
    </xf>
    <xf numFmtId="0" fontId="46" fillId="0" borderId="0" xfId="0" applyFont="1">
      <alignment horizontal="center" vertical="center" wrapText="1"/>
    </xf>
    <xf numFmtId="0" fontId="83" fillId="0" borderId="0" xfId="0" applyFont="1">
      <alignment vertical="center" wrapText="1"/>
    </xf>
    <xf numFmtId="49" fontId="46" fillId="0" borderId="0" xfId="0" applyFont="1" applyNumberFormat="1">
      <alignment horizontal="center" vertical="center" wrapText="1"/>
    </xf>
    <xf numFmtId="0" fontId="46" fillId="0" borderId="0" xfId="0" applyFont="1">
      <alignment vertical="center" wrapText="1"/>
    </xf>
    <xf numFmtId="49" fontId="22" fillId="0" borderId="0" xfId="0" applyFont="1" applyNumberFormat="1">
      <alignment horizontal="center" vertical="top" wrapText="1"/>
    </xf>
    <xf numFmtId="49" fontId="22" fillId="0" borderId="12" xfId="0" applyFont="1" applyBorder="1" applyNumberFormat="1">
      <alignment horizontal="center" vertical="center" wrapText="1"/>
    </xf>
    <xf numFmtId="49" fontId="22" fillId="39" borderId="12" xfId="0" applyFont="1" applyFill="1" applyBorder="1" applyNumberFormat="1">
      <alignment vertical="center" wrapText="1"/>
      <protection locked="0"/>
    </xf>
    <xf numFmtId="4" fontId="22" fillId="36" borderId="12" xfId="0" applyFont="1" applyFill="1" applyBorder="1" applyNumberFormat="1">
      <alignment horizontal="right" vertical="center" wrapText="1"/>
      <protection locked="0"/>
    </xf>
    <xf numFmtId="0" fontId="22" fillId="0" borderId="13" xfId="0" applyFont="1" applyBorder="1">
      <alignment vertical="top" wrapText="1"/>
    </xf>
    <xf numFmtId="0" fontId="84" fillId="0" borderId="0" xfId="0" applyFont="1">
      <alignment vertical="center" wrapText="1"/>
    </xf>
    <xf numFmtId="0" fontId="54" fillId="0" borderId="0" xfId="0" applyFont="1">
      <alignment vertical="center" wrapText="1"/>
    </xf>
    <xf numFmtId="211" fontId="22" fillId="36" borderId="12" xfId="0" applyFont="1" applyFill="1" applyBorder="1" applyNumberFormat="1">
      <alignment horizontal="right" vertical="center" wrapText="1"/>
      <protection locked="0"/>
    </xf>
    <xf numFmtId="0" fontId="22" fillId="0" borderId="28" xfId="0" applyFont="1" applyBorder="1">
      <alignment horizontal="center" vertical="center" wrapText="1"/>
    </xf>
    <xf numFmtId="0" fontId="22" fillId="39" borderId="12" xfId="0" applyFont="1" applyFill="1" applyBorder="1">
      <alignment horizontal="left" vertical="center" wrapText="1" indent="2"/>
      <protection locked="0"/>
    </xf>
    <xf numFmtId="49" fontId="47" fillId="0" borderId="0" xfId="0" applyFont="1" applyNumberFormat="1">
      <alignment horizontal="center" vertical="center" wrapText="1"/>
    </xf>
    <xf numFmtId="0" fontId="47" fillId="0" borderId="28" xfId="0" applyFont="1" applyBorder="1">
      <alignment horizontal="center" vertical="center" wrapText="1"/>
    </xf>
    <xf numFmtId="0" fontId="47" fillId="0" borderId="12" xfId="0" applyFont="1" applyBorder="1">
      <alignment horizontal="left" vertical="center" wrapText="1" indent="2"/>
    </xf>
    <xf numFmtId="0" fontId="47" fillId="0" borderId="12" xfId="0" applyFont="1" applyBorder="1">
      <alignment horizontal="center" vertical="center" wrapText="1"/>
    </xf>
    <xf numFmtId="0" fontId="47" fillId="0" borderId="12" xfId="0" applyFont="1" applyBorder="1">
      <alignment vertical="center" wrapText="1"/>
    </xf>
    <xf numFmtId="0" fontId="22" fillId="0" borderId="12" xfId="0" applyFont="1" applyBorder="1">
      <alignment horizontal="left" vertical="center" wrapText="1" indent="3"/>
    </xf>
    <xf numFmtId="49" fontId="22" fillId="39" borderId="12" xfId="0" applyFont="1" applyFill="1" applyBorder="1" applyNumberFormat="1">
      <alignment horizontal="center" vertical="center" wrapText="1"/>
      <protection locked="0"/>
    </xf>
    <xf numFmtId="0" fontId="22" fillId="36" borderId="12" xfId="0" applyFont="1" applyFill="1" applyBorder="1">
      <alignment horizontal="left" vertical="center" wrapText="1"/>
      <protection locked="0"/>
    </xf>
    <xf numFmtId="0" fontId="45" fillId="0" borderId="0" xfId="0" applyFont="1">
      <alignment vertical="center" wrapText="1"/>
    </xf>
    <xf numFmtId="4" fontId="22" fillId="39" borderId="12" xfId="0" applyFont="1" applyFill="1" applyBorder="1" applyNumberFormat="1">
      <alignment horizontal="right" vertical="center" wrapText="1"/>
      <protection locked="0"/>
    </xf>
    <xf numFmtId="4" fontId="22" fillId="34" borderId="12" xfId="0" applyFont="1" applyFill="1" applyBorder="1" applyNumberFormat="1">
      <alignment horizontal="right" vertical="center" wrapText="1"/>
    </xf>
    <xf numFmtId="0" fontId="22" fillId="0" borderId="12" xfId="0" applyFont="1" applyBorder="1">
      <alignment horizontal="left" vertical="center" wrapText="1" indent="1"/>
    </xf>
    <xf numFmtId="49" fontId="72" fillId="0" borderId="0" xfId="0" applyFont="1" applyNumberFormat="1">
      <alignment horizontal="center" vertical="center" wrapText="1"/>
    </xf>
    <xf numFmtId="49" fontId="72" fillId="0" borderId="28" xfId="0" applyFont="1" applyBorder="1" applyNumberFormat="1">
      <alignment horizontal="center" vertical="center" wrapText="1"/>
    </xf>
    <xf numFmtId="0" fontId="72" fillId="0" borderId="12" xfId="0" applyFont="1" applyBorder="1">
      <alignment horizontal="left" vertical="center" wrapText="1" indent="2"/>
    </xf>
    <xf numFmtId="0" fontId="72" fillId="0" borderId="12" xfId="0" applyFont="1" applyBorder="1">
      <alignment horizontal="center" vertical="center" wrapText="1"/>
    </xf>
    <xf numFmtId="0" fontId="72" fillId="0" borderId="12" xfId="0" applyFont="1" applyBorder="1">
      <alignment vertical="center" wrapText="1"/>
    </xf>
    <xf numFmtId="0" fontId="85" fillId="0" borderId="0" xfId="0" applyFont="1">
      <alignment vertical="center" wrapText="1"/>
    </xf>
    <xf numFmtId="0" fontId="63" fillId="0" borderId="0" xfId="0" applyFont="1">
      <alignment vertical="center" wrapText="1"/>
    </xf>
    <xf numFmtId="0" fontId="72" fillId="0" borderId="28" xfId="0" applyFont="1" applyBorder="1">
      <alignment horizontal="center" vertical="center" wrapText="1"/>
    </xf>
    <xf numFmtId="0" fontId="72" fillId="0" borderId="12" xfId="0" applyFont="1" applyBorder="1">
      <alignment horizontal="left" vertical="center" wrapText="1" indent="3"/>
    </xf>
    <xf numFmtId="4" fontId="72" fillId="0" borderId="12" xfId="0" applyFont="1" applyBorder="1" applyNumberFormat="1">
      <alignment horizontal="right" vertical="center" wrapText="1"/>
    </xf>
    <xf numFmtId="49" fontId="22" fillId="37" borderId="14" xfId="0" applyFont="1" applyFill="1" applyBorder="1" applyNumberFormat="1">
      <alignment vertical="center" wrapText="1"/>
    </xf>
    <xf numFmtId="49" fontId="39" fillId="37" borderId="15" xfId="0" applyFont="1" applyFill="1" applyBorder="1" applyNumberFormat="1">
      <alignment horizontal="left" vertical="center" indent="2"/>
    </xf>
    <xf numFmtId="0" fontId="22" fillId="37" borderId="15" xfId="0" applyFont="1" applyFill="1" applyBorder="1">
      <alignment vertical="center" wrapText="1"/>
    </xf>
    <xf numFmtId="0" fontId="46" fillId="37" borderId="13" xfId="0" applyFont="1" applyFill="1" applyBorder="1">
      <alignment vertical="center" wrapText="1"/>
    </xf>
    <xf numFmtId="14" fontId="22" fillId="0" borderId="0" xfId="0" applyFont="1" applyNumberFormat="1">
      <alignment horizontal="center" vertical="center" wrapText="1"/>
    </xf>
    <xf numFmtId="49" fontId="49" fillId="0" borderId="0" xfId="0" applyFont="1" applyNumberFormat="1">
      <alignment horizontal="center" vertical="center"/>
    </xf>
    <xf numFmtId="0" fontId="22" fillId="0" borderId="12" xfId="0" applyFont="1" applyBorder="1">
      <alignment horizontal="left" vertical="center" wrapText="1" indent="2"/>
    </xf>
    <xf numFmtId="211" fontId="22" fillId="39" borderId="12" xfId="0" applyFont="1" applyFill="1" applyBorder="1" applyNumberFormat="1">
      <alignment horizontal="right" vertical="center" wrapText="1"/>
      <protection locked="0"/>
    </xf>
    <xf numFmtId="0" fontId="22" fillId="0" borderId="17" xfId="0" applyFont="1" applyBorder="1">
      <alignment horizontal="center" vertical="center" wrapText="1"/>
    </xf>
    <xf numFmtId="4" fontId="22" fillId="34" borderId="17" xfId="0" applyFont="1" applyFill="1" applyBorder="1" applyNumberFormat="1">
      <alignment horizontal="right" vertical="center" wrapText="1"/>
    </xf>
    <xf numFmtId="49" fontId="39" fillId="37" borderId="15" xfId="0" applyFont="1" applyFill="1" applyBorder="1" applyNumberFormat="1">
      <alignment horizontal="left" vertical="center" indent="1"/>
    </xf>
    <xf numFmtId="0" fontId="22" fillId="0" borderId="0" xfId="0" applyFont="1">
      <alignment horizontal="left" vertical="center" wrapText="1"/>
    </xf>
    <xf numFmtId="0" fontId="22" fillId="0" borderId="0" xfId="0" applyFont="1">
      <alignment vertical="center"/>
    </xf>
    <xf numFmtId="0" fontId="0" fillId="0" borderId="0" xfId="0" applyFont="1">
      <alignment vertical="center"/>
    </xf>
    <xf numFmtId="0" fontId="46" fillId="0" borderId="0" xfId="0" applyFont="1">
      <alignment vertical="center"/>
    </xf>
    <xf numFmtId="0" fontId="22" fillId="0" borderId="0" xfId="0" applyFont="1">
      <alignment vertical="center"/>
    </xf>
    <xf numFmtId="0" fontId="86" fillId="0" borderId="0" xfId="0" applyFont="1">
      <alignment vertical="center"/>
    </xf>
    <xf numFmtId="0" fontId="40" fillId="0" borderId="0" xfId="0" applyFont="1">
      <alignment vertical="center"/>
    </xf>
    <xf numFmtId="0" fontId="22" fillId="0" borderId="0" xfId="0" applyFont="1">
      <alignment vertical="center" wrapText="1"/>
    </xf>
    <xf numFmtId="0" fontId="40" fillId="0" borderId="0" xfId="0" applyFont="1">
      <alignment vertical="center"/>
    </xf>
    <xf numFmtId="0" fontId="86" fillId="0" borderId="0" xfId="0" applyFont="1">
      <alignment vertical="center"/>
    </xf>
    <xf numFmtId="0" fontId="52" fillId="0" borderId="0" xfId="0" applyFont="1">
      <alignment vertical="center"/>
    </xf>
    <xf numFmtId="0" fontId="22" fillId="0" borderId="0" xfId="0" applyFont="1">
      <alignment horizontal="center" vertical="center" wrapText="1"/>
    </xf>
    <xf numFmtId="49" fontId="35" fillId="0" borderId="0" xfId="0" applyFont="1" applyNumberFormat="1">
      <alignment horizontal="center" vertical="center" wrapText="1"/>
    </xf>
    <xf numFmtId="49" fontId="35" fillId="0" borderId="12" xfId="0" applyFont="1" applyBorder="1" applyNumberFormat="1">
      <alignment horizontal="center" vertical="center" wrapText="1"/>
    </xf>
    <xf numFmtId="0" fontId="46" fillId="0" borderId="0" xfId="0" applyFont="1">
      <alignment vertical="center"/>
    </xf>
    <xf numFmtId="0" fontId="0" fillId="0" borderId="0" xfId="0" applyFont="1">
      <alignment vertical="center"/>
    </xf>
    <xf numFmtId="0" fontId="47" fillId="0" borderId="0" xfId="0" applyFont="1">
      <alignment horizontal="center" vertical="center"/>
    </xf>
    <xf numFmtId="0" fontId="22" fillId="0" borderId="0" xfId="0" applyFont="1">
      <alignment horizontal="center" vertical="center" wrapText="1"/>
    </xf>
    <xf numFmtId="0" fontId="22" fillId="37" borderId="14" xfId="0" applyFont="1" applyFill="1" applyBorder="1">
      <alignment horizontal="center" vertical="center" wrapText="1"/>
    </xf>
    <xf numFmtId="49" fontId="22" fillId="37" borderId="15" xfId="0" applyFont="1" applyFill="1" applyBorder="1" applyNumberFormat="1">
      <alignment horizontal="center" vertical="center" wrapText="1"/>
    </xf>
    <xf numFmtId="0" fontId="0" fillId="37" borderId="13" xfId="0" applyFont="1" applyFill="1" applyBorder="1">
      <alignment vertical="center"/>
    </xf>
    <xf numFmtId="49" fontId="22" fillId="0" borderId="17" xfId="0" applyFont="1" applyBorder="1" applyNumberFormat="1">
      <alignment horizontal="center" vertical="center" wrapText="1"/>
    </xf>
    <xf numFmtId="49" fontId="75" fillId="0" borderId="12" xfId="0" applyFont="1" applyBorder="1" applyNumberFormat="1">
      <alignment horizontal="left" vertical="center" wrapText="1" indent="1"/>
    </xf>
    <xf numFmtId="0" fontId="46" fillId="0" borderId="0" xfId="0" applyFont="1">
      <alignment vertical="center"/>
    </xf>
    <xf numFmtId="0" fontId="74" fillId="0" borderId="0" xfId="0" applyFont="1">
      <alignment vertical="center"/>
    </xf>
    <xf numFmtId="0" fontId="0" fillId="0" borderId="0" xfId="0" applyFont="1">
      <alignment vertical="center"/>
    </xf>
    <xf numFmtId="49" fontId="39" fillId="37" borderId="13" xfId="0" applyFont="1" applyFill="1" applyBorder="1" applyNumberFormat="1">
      <alignment horizontal="left" vertical="center" indent="1"/>
    </xf>
    <xf numFmtId="49" fontId="49" fillId="37" borderId="13" xfId="0" applyFont="1" applyFill="1" applyBorder="1" applyNumberFormat="1">
      <alignment horizontal="right" vertical="center" wrapText="1"/>
    </xf>
    <xf numFmtId="0" fontId="75" fillId="42" borderId="0" xfId="0" applyFont="1" applyFill="1">
      <alignment vertical="top"/>
    </xf>
    <xf numFmtId="49" fontId="31" fillId="0" borderId="0" xfId="0" applyFont="1" applyNumberFormat="1">
      <alignment horizontal="center" vertical="center" wrapText="1"/>
    </xf>
    <xf numFmtId="0" fontId="47" fillId="0" borderId="0" xfId="0" applyFont="1">
      <alignment vertical="center" wrapText="1"/>
    </xf>
    <xf numFmtId="0" fontId="31" fillId="0" borderId="0" xfId="0" applyFont="1">
      <alignment vertical="center" wrapText="1"/>
    </xf>
    <xf numFmtId="0" fontId="22" fillId="0" borderId="0" xfId="0" applyFont="1">
      <alignment horizontal="center" vertical="center" wrapText="1"/>
    </xf>
    <xf numFmtId="0" fontId="49" fillId="0" borderId="0" xfId="0" applyFont="1">
      <alignment horizontal="center" vertical="center" wrapText="1"/>
    </xf>
    <xf numFmtId="49" fontId="31" fillId="0" borderId="0" xfId="0" applyFont="1" applyNumberFormat="1">
      <alignment horizontal="center" vertical="center" wrapText="1"/>
    </xf>
    <xf numFmtId="4" fontId="22" fillId="0" borderId="0" xfId="0" applyFont="1" applyNumberFormat="1">
      <alignment horizontal="right" vertical="center" wrapText="1"/>
    </xf>
    <xf numFmtId="9" fontId="49" fillId="0" borderId="0" xfId="0" applyFont="1" applyNumberFormat="1">
      <alignment horizontal="center" vertical="center" wrapText="1"/>
    </xf>
    <xf numFmtId="0" fontId="71" fillId="0" borderId="0" xfId="0" applyFont="1">
      <alignment vertical="center" wrapText="1"/>
    </xf>
    <xf numFmtId="0" fontId="47" fillId="0" borderId="0" xfId="0" applyFont="1">
      <alignment vertical="center" wrapText="1"/>
    </xf>
    <xf numFmtId="0" fontId="31" fillId="0" borderId="0" xfId="0" applyFont="1">
      <alignment vertical="center" wrapText="1"/>
    </xf>
    <xf numFmtId="49" fontId="63" fillId="0" borderId="0" xfId="0" applyFont="1" applyNumberFormat="1">
      <alignment horizontal="center" vertical="center" wrapText="1"/>
    </xf>
    <xf numFmtId="0" fontId="63" fillId="0" borderId="0" xfId="0" applyFont="1">
      <alignment vertical="center" wrapText="1"/>
    </xf>
    <xf numFmtId="0" fontId="0" fillId="0" borderId="0" xfId="0" applyFont="1">
      <alignment vertical="top"/>
    </xf>
    <xf numFmtId="49" fontId="0" fillId="0" borderId="0" xfId="0" applyFont="1" applyNumberFormat="1">
      <alignment vertical="top"/>
    </xf>
    <xf numFmtId="49" fontId="47" fillId="0" borderId="0" xfId="0" applyFont="1" applyNumberFormat="1">
      <alignment vertical="top"/>
    </xf>
    <xf numFmtId="49" fontId="46" fillId="0" borderId="0" xfId="0" applyFont="1" applyNumberFormat="1">
      <alignment vertical="top"/>
    </xf>
    <xf numFmtId="49" fontId="47" fillId="0" borderId="0" xfId="0" applyFont="1" applyNumberFormat="1">
      <alignment vertical="top"/>
    </xf>
    <xf numFmtId="49" fontId="46" fillId="0" borderId="0" xfId="0" applyFont="1" applyNumberFormat="1">
      <alignment vertical="top"/>
    </xf>
    <xf numFmtId="49" fontId="46" fillId="0" borderId="0" xfId="0" applyFont="1" applyNumberFormat="1">
      <alignment vertical="top"/>
    </xf>
    <xf numFmtId="0" fontId="46" fillId="0" borderId="0" xfId="0" applyFont="1">
      <alignment vertical="top"/>
    </xf>
    <xf numFmtId="0" fontId="74" fillId="0" borderId="0" xfId="0" applyFont="1">
      <alignment vertical="top"/>
    </xf>
    <xf numFmtId="0" fontId="87" fillId="0" borderId="0" xfId="0" applyFont="1">
      <alignment vertical="top"/>
    </xf>
    <xf numFmtId="0" fontId="46" fillId="0" borderId="0" xfId="0" applyFont="1">
      <alignment horizontal="center" vertical="center" wrapText="1"/>
    </xf>
    <xf numFmtId="0" fontId="47" fillId="0" borderId="0" xfId="0" applyFont="1">
      <alignment horizontal="center" vertical="center" wrapText="1"/>
    </xf>
    <xf numFmtId="0" fontId="47" fillId="0" borderId="12" xfId="0" applyFont="1" applyBorder="1">
      <alignment horizontal="left" vertical="center" wrapText="1"/>
    </xf>
    <xf numFmtId="0" fontId="47" fillId="0" borderId="12" xfId="0" applyFont="1" applyBorder="1">
      <alignment vertical="center" wrapText="1"/>
    </xf>
    <xf numFmtId="49" fontId="0" fillId="0" borderId="13" xfId="0" applyFont="1" applyBorder="1" applyNumberFormat="1">
      <alignment horizontal="center" vertical="center" wrapText="1"/>
    </xf>
    <xf numFmtId="49" fontId="0" fillId="0" borderId="12" xfId="0" applyFont="1" applyBorder="1" applyNumberFormat="1">
      <alignment horizontal="center" vertical="center"/>
    </xf>
    <xf numFmtId="4" fontId="0" fillId="34" borderId="12" xfId="0" applyFont="1" applyFill="1" applyBorder="1" applyNumberFormat="1">
      <alignment horizontal="right" vertical="center" wrapText="1"/>
    </xf>
    <xf numFmtId="0" fontId="0" fillId="0" borderId="12" xfId="0" applyFont="1" applyBorder="1">
      <alignment vertical="center" wrapText="1"/>
    </xf>
    <xf numFmtId="49" fontId="0" fillId="0" borderId="29" xfId="0" applyFont="1" applyBorder="1" applyNumberFormat="1">
      <alignment horizontal="center" vertical="center" wrapText="1"/>
    </xf>
    <xf numFmtId="4" fontId="0" fillId="39" borderId="12" xfId="0" applyFont="1" applyFill="1" applyBorder="1" applyNumberFormat="1">
      <alignment horizontal="right" vertical="center" wrapText="1"/>
      <protection locked="0"/>
    </xf>
    <xf numFmtId="49" fontId="0" fillId="39" borderId="12" xfId="0" applyFont="1" applyFill="1" applyBorder="1" applyNumberFormat="1">
      <alignment horizontal="center" vertical="center" wrapText="1"/>
      <protection locked="0"/>
    </xf>
    <xf numFmtId="4" fontId="46" fillId="0" borderId="12" xfId="0" applyFont="1" applyBorder="1" applyNumberFormat="1">
      <alignment horizontal="right" vertical="center" wrapText="1"/>
    </xf>
    <xf numFmtId="49" fontId="0" fillId="37" borderId="30" xfId="0" applyFont="1" applyFill="1" applyBorder="1" applyNumberFormat="1">
      <alignment horizontal="center" vertical="center"/>
    </xf>
    <xf numFmtId="49" fontId="0" fillId="37" borderId="15" xfId="0" applyFont="1" applyFill="1" applyBorder="1" applyNumberFormat="1">
      <alignment horizontal="center" vertical="center"/>
    </xf>
    <xf numFmtId="49" fontId="39" fillId="37" borderId="15" xfId="0" applyFont="1" applyFill="1" applyBorder="1" applyNumberFormat="1">
      <alignment horizontal="left" vertical="center"/>
    </xf>
    <xf numFmtId="49" fontId="39" fillId="37" borderId="13" xfId="0" applyFont="1" applyFill="1" applyBorder="1" applyNumberFormat="1">
      <alignment horizontal="left" vertical="center" indent="1"/>
    </xf>
    <xf numFmtId="49" fontId="39" fillId="37" borderId="14" xfId="0" applyFont="1" applyFill="1" applyBorder="1" applyNumberFormat="1">
      <alignment horizontal="left" vertical="center"/>
    </xf>
    <xf numFmtId="49" fontId="39" fillId="37" borderId="15" xfId="0" applyFont="1" applyFill="1" applyBorder="1" applyNumberFormat="1">
      <alignment horizontal="left" vertical="center" indent="1"/>
    </xf>
    <xf numFmtId="49" fontId="39" fillId="37" borderId="15" xfId="0" applyFont="1" applyFill="1" applyBorder="1" applyNumberFormat="1">
      <alignment horizontal="left" vertical="center"/>
    </xf>
    <xf numFmtId="49" fontId="39" fillId="37" borderId="13" xfId="0" applyFont="1" applyFill="1" applyBorder="1" applyNumberFormat="1">
      <alignment horizontal="left" vertical="center" indent="1"/>
    </xf>
    <xf numFmtId="0" fontId="39" fillId="0" borderId="12" xfId="0" applyFont="1" applyBorder="1">
      <alignment horizontal="left" vertical="center" indent="1"/>
    </xf>
    <xf numFmtId="0" fontId="22" fillId="0" borderId="0" xfId="0" applyFont="1">
      <alignment horizontal="right" vertical="center" wrapText="1"/>
    </xf>
    <xf numFmtId="0" fontId="0" fillId="0" borderId="0" xfId="0" applyFont="1">
      <alignment vertical="center"/>
    </xf>
    <xf numFmtId="0" fontId="44" fillId="0" borderId="0" xfId="0" applyFont="1">
      <alignment horizontal="right" vertical="top" wrapText="1"/>
    </xf>
    <xf numFmtId="0" fontId="22" fillId="0" borderId="0" xfId="0" applyFont="1">
      <alignment vertical="top" wrapText="1"/>
    </xf>
    <xf numFmtId="0" fontId="22" fillId="0" borderId="0" xfId="0" applyFont="1">
      <alignment horizontal="left" vertical="top" wrapText="1"/>
    </xf>
    <xf numFmtId="0" fontId="35" fillId="0" borderId="0" xfId="0" applyFont="1">
      <alignment horizontal="center" vertical="center" wrapText="1"/>
    </xf>
    <xf numFmtId="4" fontId="22" fillId="0" borderId="12" xfId="0" applyFont="1" applyBorder="1" applyNumberFormat="1">
      <alignment horizontal="center" vertical="center" wrapText="1"/>
    </xf>
    <xf numFmtId="49" fontId="53" fillId="36" borderId="14" xfId="0" applyFont="1" applyFill="1" applyBorder="1" applyNumberFormat="1">
      <alignment horizontal="left" vertical="center" wrapText="1"/>
      <protection locked="0"/>
    </xf>
    <xf numFmtId="49" fontId="53" fillId="36" borderId="14" xfId="0" applyFont="1" applyFill="1" applyBorder="1" applyNumberFormat="1">
      <alignment horizontal="left" vertical="center" wrapText="1"/>
      <protection locked="0"/>
    </xf>
    <xf numFmtId="49" fontId="22" fillId="39" borderId="12" xfId="0" applyFont="1" applyFill="1" applyBorder="1" applyNumberFormat="1">
      <alignment horizontal="left" vertical="center" wrapText="1"/>
      <protection locked="0"/>
    </xf>
    <xf numFmtId="0" fontId="44" fillId="0" borderId="0" xfId="0" applyFont="1">
      <alignment vertical="top"/>
    </xf>
    <xf numFmtId="49" fontId="22" fillId="0" borderId="31" xfId="0" applyFont="1" applyBorder="1" applyNumberFormat="1">
      <alignment horizontal="center" vertical="center" wrapText="1"/>
    </xf>
    <xf numFmtId="0" fontId="22" fillId="0" borderId="31" xfId="0" applyFont="1" applyBorder="1">
      <alignment horizontal="left" vertical="center" wrapText="1"/>
    </xf>
    <xf numFmtId="0" fontId="22" fillId="0" borderId="31" xfId="0" applyFont="1" applyBorder="1">
      <alignment horizontal="left" vertical="center" wrapText="1" indent="1"/>
    </xf>
    <xf numFmtId="4" fontId="22" fillId="39" borderId="31" xfId="0" applyFont="1" applyFill="1" applyBorder="1" applyNumberFormat="1">
      <alignment horizontal="right" vertical="center" wrapText="1"/>
      <protection locked="0"/>
    </xf>
    <xf numFmtId="49" fontId="22" fillId="0" borderId="32" xfId="0" applyFont="1" applyBorder="1" applyNumberFormat="1">
      <alignment horizontal="center" vertical="center" wrapText="1"/>
    </xf>
    <xf numFmtId="49" fontId="22" fillId="39" borderId="12" xfId="0" applyFont="1" applyFill="1" applyBorder="1" applyNumberFormat="1">
      <alignment horizontal="left" vertical="center" wrapText="1" indent="1"/>
      <protection locked="0"/>
    </xf>
    <xf numFmtId="0" fontId="22" fillId="0" borderId="31" xfId="0" applyFont="1" applyBorder="1">
      <alignment horizontal="left" vertical="center" wrapText="1" indent="2"/>
    </xf>
    <xf numFmtId="0" fontId="46" fillId="0" borderId="0" xfId="0" applyFont="1">
      <alignment horizontal="center" vertical="center" wrapText="1"/>
    </xf>
    <xf numFmtId="49" fontId="22" fillId="0" borderId="0" xfId="0" applyFont="1" applyNumberFormat="1">
      <alignment horizontal="left" vertical="center" wrapText="1"/>
    </xf>
    <xf numFmtId="0" fontId="83" fillId="0" borderId="0" xfId="0" applyFont="1">
      <alignment vertical="center" wrapText="1"/>
    </xf>
    <xf numFmtId="0" fontId="83" fillId="0" borderId="0" xfId="0" applyFont="1">
      <alignment vertical="center" wrapText="1"/>
    </xf>
    <xf numFmtId="0" fontId="22" fillId="0" borderId="0" xfId="0" applyFont="1">
      <alignment horizontal="left" vertical="center" wrapText="1"/>
    </xf>
    <xf numFmtId="0" fontId="22" fillId="0" borderId="12" xfId="0" applyFont="1" applyBorder="1">
      <alignment horizontal="left" vertical="center" wrapText="1"/>
    </xf>
    <xf numFmtId="3" fontId="22" fillId="0" borderId="14" xfId="0" applyFont="1" applyBorder="1" applyNumberFormat="1">
      <alignment vertical="center" wrapText="1"/>
    </xf>
    <xf numFmtId="0" fontId="22" fillId="0" borderId="13" xfId="0" applyFont="1" applyBorder="1">
      <alignment vertical="center" wrapText="1"/>
    </xf>
    <xf numFmtId="4" fontId="22" fillId="36" borderId="14" xfId="0" applyFont="1" applyFill="1" applyBorder="1" applyNumberFormat="1">
      <alignment horizontal="right" vertical="center" wrapText="1"/>
      <protection locked="0"/>
    </xf>
    <xf numFmtId="4" fontId="22" fillId="0" borderId="14" xfId="0" applyFont="1" applyBorder="1" applyNumberFormat="1">
      <alignment horizontal="right" vertical="center" wrapText="1"/>
    </xf>
    <xf numFmtId="4" fontId="22" fillId="0" borderId="30" xfId="0" applyFont="1" applyBorder="1" applyNumberFormat="1">
      <alignment horizontal="right" vertical="center" wrapText="1"/>
    </xf>
    <xf numFmtId="0" fontId="35" fillId="0" borderId="0" xfId="0" applyFont="1">
      <alignment horizontal="center" vertical="center" wrapText="1"/>
    </xf>
    <xf numFmtId="0" fontId="22" fillId="0" borderId="14" xfId="0" applyFont="1" applyBorder="1">
      <alignment horizontal="center" vertical="center" wrapText="1"/>
    </xf>
    <xf numFmtId="3" fontId="22" fillId="39" borderId="14" xfId="0" applyFont="1" applyFill="1" applyBorder="1" applyNumberFormat="1">
      <alignment vertical="center" wrapText="1"/>
      <protection locked="0"/>
    </xf>
    <xf numFmtId="49" fontId="22" fillId="36" borderId="14" xfId="0" applyFont="1" applyFill="1" applyBorder="1" applyNumberFormat="1">
      <alignment horizontal="left" vertical="center" wrapText="1"/>
      <protection locked="0"/>
    </xf>
    <xf numFmtId="4" fontId="22" fillId="34" borderId="14" xfId="0" applyFont="1" applyFill="1" applyBorder="1" applyNumberFormat="1">
      <alignment horizontal="right" vertical="center" wrapText="1"/>
    </xf>
    <xf numFmtId="0" fontId="22" fillId="0" borderId="0" xfId="0" applyFont="1">
      <alignment horizontal="left" vertical="center" wrapText="1"/>
    </xf>
    <xf numFmtId="0" fontId="0" fillId="0" borderId="14" xfId="0" applyFont="1" applyBorder="1">
      <alignment horizontal="center" vertical="center"/>
    </xf>
    <xf numFmtId="49" fontId="0" fillId="0" borderId="12" xfId="0" applyFont="1" applyBorder="1" applyNumberFormat="1">
      <alignment horizontal="left" vertical="center" wrapText="1" indent="1"/>
    </xf>
    <xf numFmtId="0" fontId="22" fillId="0" borderId="13" xfId="0" applyFont="1" applyBorder="1">
      <alignment horizontal="center" vertical="center" wrapText="1"/>
    </xf>
    <xf numFmtId="49" fontId="0" fillId="0" borderId="14" xfId="0" applyFont="1" applyBorder="1" applyNumberFormat="1">
      <alignment horizontal="center" vertical="center"/>
    </xf>
    <xf numFmtId="49" fontId="0" fillId="0" borderId="12" xfId="0" applyFont="1" applyBorder="1" applyNumberFormat="1">
      <alignment vertical="center" wrapText="1"/>
    </xf>
    <xf numFmtId="0" fontId="22" fillId="37" borderId="19" xfId="0" applyFont="1" applyFill="1" applyBorder="1">
      <alignment vertical="center" wrapText="1"/>
    </xf>
    <xf numFmtId="0" fontId="22" fillId="0" borderId="15" xfId="0" applyFont="1" applyBorder="1">
      <alignment horizontal="center" vertical="center" wrapText="1"/>
    </xf>
    <xf numFmtId="0" fontId="22" fillId="37" borderId="27" xfId="0" applyFont="1" applyFill="1" applyBorder="1">
      <alignment vertical="center" wrapText="1"/>
    </xf>
    <xf numFmtId="49" fontId="22" fillId="39" borderId="14" xfId="0" applyFont="1" applyFill="1" applyBorder="1" applyNumberFormat="1">
      <alignment horizontal="left" vertical="center" wrapText="1"/>
      <protection locked="0"/>
    </xf>
    <xf numFmtId="49" fontId="0" fillId="36" borderId="12" xfId="0" applyFont="1" applyFill="1" applyBorder="1" applyNumberFormat="1">
      <alignment horizontal="left" vertical="center" wrapText="1"/>
      <protection locked="0"/>
    </xf>
    <xf numFmtId="0" fontId="45" fillId="0" borderId="0" xfId="0" applyFont="1">
      <alignment horizontal="left" vertical="center" wrapText="1" indent="1"/>
    </xf>
    <xf numFmtId="0" fontId="88" fillId="0" borderId="0" xfId="0" applyFont="1">
      <alignment vertical="center" wrapText="1"/>
    </xf>
    <xf numFmtId="0" fontId="88" fillId="35" borderId="0" xfId="0" applyFont="1" applyFill="1">
      <alignment horizontal="center" vertical="center" wrapText="1"/>
    </xf>
    <xf numFmtId="0" fontId="88" fillId="35" borderId="0" xfId="0" applyFont="1" applyFill="1">
      <alignment horizontal="right" vertical="center" wrapText="1"/>
    </xf>
    <xf numFmtId="0" fontId="22" fillId="0" borderId="12" xfId="0" applyFont="1" applyBorder="1">
      <alignment horizontal="center" vertical="center" wrapText="1"/>
    </xf>
    <xf numFmtId="49" fontId="46" fillId="0" borderId="0" xfId="0" applyFont="1" applyNumberFormat="1">
      <alignment horizontal="center" vertical="center" wrapText="1"/>
    </xf>
    <xf numFmtId="0" fontId="22" fillId="0" borderId="12" xfId="0" applyFont="1" applyBorder="1">
      <alignment horizontal="center" vertical="center" wrapText="1"/>
    </xf>
    <xf numFmtId="0" fontId="46" fillId="0" borderId="0" xfId="0" applyFont="1">
      <alignment horizontal="center" vertical="top"/>
    </xf>
    <xf numFmtId="0" fontId="22" fillId="0" borderId="12" xfId="0" applyFont="1" applyBorder="1">
      <alignment horizontal="left" vertical="center" wrapText="1"/>
    </xf>
    <xf numFmtId="0" fontId="47" fillId="0" borderId="0" xfId="0" applyFont="1">
      <alignment horizontal="center" vertical="center" wrapText="1"/>
    </xf>
    <xf numFmtId="0" fontId="22" fillId="0" borderId="12" xfId="0" applyFont="1" applyBorder="1">
      <alignment horizontal="left" vertical="center" wrapText="1"/>
    </xf>
    <xf numFmtId="49" fontId="22" fillId="40" borderId="12" xfId="0" applyFont="1" applyFill="1" applyBorder="1" applyNumberFormat="1">
      <alignment horizontal="left" vertical="center" wrapText="1" indent="1"/>
    </xf>
    <xf numFmtId="0" fontId="22" fillId="0" borderId="14" xfId="0" applyFont="1" applyBorder="1">
      <alignment vertical="center" wrapText="1"/>
    </xf>
    <xf numFmtId="0" fontId="22" fillId="0" borderId="0" xfId="0" applyFont="1">
      <alignment horizontal="right" vertical="center"/>
    </xf>
    <xf numFmtId="49" fontId="53" fillId="37" borderId="13" xfId="0" applyFont="1" applyFill="1" applyBorder="1" applyNumberFormat="1">
      <alignment horizontal="left" vertical="center" wrapText="1"/>
    </xf>
    <xf numFmtId="0" fontId="89" fillId="0" borderId="0" xfId="0" applyFont="1">
      <alignment vertical="center"/>
    </xf>
    <xf numFmtId="0" fontId="90" fillId="0" borderId="0" xfId="0" applyFont="1">
      <alignment vertical="center"/>
    </xf>
    <xf numFmtId="49" fontId="47" fillId="0" borderId="22" xfId="0" applyFont="1" applyBorder="1" applyNumberFormat="1">
      <alignment vertical="top"/>
    </xf>
    <xf numFmtId="49" fontId="47" fillId="0" borderId="22" xfId="0" applyFont="1" applyBorder="1" applyNumberFormat="1">
      <alignment vertical="top"/>
    </xf>
    <xf numFmtId="0" fontId="47" fillId="0" borderId="22" xfId="0" applyFont="1" applyBorder="1">
      <alignment vertical="center" wrapText="1"/>
    </xf>
    <xf numFmtId="0" fontId="22" fillId="0" borderId="13" xfId="0" applyFont="1" applyBorder="1">
      <alignment horizontal="left" vertical="center" wrapText="1" indent="1"/>
    </xf>
    <xf numFmtId="0" fontId="71" fillId="0" borderId="22" xfId="0" applyFont="1" applyBorder="1">
      <alignment vertical="center" wrapText="1"/>
    </xf>
    <xf numFmtId="4" fontId="22" fillId="0" borderId="31" xfId="0" applyFont="1" applyBorder="1" applyNumberFormat="1">
      <alignment horizontal="center" vertical="center" wrapText="1"/>
    </xf>
    <xf numFmtId="0" fontId="22" fillId="0" borderId="33" xfId="0" applyFont="1" applyBorder="1">
      <alignment horizontal="left" vertical="center" wrapText="1"/>
    </xf>
    <xf numFmtId="0" fontId="22" fillId="0" borderId="33" xfId="0" applyFont="1" applyBorder="1">
      <alignment horizontal="left" vertical="center" wrapText="1" indent="1"/>
    </xf>
    <xf numFmtId="4" fontId="22" fillId="39" borderId="33" xfId="0" applyFont="1" applyFill="1" applyBorder="1" applyNumberFormat="1">
      <alignment horizontal="right" vertical="center" wrapText="1"/>
      <protection locked="0"/>
    </xf>
    <xf numFmtId="4" fontId="22" fillId="0" borderId="33" xfId="0" applyFont="1" applyBorder="1" applyNumberFormat="1">
      <alignment horizontal="center" vertical="center" wrapText="1"/>
    </xf>
    <xf numFmtId="49" fontId="22" fillId="0" borderId="34" xfId="0" applyFont="1" applyBorder="1" applyNumberFormat="1">
      <alignment horizontal="center" vertical="center" wrapText="1"/>
    </xf>
    <xf numFmtId="4" fontId="22" fillId="39" borderId="14" xfId="0" applyFont="1" applyFill="1" applyBorder="1" applyNumberFormat="1">
      <alignment horizontal="right" vertical="center" wrapText="1"/>
      <protection locked="0"/>
    </xf>
    <xf numFmtId="4" fontId="22" fillId="39" borderId="34" xfId="0" applyFont="1" applyFill="1" applyBorder="1" applyNumberFormat="1">
      <alignment horizontal="right" vertical="center" wrapText="1"/>
      <protection locked="0"/>
    </xf>
    <xf numFmtId="0" fontId="46" fillId="0" borderId="0" xfId="0" applyFont="1">
      <alignment horizontal="left" vertical="center" wrapText="1"/>
    </xf>
    <xf numFmtId="0" fontId="47" fillId="0" borderId="0" xfId="0" applyFont="1">
      <alignment horizontal="left" vertical="center" wrapText="1"/>
    </xf>
    <xf numFmtId="0" fontId="54" fillId="0" borderId="0" xfId="0" applyFont="1">
      <alignment horizontal="left" vertical="center" wrapText="1"/>
    </xf>
    <xf numFmtId="0" fontId="31" fillId="0" borderId="0" xfId="0" applyFont="1">
      <alignment horizontal="left" vertical="center" wrapText="1"/>
    </xf>
    <xf numFmtId="49" fontId="22" fillId="0" borderId="0" xfId="0" applyFont="1" applyNumberFormat="1">
      <alignment horizontal="center" vertical="center" wrapText="1"/>
    </xf>
    <xf numFmtId="0" fontId="84" fillId="0" borderId="0" xfId="0" applyFont="1">
      <alignment vertical="center" wrapText="1"/>
    </xf>
    <xf numFmtId="0" fontId="47" fillId="0" borderId="0" xfId="0" applyFont="1">
      <alignment vertical="center" wrapText="1"/>
    </xf>
    <xf numFmtId="0" fontId="54" fillId="0" borderId="0" xfId="0" applyFont="1">
      <alignment vertical="center" wrapText="1"/>
    </xf>
    <xf numFmtId="0" fontId="31" fillId="0" borderId="0" xfId="0" applyFont="1">
      <alignment vertical="center" wrapText="1"/>
    </xf>
    <xf numFmtId="49" fontId="49" fillId="0" borderId="0" xfId="0" applyFont="1" applyNumberFormat="1">
      <alignment horizontal="center" vertical="center"/>
    </xf>
    <xf numFmtId="0" fontId="22" fillId="0" borderId="0" xfId="0" applyFont="1">
      <alignment vertical="center" wrapText="1"/>
    </xf>
    <xf numFmtId="4" fontId="22" fillId="0" borderId="35" xfId="0" applyFont="1" applyBorder="1" applyNumberFormat="1">
      <alignment horizontal="center" vertical="center" wrapText="1"/>
    </xf>
    <xf numFmtId="4" fontId="22" fillId="39" borderId="35" xfId="0" applyFont="1" applyFill="1" applyBorder="1" applyNumberFormat="1">
      <alignment horizontal="right" vertical="center" wrapText="1"/>
      <protection locked="0"/>
    </xf>
    <xf numFmtId="4" fontId="22" fillId="39" borderId="23" xfId="0" applyFont="1" applyFill="1" applyBorder="1" applyNumberFormat="1">
      <alignment horizontal="right" vertical="center" wrapText="1"/>
      <protection locked="0"/>
    </xf>
    <xf numFmtId="49" fontId="22" fillId="0" borderId="33" xfId="0" applyFont="1" applyBorder="1" applyNumberFormat="1">
      <alignment horizontal="center" vertical="center" wrapText="1"/>
    </xf>
    <xf numFmtId="0" fontId="22" fillId="0" borderId="35" xfId="0" applyFont="1" applyBorder="1">
      <alignment horizontal="left" vertical="center" wrapText="1"/>
    </xf>
    <xf numFmtId="0" fontId="22" fillId="0" borderId="20" xfId="0" applyFont="1" applyBorder="1">
      <alignment vertical="center" wrapText="1"/>
    </xf>
    <xf numFmtId="0" fontId="36" fillId="0" borderId="0" xfId="0" applyFont="1">
      <alignment horizontal="center" vertical="center" wrapText="1"/>
    </xf>
    <xf numFmtId="0" fontId="22" fillId="37" borderId="15" xfId="0" applyFont="1" applyFill="1" applyBorder="1">
      <alignment vertical="center" wrapText="1"/>
    </xf>
    <xf numFmtId="0" fontId="46" fillId="37" borderId="13" xfId="0" applyFont="1" applyFill="1" applyBorder="1">
      <alignment vertical="center" wrapText="1"/>
    </xf>
    <xf numFmtId="211" fontId="22" fillId="34" borderId="12" xfId="0" applyFont="1" applyFill="1" applyBorder="1" applyNumberFormat="1">
      <alignment horizontal="right" vertical="center" wrapText="1"/>
    </xf>
    <xf numFmtId="0" fontId="0" fillId="0" borderId="0" xfId="0" applyFont="1">
      <alignment vertical="center"/>
    </xf>
    <xf numFmtId="4" fontId="22" fillId="36" borderId="12" xfId="0" applyFont="1" applyFill="1" applyBorder="1" applyNumberFormat="1">
      <alignment horizontal="right" vertical="center" wrapText="1"/>
      <protection locked="0"/>
    </xf>
    <xf numFmtId="0" fontId="73" fillId="35" borderId="0" xfId="0" applyFont="1" applyFill="1">
      <alignment horizontal="right" vertical="center"/>
    </xf>
    <xf numFmtId="49" fontId="0" fillId="0" borderId="12" xfId="0" applyFont="1" applyBorder="1" applyNumberFormat="1">
      <alignment vertical="top"/>
    </xf>
    <xf numFmtId="0" fontId="22" fillId="0" borderId="14" xfId="0" applyFont="1" applyBorder="1">
      <alignment horizontal="center" vertical="center" wrapText="1"/>
    </xf>
    <xf numFmtId="49" fontId="0" fillId="16" borderId="12" xfId="0" applyFont="1" applyFill="1" applyBorder="1" applyNumberFormat="1">
      <alignment vertical="top"/>
    </xf>
    <xf numFmtId="49" fontId="0" fillId="16" borderId="17" xfId="0" applyFont="1" applyFill="1" applyBorder="1" applyNumberFormat="1">
      <alignment vertical="top"/>
    </xf>
    <xf numFmtId="49" fontId="0" fillId="43" borderId="17" xfId="0" applyFont="1" applyFill="1" applyBorder="1" applyNumberFormat="1">
      <alignment vertical="top"/>
    </xf>
    <xf numFmtId="0" fontId="22" fillId="0" borderId="0" xfId="0" applyFont="1">
      <alignment vertical="center" wrapText="1"/>
    </xf>
    <xf numFmtId="0" fontId="31" fillId="0" borderId="0" xfId="0" applyFont="1">
      <alignment vertical="center" wrapText="1"/>
    </xf>
    <xf numFmtId="0" fontId="22" fillId="0" borderId="12" xfId="0" applyFont="1" applyBorder="1">
      <alignment horizontal="center" vertical="center" wrapText="1"/>
    </xf>
    <xf numFmtId="0" fontId="22" fillId="0" borderId="12" xfId="0" applyFont="1" applyBorder="1">
      <alignment horizontal="center" vertical="center" wrapText="1"/>
    </xf>
    <xf numFmtId="49" fontId="22" fillId="0" borderId="0" xfId="0" applyFont="1" applyNumberFormat="1">
      <alignment vertical="center" wrapText="1"/>
    </xf>
    <xf numFmtId="0" fontId="22" fillId="0" borderId="0" xfId="0" applyFont="1">
      <alignment horizontal="center" vertical="center" wrapText="1"/>
    </xf>
    <xf numFmtId="49" fontId="0" fillId="0" borderId="14" xfId="0" applyFont="1" applyBorder="1" applyNumberFormat="1">
      <alignment vertical="top"/>
    </xf>
    <xf numFmtId="49" fontId="0" fillId="0" borderId="14" xfId="0" applyFont="1" applyBorder="1" applyNumberFormat="1">
      <alignment horizontal="center" vertical="top"/>
    </xf>
    <xf numFmtId="49" fontId="0" fillId="0" borderId="15" xfId="0" applyFont="1" applyBorder="1" applyNumberFormat="1">
      <alignment horizontal="center" vertical="top"/>
    </xf>
    <xf numFmtId="49" fontId="0" fillId="5" borderId="12" xfId="0" applyFont="1" applyFill="1" applyBorder="1" applyNumberFormat="1">
      <alignment vertical="top"/>
    </xf>
    <xf numFmtId="49" fontId="0" fillId="44" borderId="12" xfId="0" applyFont="1" applyFill="1" applyBorder="1" applyNumberFormat="1">
      <alignment vertical="top"/>
    </xf>
    <xf numFmtId="49" fontId="0" fillId="3" borderId="12" xfId="0" applyFont="1" applyFill="1" applyBorder="1" applyNumberFormat="1">
      <alignment vertical="top"/>
    </xf>
    <xf numFmtId="49" fontId="0" fillId="0" borderId="0" xfId="0" applyFont="1" applyNumberFormat="1">
      <alignment vertical="top"/>
    </xf>
    <xf numFmtId="0" fontId="22" fillId="0" borderId="0" xfId="0" applyFont="1">
      <alignment horizontal="center" vertical="center" wrapText="1"/>
    </xf>
    <xf numFmtId="0" fontId="49" fillId="35" borderId="0" xfId="0" applyFont="1" applyFill="1">
      <alignment vertical="center" wrapText="1"/>
    </xf>
    <xf numFmtId="0" fontId="53" fillId="0" borderId="0" xfId="0" applyFont="1">
      <alignment horizontal="left" vertical="center" indent="1"/>
    </xf>
    <xf numFmtId="0" fontId="0" fillId="35" borderId="0" xfId="0" applyFont="1" applyFill="1">
      <alignment horizontal="right" vertical="center" wrapText="1" indent="1"/>
    </xf>
    <xf numFmtId="0" fontId="0" fillId="35" borderId="0" xfId="0" applyFont="1" applyFill="1">
      <alignment horizontal="left" vertical="center" wrapText="1" indent="1"/>
    </xf>
    <xf numFmtId="14" fontId="22" fillId="35" borderId="0" xfId="0" applyFont="1" applyFill="1" applyNumberFormat="1">
      <alignment horizontal="center" vertical="center" wrapText="1"/>
    </xf>
    <xf numFmtId="213" fontId="22" fillId="0" borderId="14" xfId="0" applyFont="1" applyBorder="1" applyNumberFormat="1">
      <alignment horizontal="center" vertical="center" wrapText="1"/>
    </xf>
    <xf numFmtId="49" fontId="35" fillId="0" borderId="15" xfId="0" applyFont="1" applyBorder="1" applyNumberFormat="1">
      <alignment horizontal="center" vertical="center" wrapText="1"/>
    </xf>
    <xf numFmtId="49" fontId="22" fillId="0" borderId="0" xfId="0" applyFont="1" applyNumberFormat="1">
      <alignment horizontal="center" vertical="center" wrapText="1"/>
    </xf>
    <xf numFmtId="0" fontId="22" fillId="0" borderId="23" xfId="0" applyFont="1" applyBorder="1">
      <alignment horizontal="center" vertical="center" wrapText="1"/>
    </xf>
    <xf numFmtId="49" fontId="0" fillId="45" borderId="12" xfId="0" applyFont="1" applyFill="1" applyBorder="1" applyNumberFormat="1">
      <alignment vertical="top"/>
    </xf>
    <xf numFmtId="0" fontId="36" fillId="0" borderId="0" xfId="0" applyFont="1">
      <alignment horizontal="center" vertical="center" wrapText="1"/>
    </xf>
    <xf numFmtId="0" fontId="91" fillId="0" borderId="0" xfId="0" applyFont="1">
      <alignment horizontal="left" vertical="center" wrapText="1"/>
    </xf>
    <xf numFmtId="0" fontId="91" fillId="0" borderId="0" xfId="0" applyFont="1">
      <alignment horizontal="left" vertical="center" wrapText="1"/>
    </xf>
    <xf numFmtId="14" fontId="91" fillId="35" borderId="0" xfId="0" applyFont="1" applyFill="1" applyNumberFormat="1">
      <alignment horizontal="left" vertical="center" wrapText="1"/>
    </xf>
    <xf numFmtId="14" fontId="92" fillId="0" borderId="0" xfId="0" applyFont="1" applyNumberFormat="1">
      <alignment horizontal="center" vertical="center" wrapText="1"/>
    </xf>
    <xf numFmtId="0" fontId="91" fillId="0" borderId="0" xfId="0" applyFont="1">
      <alignment horizontal="left" vertical="center" wrapText="1"/>
    </xf>
    <xf numFmtId="14" fontId="93" fillId="0" borderId="12" xfId="0" applyFont="1" applyBorder="1" applyNumberFormat="1">
      <alignment horizontal="left" vertical="center" wrapText="1"/>
    </xf>
    <xf numFmtId="0" fontId="47" fillId="0" borderId="0" xfId="0" applyFont="1">
      <alignment vertical="center"/>
    </xf>
    <xf numFmtId="49" fontId="22" fillId="37" borderId="19" xfId="0" applyFont="1" applyFill="1" applyBorder="1" applyNumberFormat="1">
      <alignment horizontal="center" vertical="center" wrapText="1"/>
    </xf>
    <xf numFmtId="49" fontId="22" fillId="34" borderId="23" xfId="0" applyFont="1" applyFill="1" applyBorder="1" applyNumberFormat="1">
      <alignment horizontal="center" vertical="center" wrapText="1"/>
    </xf>
    <xf numFmtId="49" fontId="46" fillId="0" borderId="12" xfId="0" applyFont="1" applyBorder="1" applyNumberFormat="1">
      <alignment horizontal="left" vertical="center" wrapText="1"/>
    </xf>
    <xf numFmtId="14" fontId="22" fillId="40" borderId="23" xfId="0" applyFont="1" applyFill="1" applyBorder="1" applyNumberFormat="1">
      <alignment horizontal="left" vertical="center" wrapText="1" indent="1"/>
    </xf>
    <xf numFmtId="49" fontId="22" fillId="37" borderId="14" xfId="0" applyFont="1" applyFill="1" applyBorder="1" applyNumberFormat="1">
      <alignment horizontal="right" vertical="center" wrapText="1"/>
    </xf>
    <xf numFmtId="0" fontId="47" fillId="0" borderId="23" xfId="0" applyFont="1" applyBorder="1">
      <alignment horizontal="center" vertical="center" wrapText="1"/>
    </xf>
    <xf numFmtId="49" fontId="22" fillId="0" borderId="13" xfId="0" applyFont="1" applyBorder="1" applyNumberFormat="1">
      <alignment horizontal="center" vertical="top"/>
    </xf>
    <xf numFmtId="49" fontId="22" fillId="0" borderId="12" xfId="0" applyFont="1" applyBorder="1" applyNumberFormat="1">
      <alignment horizontal="center" vertical="top"/>
    </xf>
    <xf numFmtId="0" fontId="22" fillId="0" borderId="23" xfId="0" applyFont="1" applyBorder="1">
      <alignment horizontal="center" vertical="center" wrapText="1"/>
    </xf>
    <xf numFmtId="49" fontId="22" fillId="0" borderId="14" xfId="0" applyFont="1" applyBorder="1" applyNumberFormat="1">
      <alignment horizontal="center" vertical="top"/>
    </xf>
    <xf numFmtId="0" fontId="35" fillId="0" borderId="24" xfId="0" applyFont="1" applyBorder="1">
      <alignment vertical="top" wrapText="1"/>
    </xf>
    <xf numFmtId="0" fontId="35" fillId="0" borderId="0" xfId="0" applyFont="1">
      <alignment vertical="top" wrapText="1"/>
    </xf>
    <xf numFmtId="0" fontId="47" fillId="0" borderId="12" xfId="0" applyFont="1" applyBorder="1">
      <alignment horizontal="center" vertical="center" wrapText="1"/>
    </xf>
    <xf numFmtId="0" fontId="46" fillId="0" borderId="23" xfId="0" applyFont="1" applyBorder="1">
      <alignment horizontal="center" vertical="center" wrapText="1"/>
    </xf>
    <xf numFmtId="0" fontId="47" fillId="0" borderId="12" xfId="0" applyFont="1" applyBorder="1">
      <alignment horizontal="center" vertical="center"/>
    </xf>
    <xf numFmtId="0" fontId="22" fillId="0" borderId="12" xfId="0" applyFont="1" applyBorder="1">
      <alignment horizontal="center" vertical="center" wrapText="1"/>
    </xf>
    <xf numFmtId="49" fontId="22" fillId="0" borderId="0" xfId="0" applyFont="1" applyNumberFormat="1">
      <alignment horizontal="center" vertical="center" wrapText="1"/>
    </xf>
    <xf numFmtId="0" fontId="22" fillId="0" borderId="12" xfId="0" applyFont="1" applyBorder="1">
      <alignment horizontal="center" vertical="center" wrapText="1"/>
    </xf>
    <xf numFmtId="0" fontId="22" fillId="0" borderId="14" xfId="0" applyFont="1" applyBorder="1">
      <alignment horizontal="center" vertical="center" wrapText="1"/>
    </xf>
    <xf numFmtId="0" fontId="22" fillId="0" borderId="12" xfId="0" applyFont="1" applyBorder="1">
      <alignment horizontal="center" vertical="center" wrapText="1"/>
    </xf>
    <xf numFmtId="0" fontId="22" fillId="0" borderId="17" xfId="0" applyFont="1" applyBorder="1">
      <alignment horizontal="center" vertical="center" wrapText="1"/>
    </xf>
    <xf numFmtId="49" fontId="75" fillId="39" borderId="12" xfId="0" applyFont="1" applyFill="1" applyBorder="1" applyNumberFormat="1">
      <alignment horizontal="left" vertical="center" wrapText="1" indent="1"/>
      <protection locked="0"/>
    </xf>
    <xf numFmtId="0" fontId="46" fillId="0" borderId="22" xfId="0" applyFont="1" applyBorder="1">
      <alignment vertical="center"/>
    </xf>
    <xf numFmtId="0" fontId="22" fillId="0" borderId="13" xfId="0" applyFont="1" applyBorder="1">
      <alignment horizontal="center" vertical="center" wrapText="1"/>
    </xf>
    <xf numFmtId="49" fontId="22" fillId="40" borderId="12" xfId="0" applyFont="1" applyFill="1" applyBorder="1" applyNumberFormat="1">
      <alignment horizontal="center" vertical="center" wrapText="1"/>
    </xf>
    <xf numFmtId="0" fontId="22" fillId="0" borderId="12" xfId="0" applyFont="1" applyBorder="1">
      <alignment horizontal="center" vertical="center" wrapText="1"/>
    </xf>
    <xf numFmtId="0" fontId="22" fillId="34" borderId="14" xfId="0" applyFont="1" applyFill="1" applyBorder="1">
      <alignment horizontal="left" vertical="top" wrapText="1" indent="1"/>
    </xf>
    <xf numFmtId="3" fontId="22" fillId="36" borderId="14" xfId="0" applyFont="1" applyFill="1" applyBorder="1" applyNumberFormat="1">
      <alignment horizontal="right" vertical="center" wrapText="1"/>
      <protection locked="0"/>
    </xf>
    <xf numFmtId="49" fontId="53" fillId="36" borderId="12" xfId="0" applyFont="1" applyFill="1" applyBorder="1" applyNumberFormat="1">
      <alignment horizontal="left" vertical="center" wrapText="1"/>
      <protection locked="0"/>
    </xf>
    <xf numFmtId="0" fontId="53" fillId="0" borderId="0" xfId="0" applyFont="1">
      <alignment vertical="center" wrapText="1"/>
    </xf>
    <xf numFmtId="0" fontId="22" fillId="0" borderId="13" xfId="0" applyFont="1" applyBorder="1">
      <alignment horizontal="center" vertical="center" wrapText="1"/>
    </xf>
    <xf numFmtId="0" fontId="22" fillId="0" borderId="12" xfId="0" applyFont="1" applyBorder="1">
      <alignment horizontal="center" vertical="center" wrapText="1"/>
    </xf>
    <xf numFmtId="0" fontId="36" fillId="35" borderId="0" xfId="0" applyFont="1" applyFill="1">
      <alignment horizontal="center" vertical="center" wrapText="1"/>
    </xf>
    <xf numFmtId="0" fontId="22" fillId="35" borderId="12" xfId="0" applyFont="1" applyFill="1" applyBorder="1">
      <alignment horizontal="center" vertical="center" wrapText="1"/>
    </xf>
    <xf numFmtId="0" fontId="0" fillId="0" borderId="20" xfId="0" applyFont="1" applyBorder="1">
      <alignment horizontal="center" vertical="center" wrapText="1"/>
    </xf>
    <xf numFmtId="0" fontId="0" fillId="0" borderId="29" xfId="0" applyFont="1" applyBorder="1">
      <alignment horizontal="center" vertical="center" wrapText="1"/>
    </xf>
    <xf numFmtId="0" fontId="0" fillId="0" borderId="17" xfId="0" applyFont="1" applyBorder="1">
      <alignment horizontal="center" vertical="center" wrapText="1"/>
    </xf>
    <xf numFmtId="0" fontId="0" fillId="0" borderId="23" xfId="0" applyFont="1" applyBorder="1">
      <alignment horizontal="center" vertical="center" wrapText="1"/>
    </xf>
    <xf numFmtId="0" fontId="0" fillId="0" borderId="17" xfId="0" applyFont="1" applyBorder="1">
      <alignment horizontal="center" vertical="center" wrapText="1"/>
    </xf>
    <xf numFmtId="0" fontId="0" fillId="0" borderId="23" xfId="0" applyFont="1" applyBorder="1">
      <alignment horizontal="center" vertical="center" wrapText="1"/>
    </xf>
    <xf numFmtId="49" fontId="35" fillId="35" borderId="15" xfId="0" applyFont="1" applyFill="1" applyBorder="1" applyNumberFormat="1">
      <alignment horizontal="center" vertical="center" wrapText="1"/>
    </xf>
    <xf numFmtId="0" fontId="22" fillId="0" borderId="0" xfId="0" applyFont="1">
      <alignment horizontal="left" vertical="center" wrapText="1" indent="1"/>
    </xf>
    <xf numFmtId="0" fontId="81" fillId="0" borderId="17" xfId="0" applyFont="1" applyBorder="1">
      <alignment horizontal="center" vertical="center" wrapText="1"/>
    </xf>
    <xf numFmtId="49" fontId="46" fillId="0" borderId="0" xfId="0" applyFont="1" applyNumberFormat="1">
      <alignment vertical="top"/>
    </xf>
    <xf numFmtId="0" fontId="94" fillId="0" borderId="0" xfId="0" applyFont="1">
      <alignment vertical="center" wrapText="1"/>
    </xf>
    <xf numFmtId="0" fontId="0" fillId="0" borderId="0" xfId="0" applyFont="1">
      <alignment vertical="top"/>
    </xf>
    <xf numFmtId="49" fontId="0" fillId="0" borderId="12" xfId="0" applyFont="1" applyBorder="1" applyNumberFormat="1">
      <alignment vertical="top"/>
    </xf>
    <xf numFmtId="49" fontId="22" fillId="0" borderId="0" xfId="0" applyFont="1" applyNumberFormat="1">
      <alignment vertical="top"/>
    </xf>
    <xf numFmtId="0" fontId="22" fillId="0" borderId="12" xfId="0" applyFont="1" applyBorder="1">
      <alignment horizontal="left" vertical="top" wrapText="1"/>
    </xf>
    <xf numFmtId="49" fontId="95" fillId="0" borderId="0" xfId="0" applyFont="1" applyNumberFormat="1">
      <alignment horizontal="center" vertical="top" wrapText="1"/>
    </xf>
    <xf numFmtId="49" fontId="95" fillId="0" borderId="0" xfId="0" applyFont="1" applyNumberFormat="1">
      <alignment vertical="top" wrapText="1"/>
    </xf>
    <xf numFmtId="49" fontId="91" fillId="41" borderId="12" xfId="0" applyFont="1" applyFill="1" applyBorder="1" applyNumberFormat="1">
      <alignment horizontal="center" vertical="top" wrapText="1"/>
    </xf>
    <xf numFmtId="49" fontId="95" fillId="0" borderId="0" xfId="0" applyFont="1" applyNumberFormat="1">
      <alignment horizontal="left" vertical="top" wrapText="1"/>
    </xf>
    <xf numFmtId="49" fontId="95" fillId="0" borderId="12" xfId="0" applyFont="1" applyBorder="1" applyNumberFormat="1">
      <alignment horizontal="left" vertical="top" wrapText="1"/>
    </xf>
    <xf numFmtId="0" fontId="95" fillId="0" borderId="12" xfId="0" applyFont="1" applyBorder="1">
      <alignment horizontal="left" vertical="top" wrapText="1"/>
    </xf>
    <xf numFmtId="0" fontId="95" fillId="41" borderId="12" xfId="0" applyFont="1" applyFill="1" applyBorder="1">
      <alignment horizontal="right" vertical="center" wrapText="1"/>
    </xf>
    <xf numFmtId="49" fontId="95" fillId="0" borderId="12" xfId="0" applyFont="1" applyBorder="1" applyNumberFormat="1">
      <alignment vertical="top" wrapText="1"/>
    </xf>
    <xf numFmtId="0" fontId="95" fillId="0" borderId="17" xfId="0" applyFont="1" applyBorder="1">
      <alignment horizontal="left" vertical="top" wrapText="1"/>
    </xf>
    <xf numFmtId="0" fontId="95" fillId="0" borderId="13" xfId="0" applyFont="1" applyBorder="1">
      <alignment horizontal="left" vertical="top" wrapText="1"/>
    </xf>
    <xf numFmtId="0" fontId="95" fillId="0" borderId="12" xfId="0" applyFont="1" applyBorder="1">
      <alignment vertical="top" wrapText="1"/>
    </xf>
    <xf numFmtId="0" fontId="91" fillId="41" borderId="12" xfId="0" applyFont="1" applyFill="1" applyBorder="1">
      <alignment horizontal="center" vertical="top" wrapText="1"/>
    </xf>
    <xf numFmtId="0" fontId="95" fillId="0" borderId="0" xfId="0" applyFont="1">
      <alignment vertical="top" wrapText="1"/>
    </xf>
    <xf numFmtId="0" fontId="90" fillId="0" borderId="0" xfId="0" applyFont="1">
      <alignment vertical="center" wrapText="1"/>
    </xf>
    <xf numFmtId="0" fontId="45" fillId="0" borderId="0" xfId="0" applyFont="1">
      <alignment horizontal="left" vertical="center" wrapText="1" indent="3"/>
    </xf>
    <xf numFmtId="3" fontId="0" fillId="0" borderId="13" xfId="0" applyFont="1" applyBorder="1" applyNumberFormat="1">
      <alignment horizontal="right" vertical="center" wrapText="1"/>
    </xf>
    <xf numFmtId="0" fontId="22" fillId="40" borderId="14" xfId="0" applyFont="1" applyFill="1" applyBorder="1">
      <alignment horizontal="left" vertical="center" wrapText="1"/>
    </xf>
    <xf numFmtId="49" fontId="35" fillId="35" borderId="12" xfId="0" applyFont="1" applyFill="1" applyBorder="1" applyNumberFormat="1">
      <alignment horizontal="center" vertical="center" wrapText="1"/>
    </xf>
    <xf numFmtId="49" fontId="73" fillId="37" borderId="13" xfId="0" applyFont="1" applyFill="1" applyBorder="1" applyNumberFormat="1">
      <alignment vertical="center"/>
    </xf>
    <xf numFmtId="49" fontId="22" fillId="35" borderId="0" xfId="0" applyFont="1" applyFill="1" applyNumberFormat="1">
      <alignment horizontal="center" vertical="center" wrapText="1"/>
    </xf>
    <xf numFmtId="0" fontId="22" fillId="35" borderId="0" xfId="0" applyFont="1" applyFill="1">
      <alignment horizontal="center" vertical="top" wrapText="1"/>
    </xf>
    <xf numFmtId="49" fontId="0" fillId="39" borderId="12" xfId="0" applyFont="1" applyFill="1" applyBorder="1" applyNumberFormat="1">
      <alignment horizontal="left" vertical="center" wrapText="1" indent="1"/>
      <protection locked="0"/>
    </xf>
    <xf numFmtId="49" fontId="22" fillId="39" borderId="14" xfId="0" applyFont="1" applyFill="1" applyBorder="1" applyNumberFormat="1">
      <alignment horizontal="left" vertical="center" wrapText="1"/>
      <protection locked="0"/>
    </xf>
    <xf numFmtId="49" fontId="22" fillId="39" borderId="12" xfId="0" applyFont="1" applyFill="1" applyBorder="1" applyNumberFormat="1" quotePrefix="1">
      <alignment horizontal="left" vertical="center" wrapText="1"/>
      <protection locked="0"/>
    </xf>
    <xf numFmtId="14" fontId="22" fillId="40" borderId="23" xfId="0" applyFont="1" applyFill="1" applyBorder="1" applyNumberFormat="1">
      <alignment horizontal="left" vertical="center" wrapText="1"/>
    </xf>
    <xf numFmtId="0" fontId="47" fillId="35" borderId="23" xfId="0" applyFont="1" applyFill="1" applyBorder="1">
      <alignment horizontal="center" vertical="center" wrapText="1"/>
    </xf>
    <xf numFmtId="0" fontId="36" fillId="35" borderId="24" xfId="0" applyFont="1" applyFill="1" applyBorder="1">
      <alignment vertical="top" wrapText="1"/>
    </xf>
    <xf numFmtId="0" fontId="36" fillId="35" borderId="0" xfId="0" applyFont="1" applyFill="1">
      <alignment vertical="top" wrapText="1"/>
    </xf>
    <xf numFmtId="14" fontId="22" fillId="40" borderId="29" xfId="0" applyFont="1" applyFill="1" applyBorder="1" applyNumberFormat="1">
      <alignment horizontal="left" vertical="center" wrapText="1"/>
    </xf>
    <xf numFmtId="0" fontId="47" fillId="35" borderId="12" xfId="0" applyFont="1" applyFill="1" applyBorder="1">
      <alignment horizontal="center" vertical="center" wrapText="1"/>
    </xf>
    <xf numFmtId="0" fontId="39" fillId="37" borderId="15" xfId="0" applyFont="1" applyFill="1" applyBorder="1">
      <alignment vertical="center"/>
    </xf>
    <xf numFmtId="0" fontId="48" fillId="0" borderId="0" xfId="0" applyFont="1">
      <alignment vertical="center"/>
    </xf>
    <xf numFmtId="0" fontId="47" fillId="0" borderId="0" xfId="0" applyFont="1">
      <alignment vertical="center" wrapText="1"/>
    </xf>
    <xf numFmtId="49" fontId="46" fillId="0" borderId="0" xfId="0" applyFont="1" applyNumberFormat="1">
      <alignment vertical="center" wrapText="1"/>
    </xf>
    <xf numFmtId="49" fontId="46" fillId="0" borderId="0" xfId="0" applyFont="1" applyNumberFormat="1">
      <alignment vertical="top"/>
    </xf>
    <xf numFmtId="0" fontId="88" fillId="0" borderId="0" xfId="0" applyFont="1">
      <alignment vertical="center" wrapText="1"/>
    </xf>
    <xf numFmtId="0" fontId="96" fillId="0" borderId="0" xfId="0" applyFont="1">
      <alignment vertical="center" wrapText="1"/>
    </xf>
    <xf numFmtId="0" fontId="46" fillId="0" borderId="0" xfId="0" applyFont="1">
      <alignment vertical="center" wrapText="1"/>
    </xf>
    <xf numFmtId="0" fontId="88" fillId="0" borderId="0" xfId="0" applyFont="1">
      <alignment horizontal="center" vertical="center" wrapText="1"/>
    </xf>
    <xf numFmtId="0" fontId="46" fillId="0" borderId="0" xfId="0" applyFont="1">
      <alignment vertical="center" wrapText="1"/>
    </xf>
    <xf numFmtId="14" fontId="22" fillId="35" borderId="0" xfId="0" applyFont="1" applyFill="1" applyNumberFormat="1">
      <alignment horizontal="left" vertical="center" wrapText="1"/>
    </xf>
    <xf numFmtId="49" fontId="0" fillId="5" borderId="14" xfId="0" applyFont="1" applyFill="1" applyBorder="1" applyNumberFormat="1">
      <alignment vertical="top"/>
    </xf>
    <xf numFmtId="49" fontId="0" fillId="0" borderId="12" xfId="0" applyFont="1" applyBorder="1" applyNumberFormat="1">
      <alignment horizontal="left" vertical="center" wrapText="1"/>
    </xf>
    <xf numFmtId="49" fontId="22" fillId="0" borderId="0" xfId="0" applyFont="1" applyNumberFormat="1">
      <alignment vertical="center" wrapText="1"/>
    </xf>
    <xf numFmtId="0" fontId="0" fillId="0" borderId="12" xfId="0" applyFont="1" applyBorder="1">
      <alignment horizontal="left" vertical="center" wrapText="1" indent="1"/>
    </xf>
    <xf numFmtId="49" fontId="0" fillId="35" borderId="12" xfId="0" applyFont="1" applyFill="1" applyBorder="1" applyNumberFormat="1">
      <alignment horizontal="center" vertical="center" wrapText="1"/>
    </xf>
    <xf numFmtId="0" fontId="0" fillId="35" borderId="12" xfId="0" applyFont="1" applyFill="1" applyBorder="1">
      <alignment horizontal="center" vertical="center" wrapText="1"/>
    </xf>
    <xf numFmtId="0" fontId="0" fillId="39" borderId="14" xfId="0" applyFont="1" applyFill="1" applyBorder="1">
      <alignment horizontal="left" vertical="center" wrapText="1" indent="2"/>
      <protection locked="0"/>
    </xf>
    <xf numFmtId="0" fontId="22" fillId="0" borderId="15" xfId="0" applyFont="1" applyBorder="1">
      <alignment horizontal="right" vertical="center" wrapText="1" indent="1"/>
    </xf>
    <xf numFmtId="0" fontId="22" fillId="0" borderId="13" xfId="0" applyFont="1" applyBorder="1">
      <alignment horizontal="right" vertical="center" wrapText="1" indent="1"/>
    </xf>
    <xf numFmtId="0" fontId="97" fillId="35" borderId="0" xfId="0" applyFont="1" applyFill="1">
      <alignment horizontal="right" vertical="center"/>
    </xf>
    <xf numFmtId="49" fontId="95" fillId="0" borderId="13" xfId="0" applyFont="1" applyBorder="1" applyNumberFormat="1">
      <alignment horizontal="left" vertical="top" wrapText="1"/>
    </xf>
    <xf numFmtId="49" fontId="95" fillId="0" borderId="14" xfId="0" applyFont="1" applyBorder="1" applyNumberFormat="1">
      <alignment horizontal="left" vertical="top" wrapText="1"/>
    </xf>
    <xf numFmtId="0" fontId="95" fillId="0" borderId="17" xfId="0" applyFont="1" applyBorder="1">
      <alignment vertical="top" wrapText="1"/>
    </xf>
    <xf numFmtId="0" fontId="95" fillId="0" borderId="36" xfId="0" applyFont="1" applyBorder="1">
      <alignment horizontal="left" vertical="top" wrapText="1"/>
    </xf>
    <xf numFmtId="49" fontId="95" fillId="0" borderId="30" xfId="0" applyFont="1" applyBorder="1" applyNumberFormat="1">
      <alignment horizontal="left" vertical="top" wrapText="1"/>
    </xf>
    <xf numFmtId="49" fontId="46" fillId="0" borderId="0" xfId="0" applyFont="1" applyNumberFormat="1">
      <alignment horizontal="center" vertical="center" wrapText="1"/>
    </xf>
    <xf numFmtId="49" fontId="47" fillId="0" borderId="0" xfId="0" applyFont="1" applyNumberFormat="1">
      <alignment horizontal="center" vertical="center" wrapText="1"/>
    </xf>
    <xf numFmtId="0" fontId="22" fillId="0" borderId="12" xfId="0" applyFont="1" applyBorder="1">
      <alignment horizontal="left" vertical="center" wrapText="1"/>
    </xf>
    <xf numFmtId="49" fontId="95" fillId="0" borderId="12" xfId="0" applyFont="1" applyBorder="1" applyNumberFormat="1">
      <alignment horizontal="center" vertical="top" wrapText="1"/>
    </xf>
    <xf numFmtId="0" fontId="95" fillId="41" borderId="12" xfId="0" applyFont="1" applyFill="1" applyBorder="1">
      <alignment horizontal="center" vertical="center" wrapText="1"/>
    </xf>
    <xf numFmtId="49" fontId="95" fillId="0" borderId="37" xfId="0" applyFont="1" applyBorder="1" applyNumberFormat="1">
      <alignment horizontal="center" vertical="top" wrapText="1"/>
    </xf>
    <xf numFmtId="49" fontId="95" fillId="0" borderId="17" xfId="0" applyFont="1" applyBorder="1" applyNumberFormat="1">
      <alignment horizontal="center" vertical="top" wrapText="1"/>
    </xf>
    <xf numFmtId="49" fontId="39" fillId="37" borderId="14" xfId="0" applyFont="1" applyFill="1" applyBorder="1" applyNumberFormat="1">
      <alignment horizontal="left" vertical="center" indent="1"/>
    </xf>
    <xf numFmtId="0" fontId="0" fillId="35" borderId="17" xfId="0" applyFont="1" applyFill="1" applyBorder="1">
      <alignment horizontal="center" vertical="center" wrapText="1"/>
    </xf>
    <xf numFmtId="0" fontId="22" fillId="35" borderId="17" xfId="0" applyFont="1" applyFill="1" applyBorder="1">
      <alignment horizontal="center" vertical="center" wrapText="1"/>
    </xf>
    <xf numFmtId="49" fontId="98" fillId="0" borderId="0" xfId="0" applyFont="1" applyNumberFormat="1">
      <alignment horizontal="center" vertical="center" wrapText="1"/>
    </xf>
    <xf numFmtId="0" fontId="22" fillId="0" borderId="0" xfId="0" applyFont="1">
      <alignment vertical="center" wrapText="1"/>
    </xf>
    <xf numFmtId="49" fontId="22" fillId="0" borderId="0" xfId="0" applyFont="1" applyNumberFormat="1">
      <alignment vertical="top"/>
    </xf>
    <xf numFmtId="0" fontId="22" fillId="35" borderId="0" xfId="0" applyFont="1" applyFill="1">
      <alignment vertical="center" wrapText="1"/>
    </xf>
    <xf numFmtId="0" fontId="22" fillId="0" borderId="38" xfId="0" applyFont="1" applyBorder="1">
      <alignment vertical="center" wrapText="1"/>
    </xf>
    <xf numFmtId="0" fontId="46" fillId="0" borderId="0" xfId="0" applyFont="1">
      <alignment vertical="center" wrapText="1"/>
    </xf>
    <xf numFmtId="49" fontId="22" fillId="0" borderId="0" xfId="0" applyFont="1" applyNumberFormat="1">
      <alignment vertical="top"/>
    </xf>
    <xf numFmtId="0" fontId="22" fillId="35" borderId="0" xfId="0" applyFont="1" applyFill="1">
      <alignment vertical="center" wrapText="1"/>
    </xf>
    <xf numFmtId="49" fontId="22" fillId="0" borderId="0" xfId="0" applyFont="1" applyNumberFormat="1">
      <alignment vertical="top"/>
    </xf>
    <xf numFmtId="0" fontId="22" fillId="0" borderId="0" xfId="0" applyFont="1">
      <alignment vertical="center"/>
    </xf>
    <xf numFmtId="0" fontId="0" fillId="35" borderId="17" xfId="0" applyFont="1" applyFill="1" applyBorder="1">
      <alignment horizontal="center" vertical="center" wrapText="1"/>
    </xf>
    <xf numFmtId="0" fontId="0" fillId="35" borderId="37" xfId="0" applyFont="1" applyFill="1" applyBorder="1">
      <alignment horizontal="center" vertical="center" wrapText="1"/>
    </xf>
    <xf numFmtId="0" fontId="22" fillId="37" borderId="29" xfId="0" applyFont="1" applyFill="1" applyBorder="1">
      <alignment vertical="center" wrapText="1"/>
    </xf>
    <xf numFmtId="0" fontId="22" fillId="0" borderId="0" xfId="0" applyFont="1">
      <alignment vertical="center" wrapText="1"/>
    </xf>
    <xf numFmtId="0" fontId="22" fillId="35" borderId="39" xfId="0" applyFont="1" applyFill="1" applyBorder="1">
      <alignment vertical="center" wrapText="1"/>
    </xf>
    <xf numFmtId="0" fontId="49" fillId="35" borderId="39" xfId="0" applyFont="1" applyFill="1" applyBorder="1">
      <alignment horizontal="center" wrapText="1"/>
    </xf>
    <xf numFmtId="49" fontId="73" fillId="0" borderId="39" xfId="0" applyFont="1" applyBorder="1" applyNumberFormat="1">
      <alignment vertical="top"/>
    </xf>
    <xf numFmtId="49" fontId="44" fillId="0" borderId="0" xfId="0" applyFont="1" applyNumberFormat="1">
      <alignment vertical="center"/>
    </xf>
    <xf numFmtId="49" fontId="99" fillId="0" borderId="0" xfId="0" applyFont="1" applyNumberFormat="1">
      <alignment vertical="center"/>
    </xf>
    <xf numFmtId="49" fontId="44" fillId="0" borderId="0" xfId="0" applyFont="1" applyNumberFormat="1">
      <alignment vertical="center"/>
    </xf>
    <xf numFmtId="49" fontId="44" fillId="0" borderId="0" xfId="0" applyFont="1" applyNumberFormat="1">
      <alignment vertical="center"/>
    </xf>
    <xf numFmtId="49" fontId="44" fillId="0" borderId="0" xfId="0" applyFont="1" applyNumberFormat="1">
      <alignment vertical="center" wrapText="1"/>
    </xf>
    <xf numFmtId="49" fontId="99" fillId="0" borderId="0" xfId="0" applyFont="1" applyNumberFormat="1">
      <alignment vertical="center" wrapText="1"/>
    </xf>
    <xf numFmtId="49" fontId="44" fillId="0" borderId="0" xfId="0" applyFont="1" applyNumberFormat="1">
      <alignment vertical="center" wrapText="1"/>
    </xf>
    <xf numFmtId="49" fontId="44" fillId="0" borderId="0" xfId="0" applyFont="1" applyNumberFormat="1">
      <alignment vertical="top"/>
    </xf>
    <xf numFmtId="49" fontId="44" fillId="0" borderId="0" xfId="0" applyFont="1" applyNumberFormat="1">
      <alignment vertical="center" wrapText="1"/>
    </xf>
    <xf numFmtId="49" fontId="44" fillId="0" borderId="0" xfId="0" applyFont="1" applyNumberFormat="1">
      <alignment horizontal="center" vertical="center" wrapText="1"/>
    </xf>
    <xf numFmtId="49" fontId="99" fillId="0" borderId="0" xfId="0" applyFont="1" applyNumberFormat="1">
      <alignment horizontal="center" vertical="center" wrapText="1"/>
    </xf>
    <xf numFmtId="49" fontId="44" fillId="0" borderId="0" xfId="0" applyFont="1" applyNumberFormat="1">
      <alignment horizontal="center" vertical="center" wrapText="1"/>
    </xf>
    <xf numFmtId="49" fontId="99" fillId="0" borderId="0" xfId="0" applyFont="1" applyNumberFormat="1">
      <alignment horizontal="center" vertical="center" wrapText="1"/>
    </xf>
    <xf numFmtId="0" fontId="44" fillId="0" borderId="0" xfId="0" applyFont="1">
      <alignment horizontal="center" vertical="center" wrapText="1"/>
    </xf>
    <xf numFmtId="49" fontId="99" fillId="0" borderId="0" xfId="0" applyFont="1" applyNumberFormat="1">
      <alignment vertical="center" wrapText="1"/>
    </xf>
    <xf numFmtId="49" fontId="44" fillId="35" borderId="0" xfId="0" applyFont="1" applyFill="1" applyNumberFormat="1">
      <alignment vertical="center" wrapText="1"/>
    </xf>
    <xf numFmtId="49" fontId="44" fillId="0" borderId="0" xfId="0" applyFont="1" applyNumberFormat="1">
      <alignment vertical="top"/>
    </xf>
    <xf numFmtId="49" fontId="44" fillId="35" borderId="0" xfId="0" applyFont="1" applyFill="1" applyNumberFormat="1">
      <alignment vertical="center"/>
    </xf>
    <xf numFmtId="49" fontId="99" fillId="0" borderId="0" xfId="0" applyFont="1" applyNumberFormat="1">
      <alignment vertical="center"/>
    </xf>
    <xf numFmtId="49" fontId="44" fillId="0" borderId="0" xfId="0" applyFont="1" applyNumberFormat="1">
      <alignment vertical="top"/>
    </xf>
    <xf numFmtId="4" fontId="44" fillId="35" borderId="0" xfId="0" applyFont="1" applyFill="1" applyNumberFormat="1">
      <alignment vertical="center"/>
    </xf>
    <xf numFmtId="49" fontId="31" fillId="0" borderId="0" xfId="0" applyFont="1" applyNumberFormat="1">
      <alignment horizontal="center" vertical="center" wrapText="1"/>
    </xf>
    <xf numFmtId="49" fontId="22" fillId="0" borderId="0" xfId="0" applyFont="1" applyNumberFormat="1">
      <alignment horizontal="center" vertical="center" wrapText="1"/>
    </xf>
    <xf numFmtId="49" fontId="22" fillId="35" borderId="0" xfId="0" applyFont="1" applyFill="1" applyNumberFormat="1">
      <alignment horizontal="center" vertical="center" wrapText="1"/>
    </xf>
    <xf numFmtId="49" fontId="47" fillId="0" borderId="13" xfId="0" applyFont="1" applyBorder="1" applyNumberFormat="1">
      <alignment horizontal="left" vertical="center" indent="1"/>
    </xf>
    <xf numFmtId="0" fontId="22" fillId="0" borderId="24" xfId="0" applyFont="1" applyBorder="1">
      <alignment vertical="top" wrapText="1"/>
    </xf>
    <xf numFmtId="0" fontId="22" fillId="0" borderId="14" xfId="0" applyFont="1" applyBorder="1">
      <alignment horizontal="center" vertical="center" wrapText="1"/>
    </xf>
    <xf numFmtId="0" fontId="22" fillId="0" borderId="17" xfId="0" applyFont="1" applyBorder="1">
      <alignment horizontal="center" vertical="center" wrapText="1"/>
    </xf>
    <xf numFmtId="0" fontId="22" fillId="0" borderId="12" xfId="0" applyFont="1" applyBorder="1">
      <alignment horizontal="center" vertical="center" wrapText="1"/>
    </xf>
    <xf numFmtId="49" fontId="46" fillId="0" borderId="0" xfId="0" applyFont="1" applyNumberFormat="1">
      <alignment horizontal="center" vertical="center" wrapText="1"/>
    </xf>
    <xf numFmtId="49" fontId="47" fillId="0" borderId="0" xfId="0" applyFont="1" applyNumberFormat="1">
      <alignment horizontal="center" vertical="center" wrapText="1"/>
    </xf>
    <xf numFmtId="49" fontId="22" fillId="0" borderId="12" xfId="0" applyFont="1" applyBorder="1" applyNumberFormat="1">
      <alignment horizontal="center" vertical="center" wrapText="1"/>
    </xf>
    <xf numFmtId="0" fontId="22" fillId="0" borderId="12" xfId="0" applyFont="1" applyBorder="1">
      <alignment horizontal="left" vertical="center" wrapText="1" indent="1"/>
    </xf>
    <xf numFmtId="49" fontId="22" fillId="39" borderId="12" xfId="0" applyFont="1" applyFill="1" applyBorder="1" applyNumberFormat="1">
      <alignment horizontal="left" vertical="center" wrapText="1"/>
      <protection locked="0"/>
    </xf>
    <xf numFmtId="0" fontId="36" fillId="0" borderId="0" xfId="0" applyFont="1">
      <alignment horizontal="center" vertical="center" wrapText="1"/>
    </xf>
    <xf numFmtId="49" fontId="91" fillId="0" borderId="12" xfId="0" applyFont="1" applyBorder="1" applyNumberFormat="1">
      <alignment horizontal="center" vertical="center" wrapText="1"/>
    </xf>
    <xf numFmtId="0" fontId="91" fillId="0" borderId="12" xfId="0" applyFont="1" applyBorder="1">
      <alignment horizontal="center" vertical="center" wrapText="1"/>
    </xf>
    <xf numFmtId="49" fontId="91" fillId="0" borderId="17" xfId="0" applyFont="1" applyBorder="1" applyNumberFormat="1">
      <alignment horizontal="center" vertical="center" wrapText="1"/>
    </xf>
    <xf numFmtId="49" fontId="91" fillId="0" borderId="23" xfId="0" applyFont="1" applyBorder="1" applyNumberFormat="1">
      <alignment horizontal="center" vertical="center" wrapText="1"/>
    </xf>
    <xf numFmtId="0" fontId="91" fillId="0" borderId="17" xfId="0" applyFont="1" applyBorder="1">
      <alignment horizontal="center" vertical="center" wrapText="1"/>
    </xf>
    <xf numFmtId="49" fontId="95" fillId="0" borderId="22" xfId="0" applyFont="1" applyBorder="1" applyNumberFormat="1">
      <alignment horizontal="center" vertical="top" wrapText="1"/>
    </xf>
    <xf numFmtId="49" fontId="95" fillId="0" borderId="36" xfId="0" applyFont="1" applyBorder="1" applyNumberFormat="1">
      <alignment horizontal="left" vertical="top" wrapText="1"/>
    </xf>
    <xf numFmtId="0" fontId="91" fillId="0" borderId="12" xfId="0" applyFont="1" applyBorder="1">
      <alignment vertical="center" wrapText="1"/>
    </xf>
    <xf numFmtId="0" fontId="91" fillId="0" borderId="17" xfId="0" applyFont="1" applyBorder="1">
      <alignment vertical="center" wrapText="1"/>
    </xf>
    <xf numFmtId="0" fontId="91" fillId="0" borderId="23" xfId="0" applyFont="1" applyBorder="1">
      <alignment vertical="center" wrapText="1"/>
    </xf>
    <xf numFmtId="49" fontId="91" fillId="0" borderId="12" xfId="0" applyFont="1" applyBorder="1" applyNumberFormat="1">
      <alignment horizontal="left" vertical="top" wrapText="1"/>
    </xf>
    <xf numFmtId="211" fontId="22" fillId="39" borderId="17" xfId="0" applyFont="1" applyFill="1" applyBorder="1" applyNumberFormat="1">
      <alignment horizontal="right" vertical="center" wrapText="1"/>
      <protection locked="0"/>
    </xf>
    <xf numFmtId="0" fontId="22" fillId="0" borderId="13" xfId="0" applyFont="1" applyBorder="1">
      <alignment horizontal="center" vertical="center" wrapText="1"/>
    </xf>
    <xf numFmtId="0" fontId="22" fillId="0" borderId="20" xfId="0" applyFont="1" applyBorder="1">
      <alignment horizontal="center" vertical="center" wrapText="1"/>
    </xf>
    <xf numFmtId="49" fontId="22" fillId="37" borderId="37" xfId="0" applyFont="1" applyFill="1" applyBorder="1" applyNumberFormat="1">
      <alignment vertical="center" wrapText="1"/>
    </xf>
    <xf numFmtId="49" fontId="39" fillId="37" borderId="19" xfId="0" applyFont="1" applyFill="1" applyBorder="1" applyNumberFormat="1">
      <alignment horizontal="left" vertical="center" indent="1"/>
    </xf>
    <xf numFmtId="49" fontId="22" fillId="37" borderId="37" xfId="0" applyFont="1" applyFill="1" applyBorder="1" applyNumberFormat="1">
      <alignment vertical="center" wrapText="1"/>
    </xf>
    <xf numFmtId="49" fontId="39" fillId="37" borderId="19" xfId="0" applyFont="1" applyFill="1" applyBorder="1" applyNumberFormat="1">
      <alignment horizontal="left" vertical="center" indent="1"/>
    </xf>
    <xf numFmtId="0" fontId="72" fillId="0" borderId="0" xfId="0" applyFont="1">
      <alignment horizontal="center" vertical="center" wrapText="1"/>
    </xf>
    <xf numFmtId="4" fontId="22" fillId="39" borderId="13" xfId="0" applyFont="1" applyFill="1" applyBorder="1" applyNumberFormat="1">
      <alignment horizontal="right" vertical="center" wrapText="1"/>
      <protection locked="0"/>
    </xf>
    <xf numFmtId="211" fontId="22" fillId="39" borderId="13" xfId="0" applyFont="1" applyFill="1" applyBorder="1" applyNumberFormat="1">
      <alignment horizontal="right" vertical="center" wrapText="1"/>
      <protection locked="0"/>
    </xf>
    <xf numFmtId="211" fontId="22" fillId="34" borderId="13" xfId="0" applyFont="1" applyFill="1" applyBorder="1" applyNumberFormat="1">
      <alignment horizontal="right" vertical="center" wrapText="1"/>
    </xf>
    <xf numFmtId="4" fontId="22" fillId="39" borderId="29" xfId="0" applyFont="1" applyFill="1" applyBorder="1" applyNumberFormat="1">
      <alignment horizontal="right" vertical="center" wrapText="1"/>
      <protection locked="0"/>
    </xf>
    <xf numFmtId="49" fontId="91" fillId="41" borderId="12" xfId="0" applyFont="1" applyFill="1" applyBorder="1" applyNumberFormat="1">
      <alignment horizontal="center" vertical="top"/>
    </xf>
    <xf numFmtId="49" fontId="95" fillId="0" borderId="0" xfId="0" applyFont="1" applyNumberFormat="1">
      <alignment vertical="top"/>
    </xf>
    <xf numFmtId="49" fontId="91" fillId="0" borderId="12" xfId="0" applyFont="1" applyBorder="1" applyNumberFormat="1">
      <alignment horizontal="center" vertical="top" wrapText="1"/>
    </xf>
    <xf numFmtId="49" fontId="91" fillId="0" borderId="12" xfId="0" applyFont="1" applyBorder="1" applyNumberFormat="1">
      <alignment vertical="top" wrapText="1"/>
    </xf>
    <xf numFmtId="0" fontId="91" fillId="0" borderId="12" xfId="0" applyFont="1" applyBorder="1">
      <alignment vertical="top" wrapText="1"/>
    </xf>
    <xf numFmtId="49" fontId="91" fillId="0" borderId="12" xfId="0" applyFont="1" applyBorder="1" applyNumberFormat="1">
      <alignment vertical="top"/>
    </xf>
    <xf numFmtId="49" fontId="95" fillId="0" borderId="12" xfId="0" applyFont="1" applyBorder="1" applyNumberFormat="1">
      <alignment vertical="top"/>
    </xf>
    <xf numFmtId="49" fontId="91" fillId="0" borderId="0" xfId="0" applyFont="1" applyNumberFormat="1">
      <alignment horizontal="center" vertical="center" wrapText="1"/>
    </xf>
    <xf numFmtId="49" fontId="91" fillId="0" borderId="0" xfId="0" applyFont="1" applyNumberFormat="1">
      <alignment horizontal="left" vertical="center" wrapText="1"/>
    </xf>
    <xf numFmtId="49" fontId="91" fillId="46" borderId="0" xfId="0" applyFont="1" applyFill="1" applyNumberFormat="1">
      <alignment horizontal="center" vertical="center" wrapText="1"/>
    </xf>
    <xf numFmtId="0" fontId="91" fillId="0" borderId="0" xfId="0" applyFont="1">
      <alignment vertical="center" wrapText="1"/>
    </xf>
    <xf numFmtId="0" fontId="47" fillId="0" borderId="12" xfId="0" applyFont="1" applyBorder="1">
      <alignment horizontal="left" vertical="center" wrapText="1" indent="3"/>
    </xf>
    <xf numFmtId="49" fontId="47" fillId="0" borderId="12" xfId="0" applyFont="1" applyBorder="1" applyNumberFormat="1">
      <alignment vertical="center" wrapText="1"/>
    </xf>
    <xf numFmtId="0" fontId="47" fillId="0" borderId="17" xfId="0" applyFont="1" applyBorder="1">
      <alignment vertical="top" wrapText="1"/>
    </xf>
    <xf numFmtId="0" fontId="47" fillId="0" borderId="36" xfId="0" applyFont="1" applyBorder="1">
      <alignment horizontal="left" vertical="center" wrapText="1" indent="1"/>
    </xf>
    <xf numFmtId="0" fontId="47" fillId="0" borderId="36" xfId="0" applyFont="1" applyBorder="1">
      <alignment horizontal="center" vertical="center" wrapText="1"/>
    </xf>
    <xf numFmtId="0" fontId="47" fillId="0" borderId="17" xfId="0" applyFont="1" applyBorder="1">
      <alignment vertical="center" wrapText="1"/>
    </xf>
    <xf numFmtId="0" fontId="47" fillId="0" borderId="23" xfId="0" applyFont="1" applyBorder="1">
      <alignment horizontal="left" vertical="center" wrapText="1" indent="1"/>
    </xf>
    <xf numFmtId="0" fontId="47" fillId="0" borderId="17" xfId="0" applyFont="1" applyBorder="1">
      <alignment horizontal="left" vertical="center" wrapText="1" indent="1"/>
    </xf>
    <xf numFmtId="49" fontId="95" fillId="41" borderId="12" xfId="0" applyFont="1" applyFill="1" applyBorder="1" applyNumberFormat="1">
      <alignment horizontal="center" vertical="top" wrapText="1"/>
    </xf>
    <xf numFmtId="49" fontId="95" fillId="41" borderId="12" xfId="0" applyFont="1" applyFill="1" applyBorder="1" applyNumberFormat="1">
      <alignment horizontal="left" vertical="top" wrapText="1"/>
    </xf>
    <xf numFmtId="49" fontId="95" fillId="41" borderId="0" xfId="0" applyFont="1" applyFill="1" applyNumberFormat="1">
      <alignment horizontal="left" vertical="top" wrapText="1"/>
    </xf>
    <xf numFmtId="0" fontId="91" fillId="0" borderId="14" xfId="0" applyFont="1" applyBorder="1">
      <alignment horizontal="center" vertical="center" wrapText="1"/>
    </xf>
    <xf numFmtId="0" fontId="22" fillId="0" borderId="23" xfId="0" applyFont="1" applyBorder="1">
      <alignment vertical="top" wrapText="1"/>
    </xf>
    <xf numFmtId="0" fontId="22" fillId="0" borderId="23" xfId="0" applyFont="1" applyBorder="1">
      <alignment vertical="top" wrapText="1"/>
    </xf>
    <xf numFmtId="0" fontId="91" fillId="0" borderId="14" xfId="0" applyFont="1" applyBorder="1">
      <alignment horizontal="center" vertical="center"/>
    </xf>
    <xf numFmtId="49" fontId="47" fillId="35" borderId="12" xfId="0" applyFont="1" applyFill="1" applyBorder="1" applyNumberFormat="1">
      <alignment horizontal="center" vertical="center"/>
    </xf>
    <xf numFmtId="0" fontId="47" fillId="35" borderId="12" xfId="0" applyFont="1" applyFill="1" applyBorder="1">
      <alignment horizontal="left" vertical="center" wrapText="1" indent="1"/>
    </xf>
    <xf numFmtId="0" fontId="47" fillId="35" borderId="12" xfId="0" applyFont="1" applyFill="1" applyBorder="1">
      <alignment vertical="center" wrapText="1"/>
    </xf>
    <xf numFmtId="49" fontId="47" fillId="0" borderId="12" xfId="0" applyFont="1" applyBorder="1" applyNumberFormat="1">
      <alignment horizontal="center" vertical="center"/>
    </xf>
    <xf numFmtId="0" fontId="47" fillId="0" borderId="12" xfId="0" applyFont="1" applyBorder="1">
      <alignment horizontal="left" vertical="center" wrapText="1" indent="1"/>
    </xf>
    <xf numFmtId="0" fontId="47" fillId="0" borderId="12" xfId="0" applyFont="1" applyBorder="1">
      <alignment horizontal="left" vertical="center" wrapText="1"/>
    </xf>
    <xf numFmtId="0" fontId="47" fillId="0" borderId="12" xfId="0" applyFont="1" applyBorder="1">
      <alignment vertical="center" wrapText="1"/>
    </xf>
    <xf numFmtId="0" fontId="47" fillId="0" borderId="12" xfId="0" applyFont="1" applyBorder="1">
      <alignment horizontal="center" vertical="center" wrapText="1"/>
    </xf>
    <xf numFmtId="0" fontId="47" fillId="35" borderId="12" xfId="0" applyFont="1" applyFill="1" applyBorder="1">
      <alignment horizontal="left" vertical="center" wrapText="1" indent="2"/>
    </xf>
    <xf numFmtId="49" fontId="47" fillId="0" borderId="12" xfId="0" applyFont="1" applyBorder="1" applyNumberFormat="1">
      <alignment horizontal="left" vertical="center" wrapText="1"/>
    </xf>
    <xf numFmtId="49" fontId="47" fillId="0" borderId="12" xfId="0" applyFont="1" applyBorder="1" applyNumberFormat="1">
      <alignment horizontal="left" vertical="center" wrapText="1"/>
    </xf>
    <xf numFmtId="2" fontId="22" fillId="0" borderId="23" xfId="0" applyFont="1" applyBorder="1" applyNumberFormat="1">
      <alignment horizontal="center" vertical="center" wrapText="1"/>
    </xf>
    <xf numFmtId="0" fontId="100" fillId="0" borderId="0" xfId="0" applyFont="1">
      <alignment horizontal="center" vertical="center" wrapText="1"/>
    </xf>
    <xf numFmtId="0" fontId="101" fillId="35" borderId="0" xfId="0" applyFont="1" applyFill="1">
      <alignment horizontal="right" vertical="center"/>
    </xf>
    <xf numFmtId="0" fontId="22" fillId="0" borderId="23" xfId="0" applyFont="1" applyBorder="1">
      <alignment horizontal="left" vertical="center" wrapText="1"/>
    </xf>
    <xf numFmtId="49" fontId="46" fillId="0" borderId="0" xfId="0" applyFont="1" applyNumberFormat="1">
      <alignment horizontal="center" vertical="center" wrapText="1"/>
    </xf>
    <xf numFmtId="0" fontId="47" fillId="0" borderId="27" xfId="0" applyFont="1" applyBorder="1">
      <alignment vertical="center" wrapText="1"/>
    </xf>
    <xf numFmtId="49" fontId="53" fillId="0" borderId="14" xfId="0" applyFont="1" applyBorder="1" applyNumberFormat="1">
      <alignment horizontal="left" vertical="center" wrapText="1"/>
    </xf>
    <xf numFmtId="49" fontId="53" fillId="0" borderId="15" xfId="0" applyFont="1" applyBorder="1" applyNumberFormat="1">
      <alignment horizontal="left" vertical="center" wrapText="1"/>
    </xf>
    <xf numFmtId="49" fontId="47" fillId="0" borderId="0" xfId="0" applyFont="1" applyNumberFormat="1">
      <alignment horizontal="center" vertical="center" wrapText="1"/>
    </xf>
    <xf numFmtId="0" fontId="47" fillId="0" borderId="0" xfId="0" applyFont="1">
      <alignment horizontal="center" vertical="center" wrapText="1"/>
    </xf>
    <xf numFmtId="4" fontId="22" fillId="0" borderId="17" xfId="0" applyFont="1" applyBorder="1" applyNumberFormat="1">
      <alignment horizontal="center" vertical="center" wrapText="1"/>
    </xf>
    <xf numFmtId="4" fontId="22" fillId="0" borderId="32" xfId="0" applyFont="1" applyBorder="1" applyNumberFormat="1">
      <alignment horizontal="center" vertical="center" wrapText="1"/>
    </xf>
    <xf numFmtId="49" fontId="53" fillId="0" borderId="37" xfId="0" applyFont="1" applyBorder="1" applyNumberFormat="1">
      <alignment horizontal="left" vertical="center" wrapText="1"/>
    </xf>
    <xf numFmtId="49" fontId="53" fillId="0" borderId="30" xfId="0" applyFont="1" applyBorder="1" applyNumberFormat="1">
      <alignment horizontal="left" vertical="center" wrapText="1"/>
    </xf>
    <xf numFmtId="0" fontId="22" fillId="0" borderId="36" xfId="0" applyFont="1" applyBorder="1">
      <alignment vertical="center" wrapText="1"/>
    </xf>
    <xf numFmtId="0" fontId="22" fillId="0" borderId="32" xfId="0" applyFont="1" applyBorder="1">
      <alignment horizontal="left" vertical="center" wrapText="1"/>
    </xf>
    <xf numFmtId="49" fontId="46" fillId="0" borderId="0" xfId="0" applyFont="1" applyNumberFormat="1">
      <alignment horizontal="center" vertical="center" wrapText="1"/>
    </xf>
    <xf numFmtId="0" fontId="22" fillId="0" borderId="0" xfId="0" applyFont="1">
      <alignment vertical="top" wrapText="1"/>
    </xf>
    <xf numFmtId="0" fontId="22" fillId="0" borderId="0" xfId="0" applyFont="1">
      <alignment vertical="top"/>
    </xf>
    <xf numFmtId="4" fontId="22" fillId="0" borderId="40" xfId="0" applyFont="1" applyBorder="1" applyNumberFormat="1">
      <alignment horizontal="center" vertical="center" wrapText="1"/>
    </xf>
    <xf numFmtId="0" fontId="47" fillId="0" borderId="0" xfId="0" applyFont="1">
      <alignment horizontal="center" vertical="top"/>
    </xf>
    <xf numFmtId="49" fontId="47" fillId="0" borderId="0" xfId="0" applyFont="1" applyNumberFormat="1">
      <alignment vertical="top"/>
    </xf>
    <xf numFmtId="0" fontId="47" fillId="0" borderId="23" xfId="0" applyFont="1" applyBorder="1">
      <alignment vertical="center" wrapText="1"/>
    </xf>
    <xf numFmtId="4" fontId="47" fillId="0" borderId="12" xfId="0" applyFont="1" applyBorder="1" applyNumberFormat="1">
      <alignment horizontal="right" vertical="center" wrapText="1"/>
    </xf>
    <xf numFmtId="2" fontId="47" fillId="0" borderId="23" xfId="0" applyFont="1" applyBorder="1" applyNumberFormat="1">
      <alignment horizontal="center" vertical="center" wrapText="1"/>
    </xf>
    <xf numFmtId="0" fontId="47" fillId="0" borderId="12" xfId="0" applyFont="1" applyBorder="1">
      <alignment horizontal="left" vertical="center" wrapText="1"/>
    </xf>
    <xf numFmtId="49" fontId="47" fillId="0" borderId="14" xfId="0" applyFont="1" applyBorder="1" applyNumberFormat="1">
      <alignment horizontal="left" vertical="center"/>
    </xf>
    <xf numFmtId="49" fontId="47" fillId="0" borderId="15" xfId="0" applyFont="1" applyBorder="1" applyNumberFormat="1">
      <alignment horizontal="left" vertical="center" indent="1"/>
    </xf>
    <xf numFmtId="49" fontId="47" fillId="0" borderId="15" xfId="0" applyFont="1" applyBorder="1" applyNumberFormat="1">
      <alignment horizontal="left" vertical="center"/>
    </xf>
    <xf numFmtId="0" fontId="47" fillId="0" borderId="12" xfId="0" applyFont="1" applyBorder="1">
      <alignment horizontal="left" vertical="center" indent="1"/>
    </xf>
    <xf numFmtId="49" fontId="39" fillId="0" borderId="19" xfId="0" applyFont="1" applyBorder="1" applyNumberFormat="1">
      <alignment horizontal="right" vertical="center"/>
    </xf>
    <xf numFmtId="0" fontId="22" fillId="40" borderId="12" xfId="0" applyFont="1" applyFill="1" applyBorder="1">
      <alignment horizontal="left" vertical="center" wrapText="1" indent="1"/>
    </xf>
    <xf numFmtId="0" fontId="22" fillId="0" borderId="12" xfId="0" applyFont="1" applyBorder="1">
      <alignment horizontal="center" vertical="center" wrapText="1"/>
    </xf>
    <xf numFmtId="0" fontId="47" fillId="0" borderId="0" xfId="0" applyFont="1">
      <alignment horizontal="center" vertical="center" wrapText="1"/>
    </xf>
    <xf numFmtId="49" fontId="46" fillId="0" borderId="0" xfId="0" applyFont="1" applyNumberFormat="1">
      <alignment horizontal="center" vertical="center" wrapText="1"/>
    </xf>
    <xf numFmtId="49" fontId="47" fillId="0" borderId="0" xfId="0" applyFont="1" applyNumberFormat="1">
      <alignment horizontal="center" vertical="center" wrapText="1"/>
    </xf>
    <xf numFmtId="0" fontId="61" fillId="35" borderId="0" xfId="0" applyFont="1" applyFill="1">
      <alignment horizontal="left" vertical="center" wrapText="1" indent="1"/>
    </xf>
    <xf numFmtId="0" fontId="22" fillId="0" borderId="0" xfId="0" applyFont="1">
      <alignment horizontal="left" vertical="center" wrapText="1" indent="1"/>
    </xf>
    <xf numFmtId="49" fontId="53" fillId="36" borderId="13" xfId="0" applyFont="1" applyFill="1" applyBorder="1" applyNumberFormat="1">
      <alignment horizontal="left" vertical="center" wrapText="1"/>
      <protection locked="0"/>
    </xf>
    <xf numFmtId="49" fontId="22" fillId="0" borderId="0" xfId="0" applyFont="1" applyNumberFormat="1">
      <alignment horizontal="center" vertical="center" wrapText="1"/>
    </xf>
    <xf numFmtId="0" fontId="22" fillId="0" borderId="19" xfId="0" applyFont="1" applyBorder="1">
      <alignment vertical="center" wrapText="1"/>
    </xf>
    <xf numFmtId="0" fontId="22" fillId="0" borderId="27" xfId="0" applyFont="1" applyBorder="1">
      <alignment vertical="center" wrapText="1"/>
    </xf>
    <xf numFmtId="49" fontId="22" fillId="37" borderId="41" xfId="0" applyFont="1" applyFill="1" applyBorder="1" applyNumberFormat="1">
      <alignment horizontal="center" vertical="center" wrapText="1"/>
    </xf>
    <xf numFmtId="49" fontId="49" fillId="37" borderId="42" xfId="0" applyFont="1" applyFill="1" applyBorder="1" applyNumberFormat="1">
      <alignment horizontal="right" vertical="center" wrapText="1"/>
    </xf>
    <xf numFmtId="49" fontId="49" fillId="37" borderId="43" xfId="0" applyFont="1" applyFill="1" applyBorder="1" applyNumberFormat="1">
      <alignment horizontal="right" vertical="center" wrapText="1"/>
    </xf>
    <xf numFmtId="49" fontId="44" fillId="0" borderId="0" xfId="0" applyFont="1" applyNumberFormat="1">
      <alignment vertical="top"/>
    </xf>
    <xf numFmtId="49" fontId="44" fillId="0" borderId="0" xfId="0" applyFont="1" applyNumberFormat="1">
      <alignment vertical="center" wrapText="1"/>
    </xf>
    <xf numFmtId="0" fontId="44" fillId="0" borderId="0" xfId="0" applyFont="1">
      <alignment vertical="center" wrapText="1"/>
    </xf>
    <xf numFmtId="49" fontId="94" fillId="0" borderId="0" xfId="0" applyFont="1" applyNumberFormat="1">
      <alignment vertical="center" wrapText="1"/>
    </xf>
    <xf numFmtId="49" fontId="0" fillId="0" borderId="0" xfId="0" applyFont="1" applyNumberFormat="1">
      <alignment vertical="center" wrapText="1"/>
    </xf>
    <xf numFmtId="49" fontId="31" fillId="47" borderId="0" xfId="0" applyFont="1" applyFill="1" applyNumberFormat="1">
      <alignment horizontal="center" vertical="center"/>
    </xf>
    <xf numFmtId="0" fontId="0" fillId="48" borderId="0" xfId="0" applyFont="1" applyFill="1">
      <alignment horizontal="left" vertical="center"/>
    </xf>
    <xf numFmtId="0" fontId="0" fillId="49" borderId="12" xfId="0" applyFont="1" applyFill="1" applyBorder="1">
      <alignment horizontal="center" vertical="center"/>
    </xf>
    <xf numFmtId="49" fontId="0" fillId="0" borderId="0" xfId="0" applyFont="1" applyNumberFormat="1">
      <alignment vertical="center"/>
    </xf>
    <xf numFmtId="49" fontId="46" fillId="47" borderId="12" xfId="0" applyFont="1" applyFill="1" applyBorder="1" applyNumberFormat="1">
      <alignment horizontal="center" vertical="center"/>
    </xf>
    <xf numFmtId="49" fontId="46" fillId="50" borderId="12" xfId="0" applyFont="1" applyFill="1" applyBorder="1" applyNumberFormat="1">
      <alignment horizontal="center" vertical="center"/>
    </xf>
    <xf numFmtId="49" fontId="0" fillId="51" borderId="12" xfId="0" applyFont="1" applyFill="1" applyBorder="1" applyNumberFormat="1">
      <alignment horizontal="center" vertical="center"/>
    </xf>
    <xf numFmtId="49" fontId="22" fillId="0" borderId="0" xfId="0" applyFont="1" applyNumberFormat="1">
      <alignment vertical="top"/>
    </xf>
    <xf numFmtId="0" fontId="22" fillId="0" borderId="12" xfId="0" applyFont="1" applyBorder="1">
      <alignment vertical="center"/>
    </xf>
    <xf numFmtId="0" fontId="0" fillId="0" borderId="12" xfId="0" applyFont="1" applyBorder="1">
      <alignment vertical="center"/>
    </xf>
    <xf numFmtId="0" fontId="0" fillId="0" borderId="12" xfId="0" applyFont="1" applyBorder="1">
      <alignment vertical="center"/>
    </xf>
    <xf numFmtId="0" fontId="0" fillId="0" borderId="14" xfId="0" applyFont="1" applyBorder="1">
      <alignment vertical="center"/>
    </xf>
    <xf numFmtId="0" fontId="0" fillId="0" borderId="14" xfId="0" applyFont="1" applyBorder="1">
      <alignment vertical="center"/>
    </xf>
    <xf numFmtId="49" fontId="22" fillId="0" borderId="44" xfId="0" applyFont="1" applyBorder="1" applyNumberFormat="1">
      <alignment vertical="center"/>
    </xf>
    <xf numFmtId="49" fontId="22" fillId="0" borderId="45" xfId="0" applyFont="1" applyBorder="1" applyNumberFormat="1">
      <alignment vertical="top"/>
    </xf>
    <xf numFmtId="0" fontId="0" fillId="0" borderId="13" xfId="0" applyFont="1" applyBorder="1">
      <alignment vertical="center"/>
    </xf>
    <xf numFmtId="0" fontId="0" fillId="0" borderId="12" xfId="0" applyFont="1" applyBorder="1">
      <alignment horizontal="right" vertical="top"/>
    </xf>
    <xf numFmtId="0" fontId="0" fillId="0" borderId="12" xfId="0" applyFont="1" applyBorder="1">
      <alignment vertical="top"/>
    </xf>
    <xf numFmtId="0" fontId="22" fillId="0" borderId="13" xfId="0" applyFont="1" applyBorder="1">
      <alignment vertical="center"/>
    </xf>
    <xf numFmtId="49" fontId="22" fillId="0" borderId="12" xfId="0" applyFont="1" applyBorder="1" applyNumberFormat="1">
      <alignment vertical="center"/>
    </xf>
    <xf numFmtId="0" fontId="0" fillId="0" borderId="0" xfId="0" applyFont="1">
      <alignment vertical="top"/>
    </xf>
    <xf numFmtId="0" fontId="22" fillId="0" borderId="12" xfId="0" applyFont="1" applyBorder="1">
      <alignment vertical="top"/>
    </xf>
    <xf numFmtId="49" fontId="22" fillId="0" borderId="12" xfId="0" applyFont="1" applyBorder="1" applyNumberFormat="1">
      <alignment vertical="top"/>
    </xf>
    <xf numFmtId="49" fontId="0" fillId="0" borderId="0" xfId="0" applyFont="1" applyNumberFormat="1">
      <alignment vertical="top"/>
    </xf>
    <xf numFmtId="0" fontId="22" fillId="0" borderId="0" xfId="0" applyFont="1">
      <alignment vertical="center"/>
    </xf>
    <xf numFmtId="49" fontId="22" fillId="0" borderId="14" xfId="0" applyFont="1" applyBorder="1" applyNumberFormat="1">
      <alignment vertical="top"/>
    </xf>
    <xf numFmtId="0" fontId="0" fillId="0" borderId="0" xfId="0" applyFont="1">
      <alignment vertical="center"/>
    </xf>
    <xf numFmtId="0" fontId="22" fillId="0" borderId="0" xfId="0" applyFont="1">
      <alignment vertical="top"/>
    </xf>
    <xf numFmtId="49" fontId="22" fillId="0" borderId="12" xfId="0" applyFont="1" applyBorder="1" applyNumberFormat="1">
      <alignment vertical="top"/>
    </xf>
    <xf numFmtId="49" fontId="0" fillId="0" borderId="14" xfId="0" applyFont="1" applyBorder="1" applyNumberFormat="1">
      <alignment vertical="top"/>
    </xf>
    <xf numFmtId="0" fontId="0" fillId="0" borderId="17" xfId="0" applyFont="1" applyBorder="1">
      <alignment vertical="top"/>
    </xf>
    <xf numFmtId="0" fontId="22" fillId="0" borderId="17" xfId="0" applyFont="1" applyBorder="1">
      <alignment vertical="center"/>
    </xf>
    <xf numFmtId="49" fontId="22" fillId="0" borderId="31" xfId="0" applyFont="1" applyBorder="1" applyNumberFormat="1">
      <alignment horizontal="center" vertical="center"/>
    </xf>
    <xf numFmtId="49" fontId="22" fillId="0" borderId="0" xfId="0" applyFont="1" applyNumberFormat="1">
      <alignment vertical="top"/>
    </xf>
    <xf numFmtId="49" fontId="22" fillId="0" borderId="0" xfId="0" applyFont="1" applyNumberFormat="1">
      <alignment vertical="top"/>
    </xf>
    <xf numFmtId="49" fontId="0" fillId="36" borderId="31" xfId="0" applyFont="1" applyFill="1" applyBorder="1" applyNumberFormat="1">
      <alignment horizontal="left" vertical="center"/>
      <protection locked="0"/>
    </xf>
    <xf numFmtId="49" fontId="0" fillId="0" borderId="12" xfId="0" applyFont="1" applyBorder="1" applyNumberFormat="1">
      <alignment horizontal="center" vertical="center"/>
    </xf>
    <xf numFmtId="49" fontId="0" fillId="0" borderId="31" xfId="0" applyFont="1" applyBorder="1" applyNumberFormat="1">
      <alignment horizontal="right" vertical="center"/>
    </xf>
    <xf numFmtId="0" fontId="0" fillId="34" borderId="31" xfId="0" applyFont="1" applyFill="1" applyBorder="1">
      <alignment horizontal="center" vertical="center"/>
    </xf>
    <xf numFmtId="49" fontId="0" fillId="0" borderId="31" xfId="0" applyFont="1" applyBorder="1" applyNumberFormat="1">
      <alignment horizontal="center" vertical="center"/>
    </xf>
    <xf numFmtId="49" fontId="0" fillId="0" borderId="0" xfId="0" applyFont="1" applyNumberFormat="1">
      <alignment horizontal="left" vertical="center"/>
    </xf>
    <xf numFmtId="0" fontId="0" fillId="0" borderId="0" xfId="0" applyFont="1">
      <alignment horizontal="center" vertical="center"/>
    </xf>
    <xf numFmtId="0" fontId="102" fillId="0" borderId="46" xfId="0" applyFont="1" applyBorder="1">
      <alignment horizontal="center" vertical="center"/>
    </xf>
    <xf numFmtId="0" fontId="0" fillId="0" borderId="46" xfId="0" applyFont="1" applyBorder="1">
      <alignment horizontal="center" vertical="center"/>
    </xf>
    <xf numFmtId="49" fontId="31" fillId="47" borderId="12" xfId="0" applyFont="1" applyFill="1" applyBorder="1" applyNumberFormat="1">
      <alignment horizontal="right" vertical="center"/>
    </xf>
    <xf numFmtId="49" fontId="22" fillId="36" borderId="37" xfId="0" applyFont="1" applyFill="1" applyBorder="1" applyNumberFormat="1">
      <alignment vertical="top"/>
      <protection locked="0"/>
    </xf>
    <xf numFmtId="0" fontId="22" fillId="0" borderId="12" xfId="0" applyFont="1" applyBorder="1">
      <alignment vertical="top"/>
    </xf>
    <xf numFmtId="49" fontId="22" fillId="41" borderId="23" xfId="0" applyFont="1" applyFill="1" applyBorder="1" applyNumberFormat="1">
      <alignment vertical="top"/>
    </xf>
    <xf numFmtId="49" fontId="22" fillId="41" borderId="12" xfId="0" applyFont="1" applyFill="1" applyBorder="1" applyNumberFormat="1">
      <alignment vertical="top"/>
    </xf>
    <xf numFmtId="0" fontId="0" fillId="0" borderId="32" xfId="0" applyFont="1" applyBorder="1">
      <alignment horizontal="center" vertical="center"/>
    </xf>
    <xf numFmtId="49" fontId="0" fillId="0" borderId="0" xfId="0" applyFont="1" applyNumberFormat="1">
      <alignment vertical="center"/>
    </xf>
    <xf numFmtId="49" fontId="31" fillId="47" borderId="14" xfId="0" applyFont="1" applyFill="1" applyBorder="1" applyNumberFormat="1">
      <alignment horizontal="right" vertical="center"/>
    </xf>
    <xf numFmtId="49" fontId="22" fillId="0" borderId="0" xfId="0" applyFont="1" applyNumberFormat="1">
      <alignment vertical="center"/>
    </xf>
    <xf numFmtId="0" fontId="0" fillId="48" borderId="0" xfId="0" applyFont="1" applyFill="1">
      <alignment horizontal="right" vertical="center"/>
    </xf>
    <xf numFmtId="0" fontId="103" fillId="0" borderId="47" xfId="0" applyFont="1" applyBorder="1">
      <alignment horizontal="left" vertical="center" indent="1"/>
    </xf>
    <xf numFmtId="0" fontId="103" fillId="0" borderId="48" xfId="0" applyFont="1" applyBorder="1">
      <alignment horizontal="left" vertical="center" indent="1"/>
    </xf>
    <xf numFmtId="0" fontId="103" fillId="0" borderId="49" xfId="0" applyFont="1" applyBorder="1">
      <alignment horizontal="left" vertical="center" indent="1"/>
    </xf>
    <xf numFmtId="0" fontId="22" fillId="35" borderId="0" xfId="0" applyFont="1" applyFill="1">
      <alignment vertical="center" wrapText="1"/>
    </xf>
    <xf numFmtId="0" fontId="22" fillId="0" borderId="0" xfId="0" applyFont="1">
      <alignment vertical="center" wrapText="1"/>
    </xf>
    <xf numFmtId="0" fontId="31" fillId="0" borderId="0" xfId="0" applyFont="1">
      <alignment vertical="center" wrapText="1"/>
    </xf>
    <xf numFmtId="49" fontId="22" fillId="0" borderId="0" xfId="0" applyFont="1" applyNumberFormat="1">
      <alignment vertical="top"/>
    </xf>
    <xf numFmtId="0" fontId="46" fillId="0" borderId="0" xfId="0" applyFont="1">
      <alignment vertical="center" wrapText="1"/>
    </xf>
    <xf numFmtId="49" fontId="98" fillId="0" borderId="0" xfId="0" applyFont="1" applyNumberFormat="1">
      <alignment horizontal="center" vertical="center" wrapText="1"/>
    </xf>
    <xf numFmtId="0" fontId="22" fillId="35" borderId="0" xfId="0" applyFont="1" applyFill="1">
      <alignment vertical="center" wrapText="1"/>
    </xf>
    <xf numFmtId="0" fontId="22" fillId="0" borderId="0" xfId="0" applyFont="1">
      <alignment vertical="center" wrapText="1"/>
    </xf>
    <xf numFmtId="0" fontId="49" fillId="35" borderId="39" xfId="0" applyFont="1" applyFill="1" applyBorder="1">
      <alignment horizontal="center" wrapText="1"/>
    </xf>
    <xf numFmtId="49" fontId="73" fillId="0" borderId="39" xfId="0" applyFont="1" applyBorder="1" applyNumberFormat="1">
      <alignment vertical="top"/>
    </xf>
    <xf numFmtId="0" fontId="0" fillId="0" borderId="12" xfId="0" applyFont="1" applyBorder="1">
      <alignment horizontal="center" vertical="center" wrapText="1"/>
    </xf>
    <xf numFmtId="0" fontId="22" fillId="0" borderId="0" xfId="0" applyFont="1">
      <alignment horizontal="left" vertical="center" wrapText="1" indent="3"/>
    </xf>
    <xf numFmtId="0" fontId="22" fillId="0" borderId="0" xfId="0" applyFont="1">
      <alignment horizontal="left" vertical="center" wrapText="1" indent="3"/>
    </xf>
    <xf numFmtId="0" fontId="22" fillId="0" borderId="0" xfId="0" applyFont="1">
      <alignment vertical="center" wrapText="1"/>
    </xf>
    <xf numFmtId="0" fontId="31" fillId="0" borderId="0" xfId="0" applyFont="1">
      <alignment vertical="center" wrapText="1"/>
    </xf>
    <xf numFmtId="49" fontId="22" fillId="0" borderId="0" xfId="0" applyFont="1" applyNumberFormat="1">
      <alignment vertical="top"/>
    </xf>
    <xf numFmtId="0" fontId="46" fillId="0" borderId="0" xfId="0" applyFont="1">
      <alignment vertical="center" wrapText="1"/>
    </xf>
    <xf numFmtId="0" fontId="22" fillId="0" borderId="12" xfId="0" applyFont="1" applyBorder="1">
      <alignment horizontal="center" vertical="center" wrapText="1"/>
    </xf>
    <xf numFmtId="0" fontId="22" fillId="0" borderId="0" xfId="0" applyFont="1">
      <alignment vertical="center" wrapText="1"/>
    </xf>
    <xf numFmtId="0" fontId="22" fillId="35" borderId="39" xfId="0" applyFont="1" applyFill="1" applyBorder="1">
      <alignment vertical="center" wrapText="1"/>
    </xf>
    <xf numFmtId="0" fontId="22" fillId="0" borderId="0" xfId="0" applyFont="1">
      <alignment vertical="center" wrapText="1"/>
    </xf>
    <xf numFmtId="0" fontId="31" fillId="0" borderId="0" xfId="0" applyFont="1">
      <alignment vertical="center" wrapText="1"/>
    </xf>
    <xf numFmtId="49" fontId="22" fillId="0" borderId="0" xfId="0" applyFont="1" applyNumberFormat="1">
      <alignment vertical="top"/>
    </xf>
    <xf numFmtId="0" fontId="46" fillId="0" borderId="0" xfId="0" applyFont="1">
      <alignment vertical="center" wrapText="1"/>
    </xf>
    <xf numFmtId="0" fontId="22" fillId="0" borderId="0" xfId="0" applyFont="1">
      <alignment vertical="center" wrapText="1"/>
    </xf>
    <xf numFmtId="0" fontId="22" fillId="0" borderId="0" xfId="0" applyFont="1">
      <alignment vertical="center" wrapText="1"/>
    </xf>
    <xf numFmtId="0" fontId="22" fillId="35" borderId="39" xfId="0" applyFont="1" applyFill="1" applyBorder="1">
      <alignment vertical="center" wrapText="1"/>
    </xf>
    <xf numFmtId="0" fontId="22" fillId="39" borderId="12" xfId="0" applyFont="1" applyFill="1" applyBorder="1">
      <alignment horizontal="left" vertical="center" wrapText="1" indent="1"/>
      <protection locked="0"/>
    </xf>
    <xf numFmtId="49" fontId="46" fillId="47" borderId="0" xfId="0" applyFont="1" applyFill="1" applyNumberFormat="1">
      <alignment horizontal="center" vertical="center" wrapText="1"/>
    </xf>
    <xf numFmtId="0" fontId="22" fillId="0" borderId="12" xfId="0" applyFont="1" applyBorder="1">
      <alignment horizontal="center" vertical="center" wrapText="1"/>
    </xf>
    <xf numFmtId="0" fontId="22" fillId="0" borderId="12" xfId="0" applyFont="1" applyBorder="1">
      <alignment horizontal="center" vertical="center" wrapText="1"/>
    </xf>
    <xf numFmtId="0" fontId="22" fillId="0" borderId="0" xfId="0" applyFont="1">
      <alignment vertical="center" wrapText="1"/>
    </xf>
    <xf numFmtId="0" fontId="31" fillId="0" borderId="0" xfId="0" applyFont="1">
      <alignment vertical="center" wrapText="1"/>
    </xf>
    <xf numFmtId="49" fontId="22" fillId="0" borderId="0" xfId="0" applyFont="1" applyNumberFormat="1">
      <alignment vertical="top"/>
    </xf>
    <xf numFmtId="49" fontId="104" fillId="0" borderId="16" xfId="0" applyFont="1" applyBorder="1" applyNumberFormat="1">
      <alignment vertical="top"/>
    </xf>
    <xf numFmtId="0" fontId="0" fillId="0" borderId="0" xfId="0" applyFont="1">
      <alignment vertical="top"/>
    </xf>
    <xf numFmtId="0" fontId="46" fillId="0" borderId="0" xfId="0" applyFont="1">
      <alignment vertical="center" wrapText="1"/>
    </xf>
    <xf numFmtId="49" fontId="53" fillId="39" borderId="12" xfId="0" applyFont="1" applyFill="1" applyBorder="1" applyNumberFormat="1">
      <alignment horizontal="left" vertical="center" wrapText="1"/>
      <protection locked="0"/>
    </xf>
    <xf numFmtId="0" fontId="22" fillId="0" borderId="14" xfId="0" applyFont="1" applyBorder="1">
      <alignment horizontal="left" vertical="center"/>
    </xf>
    <xf numFmtId="0" fontId="0" fillId="0" borderId="14" xfId="0" applyFont="1" applyBorder="1">
      <alignment horizontal="left" vertical="center"/>
    </xf>
    <xf numFmtId="49" fontId="53" fillId="39" borderId="12" xfId="0" applyFont="1" applyFill="1" applyBorder="1" applyNumberFormat="1">
      <alignment horizontal="left" vertical="center" wrapText="1"/>
      <protection locked="0"/>
    </xf>
    <xf numFmtId="0" fontId="22" fillId="35" borderId="26" xfId="0" applyFont="1" applyFill="1" applyBorder="1">
      <alignment horizontal="right" vertical="center" wrapText="1" indent="1"/>
    </xf>
    <xf numFmtId="49" fontId="46" fillId="0" borderId="0" xfId="0" applyFont="1" applyNumberFormat="1">
      <alignment horizontal="center" vertical="center" wrapText="1"/>
    </xf>
    <xf numFmtId="49" fontId="47" fillId="0" borderId="0" xfId="0" applyFont="1" applyNumberFormat="1">
      <alignment horizontal="center" vertical="center" wrapText="1"/>
    </xf>
    <xf numFmtId="49" fontId="39" fillId="37" borderId="15" xfId="0" applyFont="1" applyFill="1" applyBorder="1" applyNumberFormat="1">
      <alignment horizontal="left" vertical="center" indent="1"/>
    </xf>
    <xf numFmtId="4" fontId="22" fillId="39" borderId="31" xfId="0" applyFont="1" applyFill="1" applyBorder="1" applyNumberFormat="1">
      <alignment horizontal="right" vertical="center" wrapText="1"/>
      <protection locked="0"/>
    </xf>
    <xf numFmtId="0" fontId="22" fillId="35" borderId="0" xfId="0" applyFont="1" applyFill="1">
      <alignment vertical="center" wrapText="1"/>
    </xf>
    <xf numFmtId="0" fontId="22" fillId="0" borderId="0" xfId="0" applyFont="1">
      <alignment vertical="center"/>
    </xf>
    <xf numFmtId="0" fontId="22" fillId="0" borderId="0" xfId="0" applyFont="1">
      <alignment vertical="center" wrapText="1"/>
    </xf>
    <xf numFmtId="0" fontId="22" fillId="37" borderId="50" xfId="0" applyFont="1" applyFill="1" applyBorder="1">
      <alignment vertical="center" wrapText="1"/>
    </xf>
    <xf numFmtId="0" fontId="22" fillId="37" borderId="51" xfId="0" applyFont="1" applyFill="1" applyBorder="1">
      <alignment vertical="center" wrapText="1"/>
    </xf>
    <xf numFmtId="49" fontId="105" fillId="37" borderId="14" xfId="0" applyFont="1" applyFill="1" applyBorder="1" applyNumberFormat="1">
      <alignment horizontal="left" vertical="center" indent="1"/>
    </xf>
    <xf numFmtId="49" fontId="105" fillId="37" borderId="15" xfId="0" applyFont="1" applyFill="1" applyBorder="1" applyNumberFormat="1">
      <alignment horizontal="left" vertical="center" indent="1"/>
    </xf>
    <xf numFmtId="49" fontId="94" fillId="37" borderId="43" xfId="0" applyFont="1" applyFill="1" applyBorder="1" applyNumberFormat="1">
      <alignment horizontal="center" vertical="center"/>
    </xf>
    <xf numFmtId="49" fontId="105" fillId="37" borderId="43" xfId="0" applyFont="1" applyFill="1" applyBorder="1" applyNumberFormat="1">
      <alignment horizontal="left" vertical="center" indent="1"/>
    </xf>
    <xf numFmtId="0" fontId="44" fillId="40" borderId="12" xfId="0" applyFont="1" applyFill="1" applyBorder="1">
      <alignment horizontal="left" vertical="center" wrapText="1" indent="1"/>
    </xf>
    <xf numFmtId="49" fontId="44" fillId="37" borderId="15" xfId="0" applyFont="1" applyFill="1" applyBorder="1" applyNumberFormat="1">
      <alignment vertical="top" wrapText="1"/>
    </xf>
    <xf numFmtId="49" fontId="44" fillId="37" borderId="13" xfId="0" applyFont="1" applyFill="1" applyBorder="1" applyNumberFormat="1">
      <alignment vertical="top" wrapText="1"/>
    </xf>
    <xf numFmtId="49" fontId="44" fillId="37" borderId="52" xfId="0" applyFont="1" applyFill="1" applyBorder="1" applyNumberFormat="1">
      <alignment vertical="top" wrapText="1"/>
    </xf>
    <xf numFmtId="49" fontId="105" fillId="37" borderId="52" xfId="0" applyFont="1" applyFill="1" applyBorder="1" applyNumberFormat="1">
      <alignment horizontal="left" vertical="center" indent="1"/>
    </xf>
    <xf numFmtId="0" fontId="22" fillId="35" borderId="39" xfId="0" applyFont="1" applyFill="1" applyBorder="1">
      <alignment vertical="center" wrapText="1"/>
    </xf>
    <xf numFmtId="0" fontId="0" fillId="0" borderId="49" xfId="0" applyFont="1" applyBorder="1">
      <alignment horizontal="left" vertical="center" wrapText="1"/>
    </xf>
    <xf numFmtId="0" fontId="22" fillId="0" borderId="49" xfId="0" applyFont="1" applyBorder="1">
      <alignment vertical="center" wrapText="1"/>
    </xf>
    <xf numFmtId="0" fontId="22" fillId="0" borderId="53" xfId="0" applyFont="1" applyBorder="1">
      <alignment vertical="center" wrapText="1"/>
    </xf>
    <xf numFmtId="0" fontId="22" fillId="0" borderId="54" xfId="0" applyFont="1" applyBorder="1">
      <alignment vertical="center" wrapText="1"/>
    </xf>
    <xf numFmtId="0" fontId="22" fillId="40" borderId="12" xfId="0" applyFont="1" applyFill="1" applyBorder="1">
      <alignment horizontal="left" vertical="center" wrapText="1" indent="1"/>
    </xf>
    <xf numFmtId="0" fontId="0" fillId="37" borderId="50" xfId="0" applyFont="1" applyFill="1" applyBorder="1">
      <alignment horizontal="left" vertical="center"/>
    </xf>
    <xf numFmtId="0" fontId="22" fillId="35" borderId="12" xfId="0" applyFont="1" applyFill="1" applyBorder="1">
      <alignment horizontal="center" vertical="center" wrapText="1"/>
    </xf>
    <xf numFmtId="49" fontId="35" fillId="0" borderId="12" xfId="0" applyFont="1" applyBorder="1" applyNumberFormat="1">
      <alignment horizontal="center" vertical="center"/>
    </xf>
    <xf numFmtId="49" fontId="35" fillId="41" borderId="12" xfId="0" applyFont="1" applyFill="1" applyBorder="1" applyNumberFormat="1">
      <alignment horizontal="center" vertical="center"/>
    </xf>
    <xf numFmtId="0" fontId="35" fillId="0" borderId="12" xfId="0" applyFont="1" applyBorder="1">
      <alignment horizontal="center" vertical="center"/>
    </xf>
    <xf numFmtId="49" fontId="35" fillId="0" borderId="23" xfId="0" applyFont="1" applyBorder="1" applyNumberFormat="1">
      <alignment horizontal="center" vertical="center"/>
    </xf>
    <xf numFmtId="49" fontId="22" fillId="0" borderId="0" xfId="0" applyFont="1" applyNumberFormat="1">
      <alignment vertical="center"/>
    </xf>
    <xf numFmtId="49" fontId="46" fillId="0" borderId="17" xfId="0" applyFont="1" applyBorder="1" applyNumberFormat="1">
      <alignment horizontal="center" vertical="center"/>
    </xf>
    <xf numFmtId="49" fontId="22" fillId="0" borderId="17" xfId="0" applyFont="1" applyBorder="1" applyNumberFormat="1">
      <alignment horizontal="center" vertical="center"/>
    </xf>
    <xf numFmtId="0" fontId="22" fillId="0" borderId="17" xfId="0" applyFont="1" applyBorder="1">
      <alignment horizontal="right" vertical="center"/>
    </xf>
    <xf numFmtId="0" fontId="22" fillId="0" borderId="17" xfId="0" applyFont="1" applyBorder="1">
      <alignment horizontal="center" vertical="center"/>
    </xf>
    <xf numFmtId="0" fontId="22" fillId="0" borderId="12" xfId="0" applyFont="1" applyBorder="1">
      <alignment horizontal="right" vertical="center"/>
    </xf>
    <xf numFmtId="49" fontId="22" fillId="0" borderId="0" xfId="0" applyFont="1" applyNumberFormat="1">
      <alignment vertical="center"/>
    </xf>
    <xf numFmtId="49" fontId="22" fillId="0" borderId="55" xfId="0" applyFont="1" applyBorder="1" applyNumberFormat="1">
      <alignment horizontal="center" vertical="center"/>
    </xf>
    <xf numFmtId="0" fontId="22" fillId="0" borderId="55" xfId="0" applyFont="1" applyBorder="1">
      <alignment horizontal="right" vertical="center"/>
    </xf>
    <xf numFmtId="0" fontId="22" fillId="0" borderId="55" xfId="0" applyFont="1" applyBorder="1">
      <alignment horizontal="center" vertical="center"/>
    </xf>
    <xf numFmtId="0" fontId="22" fillId="0" borderId="15" xfId="0" applyFont="1" applyBorder="1">
      <alignment horizontal="right" vertical="center"/>
    </xf>
    <xf numFmtId="0" fontId="22" fillId="0" borderId="13" xfId="0" applyFont="1" applyBorder="1">
      <alignment horizontal="right" vertical="center"/>
    </xf>
    <xf numFmtId="0" fontId="22" fillId="35" borderId="12" xfId="0" applyFont="1" applyFill="1" applyBorder="1">
      <alignment horizontal="center" vertical="center"/>
    </xf>
    <xf numFmtId="0" fontId="22" fillId="40" borderId="12" xfId="0" applyFont="1" applyFill="1" applyBorder="1">
      <alignment horizontal="left" vertical="center" wrapText="1" indent="1"/>
    </xf>
    <xf numFmtId="0" fontId="22" fillId="39" borderId="12" xfId="0" applyFont="1" applyFill="1" applyBorder="1">
      <alignment horizontal="left" vertical="center" wrapText="1" indent="1"/>
      <protection locked="0"/>
    </xf>
    <xf numFmtId="0" fontId="22" fillId="41" borderId="12" xfId="0" applyFont="1" applyFill="1" applyBorder="1">
      <alignment horizontal="right" vertical="center"/>
    </xf>
    <xf numFmtId="4" fontId="22" fillId="36" borderId="12" xfId="0" applyFont="1" applyFill="1" applyBorder="1" applyNumberFormat="1">
      <alignment horizontal="right" vertical="center"/>
      <protection locked="0"/>
    </xf>
    <xf numFmtId="49" fontId="39" fillId="37" borderId="56"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52" borderId="13" xfId="0" applyFont="1" applyFill="1" applyBorder="1" applyNumberFormat="1">
      <alignment horizontal="left" vertical="center" indent="1"/>
    </xf>
    <xf numFmtId="49" fontId="22" fillId="0" borderId="0" xfId="0" applyFont="1" applyNumberFormat="1">
      <alignment vertical="top"/>
    </xf>
    <xf numFmtId="0" fontId="22" fillId="48" borderId="0" xfId="0" applyFont="1" applyFill="1">
      <alignment horizontal="left" vertical="center"/>
    </xf>
    <xf numFmtId="49" fontId="22" fillId="0" borderId="0" xfId="0" applyFont="1" applyNumberFormat="1">
      <alignment vertical="center" wrapText="1"/>
    </xf>
    <xf numFmtId="0" fontId="22" fillId="0" borderId="0" xfId="0" applyFont="1">
      <alignment horizontal="right" vertical="center" wrapText="1"/>
    </xf>
    <xf numFmtId="0" fontId="47" fillId="0" borderId="0" xfId="0" applyFont="1">
      <alignment horizontal="center" vertical="center" wrapText="1"/>
    </xf>
    <xf numFmtId="0" fontId="0" fillId="0" borderId="12" xfId="0" applyFont="1" applyBorder="1">
      <alignment horizontal="center" vertical="center" wrapText="1"/>
    </xf>
    <xf numFmtId="0" fontId="0" fillId="0" borderId="12" xfId="0" applyFont="1" applyBorder="1">
      <alignment horizontal="center" vertical="center" wrapText="1"/>
    </xf>
    <xf numFmtId="49" fontId="22" fillId="0" borderId="12" xfId="0" applyFont="1" applyBorder="1" applyNumberFormat="1">
      <alignment horizontal="left" vertical="center" wrapText="1"/>
    </xf>
    <xf numFmtId="0" fontId="22" fillId="35" borderId="12" xfId="0" applyFont="1" applyFill="1" applyBorder="1">
      <alignment horizontal="left" vertical="center" wrapText="1"/>
    </xf>
    <xf numFmtId="49" fontId="0" fillId="0" borderId="12" xfId="0" applyFont="1" applyBorder="1" applyNumberFormat="1">
      <alignment horizontal="center" vertical="center" wrapText="1"/>
    </xf>
    <xf numFmtId="49" fontId="0" fillId="0" borderId="12" xfId="0" applyFont="1" applyBorder="1" applyNumberFormat="1">
      <alignment horizontal="center" vertical="center"/>
    </xf>
    <xf numFmtId="0" fontId="22" fillId="35" borderId="19" xfId="0" applyFont="1" applyFill="1" applyBorder="1">
      <alignment vertical="center" wrapText="1"/>
    </xf>
    <xf numFmtId="49" fontId="47" fillId="0" borderId="0" xfId="0" applyFont="1" applyNumberFormat="1">
      <alignment vertical="top"/>
    </xf>
    <xf numFmtId="0" fontId="47" fillId="0" borderId="39" xfId="0" applyFont="1" applyBorder="1">
      <alignment vertical="center" wrapText="1"/>
    </xf>
    <xf numFmtId="49" fontId="0" fillId="0" borderId="12" xfId="0" applyFont="1" applyBorder="1" applyNumberFormat="1">
      <alignment horizontal="center" vertical="center"/>
    </xf>
    <xf numFmtId="49" fontId="0" fillId="0" borderId="12" xfId="0" applyFont="1" applyBorder="1" applyNumberFormat="1">
      <alignment horizontal="center" vertical="center" wrapText="1"/>
    </xf>
    <xf numFmtId="49" fontId="0" fillId="34" borderId="12" xfId="0" applyFont="1" applyFill="1" applyBorder="1" applyNumberFormat="1">
      <alignment horizontal="center" vertical="center"/>
    </xf>
    <xf numFmtId="49" fontId="22" fillId="0" borderId="22" xfId="0" applyFont="1" applyBorder="1" applyNumberFormat="1">
      <alignment vertical="top"/>
    </xf>
    <xf numFmtId="0" fontId="22" fillId="0" borderId="22" xfId="0" applyFont="1" applyBorder="1">
      <alignment vertical="center" wrapText="1"/>
    </xf>
    <xf numFmtId="4" fontId="0" fillId="36" borderId="12" xfId="0" applyFont="1" applyFill="1" applyBorder="1" applyNumberFormat="1">
      <alignment horizontal="right" vertical="center" wrapText="1"/>
      <protection locked="0"/>
    </xf>
    <xf numFmtId="4" fontId="0" fillId="34" borderId="12" xfId="0" applyFont="1" applyFill="1" applyBorder="1" applyNumberFormat="1">
      <alignment horizontal="right" vertical="center" wrapText="1"/>
    </xf>
    <xf numFmtId="49" fontId="0" fillId="0" borderId="12" xfId="0" applyFont="1" applyBorder="1" applyNumberFormat="1">
      <alignment horizontal="left" vertical="center" wrapText="1" indent="2"/>
    </xf>
    <xf numFmtId="49" fontId="0" fillId="0" borderId="12" xfId="0" applyFont="1" applyBorder="1" applyNumberFormat="1">
      <alignment horizontal="left" vertical="center" wrapText="1" indent="3"/>
    </xf>
    <xf numFmtId="49" fontId="0" fillId="0" borderId="12" xfId="0" applyFont="1" applyBorder="1" applyNumberFormat="1">
      <alignment horizontal="left" vertical="center" wrapText="1"/>
    </xf>
    <xf numFmtId="0" fontId="22" fillId="0" borderId="38" xfId="0" applyFont="1" applyBorder="1">
      <alignment vertical="center"/>
    </xf>
    <xf numFmtId="49" fontId="39" fillId="37" borderId="15" xfId="0" applyFont="1" applyFill="1" applyBorder="1" applyNumberFormat="1">
      <alignment horizontal="left" vertical="center" indent="1"/>
    </xf>
    <xf numFmtId="49" fontId="22" fillId="39" borderId="17" xfId="0" applyFont="1" applyFill="1" applyBorder="1" applyNumberFormat="1">
      <alignment horizontal="left" vertical="center" wrapText="1" indent="1"/>
      <protection locked="0"/>
    </xf>
    <xf numFmtId="0" fontId="45" fillId="0" borderId="0" xfId="0" applyFont="1">
      <alignment vertical="center" wrapText="1"/>
    </xf>
    <xf numFmtId="0" fontId="22" fillId="35" borderId="27" xfId="0" applyFont="1" applyFill="1" applyBorder="1">
      <alignment vertical="center" wrapText="1"/>
    </xf>
    <xf numFmtId="0" fontId="47" fillId="35" borderId="19" xfId="0" applyFont="1" applyFill="1" applyBorder="1">
      <alignment horizontal="center" vertical="center" wrapText="1"/>
    </xf>
    <xf numFmtId="49" fontId="72" fillId="0" borderId="0" xfId="0" applyFont="1" applyNumberFormat="1">
      <alignment vertical="center" wrapText="1"/>
    </xf>
    <xf numFmtId="0" fontId="106" fillId="35" borderId="0" xfId="0" applyFont="1" applyFill="1">
      <alignment vertical="center" wrapText="1"/>
    </xf>
    <xf numFmtId="0" fontId="22" fillId="0" borderId="0" xfId="0" applyFont="1">
      <alignment vertical="center"/>
    </xf>
    <xf numFmtId="49" fontId="47" fillId="35" borderId="0" xfId="0" applyFont="1" applyFill="1" applyNumberFormat="1">
      <alignment horizontal="center" vertical="center" wrapText="1"/>
    </xf>
    <xf numFmtId="0" fontId="22" fillId="0" borderId="0" xfId="0" applyFont="1">
      <alignment horizontal="left" vertical="center" wrapText="1"/>
    </xf>
    <xf numFmtId="0" fontId="47" fillId="0" borderId="0" xfId="0" applyFont="1">
      <alignment vertical="center"/>
    </xf>
    <xf numFmtId="0" fontId="22" fillId="0" borderId="0" xfId="0" applyFont="1">
      <alignment horizontal="left" vertical="center" wrapText="1" indent="1"/>
    </xf>
    <xf numFmtId="0" fontId="22" fillId="0" borderId="0" xfId="0" applyFont="1">
      <alignment horizontal="right" vertical="top" wrapText="1"/>
    </xf>
    <xf numFmtId="0" fontId="107" fillId="35" borderId="0" xfId="0" applyFont="1" applyFill="1">
      <alignment vertical="center" wrapText="1"/>
    </xf>
    <xf numFmtId="49" fontId="80" fillId="35" borderId="19" xfId="0" applyFont="1" applyFill="1" applyBorder="1" applyNumberFormat="1">
      <alignment horizontal="center" vertical="center" wrapText="1"/>
    </xf>
    <xf numFmtId="0" fontId="80" fillId="35" borderId="19" xfId="0" applyFont="1" applyFill="1" applyBorder="1">
      <alignment horizontal="center" vertical="center" wrapText="1"/>
    </xf>
    <xf numFmtId="210" fontId="22" fillId="36" borderId="12" xfId="0" applyFont="1" applyFill="1" applyBorder="1" applyNumberFormat="1">
      <alignment horizontal="right" vertical="center" wrapText="1"/>
      <protection locked="0"/>
    </xf>
    <xf numFmtId="0" fontId="44" fillId="0" borderId="12" xfId="0" applyFont="1" applyBorder="1">
      <alignment vertical="top" wrapText="1"/>
    </xf>
    <xf numFmtId="0" fontId="22" fillId="0" borderId="0" xfId="0" applyFont="1">
      <alignment vertical="center"/>
    </xf>
    <xf numFmtId="0" fontId="108" fillId="0" borderId="0" xfId="0" applyFont="1">
      <alignment vertical="center"/>
    </xf>
    <xf numFmtId="0" fontId="108" fillId="0" borderId="0" xfId="0" applyFont="1">
      <alignment vertical="center"/>
    </xf>
    <xf numFmtId="0" fontId="22" fillId="0" borderId="0" xfId="0" applyFont="1">
      <alignment vertical="center"/>
    </xf>
    <xf numFmtId="0" fontId="22" fillId="0" borderId="0" xfId="0" applyFont="1">
      <alignment vertical="center"/>
    </xf>
    <xf numFmtId="0" fontId="108" fillId="0" borderId="0" xfId="0" applyFont="1">
      <alignment vertical="center"/>
    </xf>
    <xf numFmtId="0" fontId="22" fillId="0" borderId="0" xfId="0" applyFont="1">
      <alignment vertical="center"/>
    </xf>
    <xf numFmtId="0" fontId="22" fillId="0" borderId="0" xfId="0" applyFont="1">
      <alignment vertical="center"/>
    </xf>
    <xf numFmtId="0" fontId="22" fillId="0" borderId="0" xfId="0" applyFont="1">
      <alignment horizontal="left" vertical="center" indent="1"/>
    </xf>
    <xf numFmtId="49" fontId="109" fillId="37" borderId="15" xfId="0" applyFont="1" applyFill="1" applyBorder="1" applyNumberFormat="1">
      <alignment horizontal="left" vertical="center" indent="3"/>
    </xf>
    <xf numFmtId="49" fontId="72" fillId="37" borderId="15" xfId="0" applyFont="1" applyFill="1" applyBorder="1" applyNumberFormat="1">
      <alignment horizontal="center" vertical="center" wrapText="1"/>
    </xf>
    <xf numFmtId="49" fontId="67" fillId="37" borderId="15" xfId="0" applyFont="1" applyFill="1" applyBorder="1" applyNumberFormat="1">
      <alignment horizontal="center" vertical="center" wrapText="1"/>
    </xf>
    <xf numFmtId="49" fontId="67" fillId="37" borderId="13" xfId="0" applyFont="1" applyFill="1" applyBorder="1" applyNumberFormat="1">
      <alignment horizontal="center" vertical="center" wrapText="1"/>
    </xf>
    <xf numFmtId="49" fontId="109" fillId="37" borderId="15" xfId="0" applyFont="1" applyFill="1" applyBorder="1" applyNumberFormat="1">
      <alignment horizontal="left" vertical="center" indent="2"/>
    </xf>
    <xf numFmtId="49" fontId="109" fillId="37" borderId="15" xfId="0" applyFont="1" applyFill="1" applyBorder="1" applyNumberFormat="1">
      <alignment horizontal="left" vertical="center" indent="1"/>
    </xf>
    <xf numFmtId="49" fontId="109" fillId="37" borderId="15" xfId="0" applyFont="1" applyFill="1" applyBorder="1" applyNumberFormat="1">
      <alignment horizontal="left" vertical="center"/>
    </xf>
    <xf numFmtId="0" fontId="22" fillId="35" borderId="0" xfId="0" applyFont="1" applyFill="1">
      <alignment horizontal="left" vertical="center" wrapText="1"/>
    </xf>
    <xf numFmtId="0" fontId="0" fillId="0" borderId="0" xfId="0" applyFont="1">
      <alignment horizontal="left" vertical="center"/>
    </xf>
    <xf numFmtId="49" fontId="80" fillId="35" borderId="19" xfId="0" applyFont="1" applyFill="1" applyBorder="1" applyNumberFormat="1">
      <alignment horizontal="left" vertical="center" wrapText="1"/>
    </xf>
    <xf numFmtId="49" fontId="73" fillId="37" borderId="14" xfId="0" applyFont="1" applyFill="1" applyBorder="1" applyNumberFormat="1">
      <alignment horizontal="left" vertical="center"/>
    </xf>
    <xf numFmtId="49" fontId="101" fillId="37" borderId="14" xfId="0" applyFont="1" applyFill="1" applyBorder="1" applyNumberFormat="1">
      <alignment horizontal="left" vertical="center"/>
    </xf>
    <xf numFmtId="49" fontId="67" fillId="37" borderId="14" xfId="0" applyFont="1" applyFill="1" applyBorder="1" applyNumberFormat="1">
      <alignment horizontal="left" vertical="top"/>
    </xf>
    <xf numFmtId="0" fontId="0" fillId="48" borderId="0" xfId="0" applyFont="1" applyFill="1">
      <alignment horizontal="right" vertical="center"/>
    </xf>
    <xf numFmtId="0" fontId="47" fillId="0" borderId="12" xfId="0" applyFont="1" applyBorder="1">
      <alignment horizontal="center" vertical="center"/>
    </xf>
    <xf numFmtId="0" fontId="0" fillId="0" borderId="0" xfId="0" applyFont="1">
      <alignment vertical="center"/>
    </xf>
    <xf numFmtId="0" fontId="22" fillId="0" borderId="12" xfId="0" applyFont="1" applyBorder="1">
      <alignment horizontal="center" vertical="center" wrapText="1"/>
    </xf>
    <xf numFmtId="0" fontId="0" fillId="0" borderId="0" xfId="0" applyFont="1">
      <alignment horizontal="left" vertical="top" wrapText="1"/>
    </xf>
    <xf numFmtId="49" fontId="22" fillId="0" borderId="0" xfId="0" applyFont="1" applyNumberFormat="1">
      <alignment vertical="center" wrapText="1"/>
    </xf>
    <xf numFmtId="0" fontId="22" fillId="0" borderId="0" xfId="0" applyFont="1">
      <alignment horizontal="right" vertical="center" wrapText="1"/>
    </xf>
    <xf numFmtId="0" fontId="22" fillId="0" borderId="0" xfId="0" applyFont="1">
      <alignment horizontal="left" vertical="top" wrapText="1"/>
    </xf>
    <xf numFmtId="0" fontId="80" fillId="35" borderId="19" xfId="0" applyFont="1" applyFill="1" applyBorder="1">
      <alignment horizontal="center" vertical="center" wrapText="1"/>
    </xf>
    <xf numFmtId="0" fontId="22" fillId="0" borderId="0" xfId="0" applyFont="1">
      <alignment horizontal="center" vertical="center" wrapText="1"/>
    </xf>
    <xf numFmtId="0" fontId="47" fillId="0" borderId="0" xfId="0" applyFont="1">
      <alignment horizontal="center" vertical="center" wrapText="1"/>
    </xf>
    <xf numFmtId="0" fontId="0" fillId="0" borderId="12" xfId="0" applyFont="1" applyBorder="1">
      <alignment horizontal="center" vertical="center" wrapText="1"/>
    </xf>
    <xf numFmtId="0" fontId="22" fillId="35" borderId="12" xfId="0" applyFont="1" applyFill="1" applyBorder="1">
      <alignment horizontal="left" vertical="center" wrapText="1"/>
    </xf>
    <xf numFmtId="49" fontId="22" fillId="0" borderId="12" xfId="0" applyFont="1" applyBorder="1" applyNumberFormat="1">
      <alignment horizontal="left" vertical="center" wrapText="1"/>
    </xf>
    <xf numFmtId="0" fontId="54" fillId="48" borderId="0" xfId="0" applyFont="1" applyFill="1">
      <alignment horizontal="left" vertical="center"/>
    </xf>
    <xf numFmtId="49" fontId="22" fillId="0" borderId="20" xfId="0" applyFont="1" applyBorder="1" applyNumberFormat="1">
      <alignment horizontal="left" vertical="center" wrapText="1"/>
    </xf>
    <xf numFmtId="0" fontId="39" fillId="0" borderId="0" xfId="0" applyFont="1">
      <alignment horizontal="left" vertical="center"/>
    </xf>
    <xf numFmtId="0" fontId="39" fillId="0" borderId="24" xfId="0" applyFont="1" applyBorder="1">
      <alignment horizontal="left" vertical="center"/>
    </xf>
    <xf numFmtId="0" fontId="39" fillId="0" borderId="30" xfId="0" applyFont="1" applyBorder="1">
      <alignment horizontal="left" vertical="center"/>
    </xf>
    <xf numFmtId="0" fontId="39" fillId="0" borderId="27" xfId="0" applyFont="1" applyBorder="1">
      <alignment horizontal="left" vertical="center"/>
    </xf>
    <xf numFmtId="0" fontId="0" fillId="0" borderId="27" xfId="0" applyFont="1" applyBorder="1">
      <alignment vertical="center"/>
    </xf>
    <xf numFmtId="0" fontId="39" fillId="0" borderId="29" xfId="0" applyFont="1" applyBorder="1">
      <alignment horizontal="left" vertical="center"/>
    </xf>
    <xf numFmtId="49" fontId="22" fillId="0" borderId="0" xfId="0" applyFont="1" applyNumberFormat="1">
      <alignment vertical="center" wrapText="1"/>
    </xf>
    <xf numFmtId="0" fontId="22" fillId="0" borderId="0" xfId="0" applyFont="1">
      <alignment horizontal="center" vertical="center" wrapText="1"/>
    </xf>
    <xf numFmtId="0" fontId="47" fillId="0" borderId="0" xfId="0" applyFont="1">
      <alignment horizontal="center" vertical="center" wrapText="1"/>
    </xf>
    <xf numFmtId="49" fontId="22" fillId="0" borderId="12" xfId="0" applyFont="1" applyBorder="1" applyNumberFormat="1">
      <alignment horizontal="left" vertical="center" wrapText="1"/>
    </xf>
    <xf numFmtId="0" fontId="44" fillId="0" borderId="17" xfId="0" applyFont="1" applyBorder="1">
      <alignment vertical="top" wrapText="1"/>
    </xf>
    <xf numFmtId="0" fontId="0" fillId="0" borderId="0" xfId="0" applyFont="1">
      <alignment vertical="center"/>
    </xf>
    <xf numFmtId="0" fontId="22" fillId="35" borderId="12" xfId="0" applyFont="1" applyFill="1" applyBorder="1">
      <alignment horizontal="left" vertical="center" wrapText="1"/>
    </xf>
    <xf numFmtId="0" fontId="22" fillId="0" borderId="0" xfId="0" applyFont="1">
      <alignment horizontal="center" vertical="center"/>
    </xf>
    <xf numFmtId="49" fontId="22" fillId="0" borderId="0" xfId="0" applyFont="1" applyNumberFormat="1">
      <alignment vertical="center" wrapText="1"/>
    </xf>
    <xf numFmtId="0" fontId="80" fillId="35" borderId="19" xfId="0" applyFont="1" applyFill="1" applyBorder="1">
      <alignment horizontal="center" vertical="center" wrapText="1"/>
    </xf>
    <xf numFmtId="0" fontId="0" fillId="0" borderId="12" xfId="0" applyFont="1" applyBorder="1">
      <alignment horizontal="center" vertical="center" wrapText="1"/>
    </xf>
    <xf numFmtId="0" fontId="47" fillId="0" borderId="0" xfId="0" applyFont="1">
      <alignment horizontal="left" vertical="center" indent="1"/>
    </xf>
    <xf numFmtId="0" fontId="47" fillId="0" borderId="0" xfId="0" applyFont="1">
      <alignment horizontal="left" vertical="center" wrapText="1"/>
    </xf>
    <xf numFmtId="49" fontId="47" fillId="0" borderId="0" xfId="0" applyFont="1" applyNumberFormat="1">
      <alignment vertical="top"/>
    </xf>
    <xf numFmtId="49" fontId="107" fillId="0" borderId="0" xfId="0" applyFont="1" applyNumberFormat="1">
      <alignment vertical="top"/>
    </xf>
    <xf numFmtId="49" fontId="97" fillId="0" borderId="19" xfId="0" applyFont="1" applyBorder="1" applyNumberFormat="1">
      <alignment horizontal="left" vertical="center"/>
    </xf>
    <xf numFmtId="49" fontId="47" fillId="0" borderId="19" xfId="0" applyFont="1" applyBorder="1" applyNumberFormat="1">
      <alignment horizontal="left" vertical="center" indent="3"/>
    </xf>
    <xf numFmtId="49" fontId="47" fillId="0" borderId="19" xfId="0" applyFont="1" applyBorder="1" applyNumberFormat="1">
      <alignment horizontal="center" vertical="center" wrapText="1"/>
    </xf>
    <xf numFmtId="49" fontId="47" fillId="0" borderId="0" xfId="0" applyFont="1" applyNumberFormat="1">
      <alignment horizontal="left" vertical="center"/>
    </xf>
    <xf numFmtId="49" fontId="97" fillId="0" borderId="0" xfId="0" applyFont="1" applyNumberFormat="1">
      <alignment horizontal="left" vertical="center"/>
    </xf>
    <xf numFmtId="49" fontId="47" fillId="0" borderId="0" xfId="0" applyFont="1" applyNumberFormat="1">
      <alignment horizontal="left" vertical="center" indent="2"/>
    </xf>
    <xf numFmtId="49" fontId="47" fillId="0" borderId="0" xfId="0" applyFont="1" applyNumberFormat="1">
      <alignment horizontal="center" vertical="center" wrapText="1"/>
    </xf>
    <xf numFmtId="49" fontId="47" fillId="0" borderId="0" xfId="0" applyFont="1" applyNumberFormat="1">
      <alignment horizontal="left" vertical="center" indent="1"/>
    </xf>
    <xf numFmtId="0" fontId="0" fillId="0" borderId="0" xfId="0" applyFont="1">
      <alignment vertical="center"/>
    </xf>
    <xf numFmtId="0" fontId="22" fillId="0" borderId="0" xfId="0" applyFont="1">
      <alignment horizontal="center" vertical="center" wrapText="1"/>
    </xf>
    <xf numFmtId="49" fontId="22" fillId="0" borderId="0" xfId="0" applyFont="1" applyNumberFormat="1">
      <alignment vertical="center" wrapText="1"/>
    </xf>
    <xf numFmtId="0" fontId="46" fillId="0" borderId="0" xfId="0" applyFont="1">
      <alignment horizontal="center" vertical="center" wrapText="1"/>
    </xf>
    <xf numFmtId="0" fontId="22" fillId="35" borderId="12" xfId="0" applyFont="1" applyFill="1" applyBorder="1">
      <alignment horizontal="center" vertical="center" wrapText="1"/>
    </xf>
    <xf numFmtId="0" fontId="47" fillId="0" borderId="0" xfId="0" applyFont="1">
      <alignment horizontal="center" vertical="center" wrapText="1"/>
    </xf>
    <xf numFmtId="0" fontId="22" fillId="0" borderId="0" xfId="0" applyFont="1">
      <alignment horizontal="center" vertical="center" wrapText="1"/>
    </xf>
    <xf numFmtId="0" fontId="22" fillId="0" borderId="0" xfId="0" applyFont="1">
      <alignment horizontal="left" vertical="top" wrapText="1"/>
    </xf>
    <xf numFmtId="0" fontId="0" fillId="0" borderId="13" xfId="0" applyFont="1" applyBorder="1">
      <alignment horizontal="center" vertical="center" wrapText="1"/>
    </xf>
    <xf numFmtId="0" fontId="80" fillId="35" borderId="19" xfId="0" applyFont="1" applyFill="1" applyBorder="1">
      <alignment horizontal="center" vertical="center" wrapText="1"/>
    </xf>
    <xf numFmtId="0" fontId="22" fillId="35" borderId="12" xfId="0" applyFont="1" applyFill="1" applyBorder="1">
      <alignment horizontal="left" vertical="center" wrapText="1"/>
    </xf>
    <xf numFmtId="49" fontId="22" fillId="35" borderId="12" xfId="0" applyFont="1" applyFill="1" applyBorder="1" applyNumberFormat="1">
      <alignment horizontal="center" vertical="center" wrapText="1"/>
    </xf>
    <xf numFmtId="0" fontId="0" fillId="0" borderId="12" xfId="0" applyFont="1" applyBorder="1">
      <alignment horizontal="center" vertical="center" wrapText="1"/>
    </xf>
    <xf numFmtId="0" fontId="47" fillId="0" borderId="0" xfId="0" applyFont="1">
      <alignment horizontal="center" vertical="center"/>
    </xf>
    <xf numFmtId="0" fontId="22" fillId="0" borderId="0" xfId="0" applyFont="1">
      <alignment horizontal="right" vertical="center" wrapText="1"/>
    </xf>
    <xf numFmtId="0" fontId="80" fillId="35" borderId="0" xfId="0" applyFont="1" applyFill="1">
      <alignment horizontal="center" vertical="center" wrapText="1"/>
    </xf>
    <xf numFmtId="49" fontId="22" fillId="0" borderId="12" xfId="0" applyFont="1" applyBorder="1" applyNumberFormat="1">
      <alignment horizontal="left" vertical="center" wrapText="1"/>
    </xf>
    <xf numFmtId="0" fontId="47" fillId="0" borderId="0" xfId="0" applyFont="1">
      <alignment horizontal="left" vertical="center" indent="1"/>
    </xf>
    <xf numFmtId="49" fontId="107" fillId="0" borderId="0" xfId="0" applyFont="1" applyNumberFormat="1">
      <alignment vertical="top"/>
    </xf>
    <xf numFmtId="49" fontId="22" fillId="0" borderId="12" xfId="0" applyFont="1" applyBorder="1" applyNumberFormat="1">
      <alignment vertical="center" wrapText="1"/>
    </xf>
    <xf numFmtId="0" fontId="47" fillId="0" borderId="0" xfId="0" applyFont="1">
      <alignment horizontal="center" vertical="center"/>
    </xf>
    <xf numFmtId="0" fontId="22" fillId="40" borderId="12" xfId="0" applyFont="1" applyFill="1" applyBorder="1">
      <alignment horizontal="left" vertical="center" wrapText="1" indent="6"/>
    </xf>
    <xf numFmtId="4" fontId="22" fillId="0" borderId="17" xfId="0" applyFont="1" applyBorder="1" applyNumberFormat="1">
      <alignment horizontal="right" vertical="center" wrapText="1"/>
    </xf>
    <xf numFmtId="4" fontId="22" fillId="0" borderId="23" xfId="0" applyFont="1" applyBorder="1" applyNumberFormat="1">
      <alignment horizontal="right" vertical="center" wrapText="1"/>
    </xf>
    <xf numFmtId="0" fontId="0" fillId="0" borderId="0" xfId="0" applyFont="1">
      <alignment vertical="center"/>
    </xf>
    <xf numFmtId="49" fontId="22" fillId="0" borderId="0" xfId="0" applyFont="1" applyNumberFormat="1">
      <alignment vertical="center" wrapText="1"/>
    </xf>
    <xf numFmtId="0" fontId="22" fillId="0" borderId="17" xfId="0" applyFont="1" applyBorder="1">
      <alignment horizontal="center" vertical="center" wrapText="1"/>
    </xf>
    <xf numFmtId="0" fontId="80" fillId="35" borderId="19" xfId="0" applyFont="1" applyFill="1" applyBorder="1">
      <alignment horizontal="center" vertical="center" wrapText="1"/>
    </xf>
    <xf numFmtId="0" fontId="47" fillId="0" borderId="0" xfId="0" applyFont="1">
      <alignment horizontal="center" vertical="center" wrapText="1"/>
    </xf>
    <xf numFmtId="0" fontId="22" fillId="0" borderId="0" xfId="0" applyFont="1">
      <alignment horizontal="right" vertical="center" wrapText="1"/>
    </xf>
    <xf numFmtId="0" fontId="22" fillId="0" borderId="0" xfId="0" applyFont="1">
      <alignment horizontal="center" vertical="center" wrapText="1"/>
    </xf>
    <xf numFmtId="0" fontId="0" fillId="0" borderId="12" xfId="0" applyFont="1" applyBorder="1">
      <alignment horizontal="center" vertical="center" wrapText="1"/>
    </xf>
    <xf numFmtId="0" fontId="22" fillId="35" borderId="12" xfId="0" applyFont="1" applyFill="1" applyBorder="1">
      <alignment horizontal="left" vertical="center" wrapText="1"/>
    </xf>
    <xf numFmtId="49" fontId="22" fillId="0" borderId="12" xfId="0" applyFont="1" applyBorder="1" applyNumberFormat="1">
      <alignment horizontal="left" vertical="center" wrapText="1"/>
    </xf>
    <xf numFmtId="4" fontId="46" fillId="0" borderId="12" xfId="0" applyFont="1" applyBorder="1" applyNumberFormat="1">
      <alignment horizontal="right" vertical="center" wrapText="1"/>
    </xf>
    <xf numFmtId="210" fontId="46" fillId="0" borderId="12" xfId="0" applyFont="1" applyBorder="1" applyNumberFormat="1">
      <alignment horizontal="right" vertical="center" wrapText="1"/>
    </xf>
    <xf numFmtId="49" fontId="46" fillId="0" borderId="0" xfId="0" applyFont="1" applyNumberFormat="1">
      <alignment vertical="center" wrapText="1"/>
    </xf>
    <xf numFmtId="0" fontId="46" fillId="0" borderId="0" xfId="0" applyFont="1">
      <alignment horizontal="left" vertical="center" indent="1"/>
    </xf>
    <xf numFmtId="0" fontId="46" fillId="0" borderId="0" xfId="0" applyFont="1">
      <alignment horizontal="center" vertical="center"/>
    </xf>
    <xf numFmtId="0" fontId="46" fillId="0" borderId="0" xfId="0" applyFont="1">
      <alignment horizontal="left" vertical="center" wrapText="1"/>
    </xf>
    <xf numFmtId="0" fontId="46" fillId="0" borderId="0" xfId="0" applyFont="1">
      <alignment vertical="center" wrapText="1"/>
    </xf>
    <xf numFmtId="49" fontId="46" fillId="0" borderId="12" xfId="0" applyFont="1" applyBorder="1" applyNumberFormat="1">
      <alignment vertical="center" wrapText="1"/>
    </xf>
    <xf numFmtId="0" fontId="46" fillId="0" borderId="0" xfId="0" applyFont="1">
      <alignment vertical="center"/>
    </xf>
    <xf numFmtId="0" fontId="46" fillId="0" borderId="0" xfId="0" applyFont="1">
      <alignment horizontal="center" vertical="center"/>
    </xf>
    <xf numFmtId="0" fontId="46" fillId="0" borderId="0" xfId="0" applyFont="1">
      <alignment vertical="center"/>
    </xf>
    <xf numFmtId="0" fontId="69" fillId="0" borderId="0" xfId="0" applyFont="1">
      <alignment vertical="center" wrapText="1"/>
    </xf>
    <xf numFmtId="0" fontId="0" fillId="0" borderId="15" xfId="0" applyFont="1" applyBorder="1">
      <alignment vertical="center"/>
    </xf>
    <xf numFmtId="0" fontId="47" fillId="0" borderId="12" xfId="0" applyFont="1" applyBorder="1">
      <alignment horizontal="center" vertical="center" wrapText="1"/>
    </xf>
    <xf numFmtId="0" fontId="72" fillId="0" borderId="0" xfId="0" applyFont="1">
      <alignment horizontal="left" vertical="center" indent="1"/>
    </xf>
    <xf numFmtId="0" fontId="72" fillId="0" borderId="0" xfId="0" applyFont="1">
      <alignment horizontal="left" vertical="center" indent="1"/>
    </xf>
    <xf numFmtId="0" fontId="47" fillId="0" borderId="12" xfId="0" applyFont="1" applyBorder="1">
      <alignment vertical="center" wrapText="1"/>
    </xf>
    <xf numFmtId="0" fontId="72" fillId="0" borderId="0" xfId="0" applyFont="1">
      <alignment horizontal="center" vertical="center"/>
    </xf>
    <xf numFmtId="0" fontId="72" fillId="0" borderId="0" xfId="0" applyFont="1">
      <alignment horizontal="left" vertical="center" wrapText="1"/>
    </xf>
    <xf numFmtId="49" fontId="72" fillId="0" borderId="0" xfId="0" applyFont="1" applyNumberFormat="1">
      <alignment horizontal="left" vertical="center"/>
    </xf>
    <xf numFmtId="0" fontId="22" fillId="0" borderId="0" xfId="0" applyFont="1">
      <alignment horizontal="center" vertical="center"/>
    </xf>
    <xf numFmtId="0" fontId="72" fillId="0" borderId="0" xfId="0" applyFont="1">
      <alignment horizontal="center" vertical="center"/>
    </xf>
    <xf numFmtId="4" fontId="22" fillId="0" borderId="13" xfId="0" applyFont="1" applyBorder="1" applyNumberFormat="1">
      <alignment horizontal="right" vertical="center" wrapText="1"/>
    </xf>
    <xf numFmtId="0" fontId="47" fillId="0" borderId="12" xfId="0" applyFont="1" applyBorder="1">
      <alignment horizontal="left" vertical="center" wrapText="1" indent="4"/>
    </xf>
    <xf numFmtId="0" fontId="47" fillId="0" borderId="12" xfId="0" applyFont="1" applyBorder="1">
      <alignment horizontal="left" vertical="center" wrapText="1" indent="6"/>
    </xf>
    <xf numFmtId="0" fontId="47" fillId="0" borderId="12" xfId="0" applyFont="1" applyBorder="1">
      <alignment vertical="top" wrapText="1"/>
    </xf>
    <xf numFmtId="49" fontId="97" fillId="0" borderId="14" xfId="0" applyFont="1" applyBorder="1" applyNumberFormat="1">
      <alignment horizontal="left" vertical="center"/>
    </xf>
    <xf numFmtId="49" fontId="47" fillId="0" borderId="15" xfId="0" applyFont="1" applyBorder="1" applyNumberFormat="1">
      <alignment horizontal="left" vertical="center" indent="4"/>
    </xf>
    <xf numFmtId="49" fontId="47" fillId="0" borderId="15" xfId="0" applyFont="1" applyBorder="1" applyNumberFormat="1">
      <alignment horizontal="center" vertical="center" wrapText="1"/>
    </xf>
    <xf numFmtId="49" fontId="47" fillId="0" borderId="13" xfId="0" applyFont="1" applyBorder="1" applyNumberFormat="1">
      <alignment horizontal="center" vertical="center" wrapText="1"/>
    </xf>
    <xf numFmtId="4" fontId="22" fillId="0" borderId="36" xfId="0" applyFont="1" applyBorder="1" applyNumberFormat="1">
      <alignment horizontal="right" vertical="center" wrapText="1"/>
    </xf>
    <xf numFmtId="0" fontId="22" fillId="36" borderId="12" xfId="0" applyFont="1" applyFill="1" applyBorder="1">
      <alignment horizontal="left" vertical="center" wrapText="1" indent="7"/>
      <protection locked="0"/>
    </xf>
    <xf numFmtId="0" fontId="22" fillId="37" borderId="15" xfId="0" applyFont="1" applyFill="1" applyBorder="1">
      <alignment horizontal="left" vertical="center" wrapText="1" indent="6"/>
    </xf>
    <xf numFmtId="4" fontId="22" fillId="37" borderId="15" xfId="0" applyFont="1" applyFill="1" applyBorder="1" applyNumberFormat="1">
      <alignment horizontal="right" vertical="center" wrapText="1"/>
    </xf>
    <xf numFmtId="4" fontId="47" fillId="37" borderId="15" xfId="0" applyFont="1" applyFill="1" applyBorder="1" applyNumberFormat="1">
      <alignment horizontal="center" vertical="center" wrapText="1"/>
    </xf>
    <xf numFmtId="4" fontId="22" fillId="37" borderId="13" xfId="0" applyFont="1" applyFill="1" applyBorder="1" applyNumberFormat="1">
      <alignment horizontal="right" vertical="center" wrapText="1"/>
    </xf>
    <xf numFmtId="4" fontId="47" fillId="37" borderId="13" xfId="0" applyFont="1" applyFill="1" applyBorder="1" applyNumberFormat="1">
      <alignment horizontal="center" vertical="center" wrapText="1"/>
    </xf>
    <xf numFmtId="210" fontId="22" fillId="37" borderId="13" xfId="0" applyFont="1" applyFill="1" applyBorder="1" applyNumberFormat="1">
      <alignment horizontal="right" vertical="center" wrapText="1"/>
    </xf>
    <xf numFmtId="0" fontId="22" fillId="40" borderId="12" xfId="0" applyFont="1" applyFill="1" applyBorder="1">
      <alignment horizontal="left" vertical="center" wrapText="1" indent="1"/>
    </xf>
    <xf numFmtId="0" fontId="47" fillId="0" borderId="12" xfId="0" applyFont="1" applyBorder="1">
      <alignment horizontal="left" vertical="center" wrapText="1" indent="5"/>
    </xf>
    <xf numFmtId="49" fontId="72" fillId="0" borderId="24" xfId="0" applyFont="1" applyBorder="1" applyNumberFormat="1">
      <alignment vertical="top"/>
    </xf>
    <xf numFmtId="49" fontId="47" fillId="0" borderId="24" xfId="0" applyFont="1" applyBorder="1" applyNumberFormat="1">
      <alignment vertical="top"/>
    </xf>
    <xf numFmtId="0" fontId="22" fillId="0" borderId="12" xfId="0" applyFont="1" applyBorder="1">
      <alignment horizontal="left" vertical="center" wrapText="1" indent="1"/>
    </xf>
    <xf numFmtId="4" fontId="47" fillId="0" borderId="12" xfId="0" applyFont="1" applyBorder="1" applyNumberFormat="1">
      <alignment horizontal="right" vertical="center" wrapText="1"/>
    </xf>
    <xf numFmtId="210" fontId="47" fillId="0" borderId="12" xfId="0" applyFont="1" applyBorder="1" applyNumberFormat="1">
      <alignment horizontal="right" vertical="center" wrapText="1"/>
    </xf>
    <xf numFmtId="210" fontId="22" fillId="36" borderId="14" xfId="0" applyFont="1" applyFill="1" applyBorder="1" applyNumberFormat="1">
      <alignment horizontal="right" vertical="center" wrapText="1"/>
      <protection locked="0"/>
    </xf>
    <xf numFmtId="4" fontId="47" fillId="0" borderId="14" xfId="0" applyFont="1" applyBorder="1" applyNumberFormat="1">
      <alignment horizontal="center" vertical="center" wrapText="1"/>
    </xf>
    <xf numFmtId="4" fontId="22" fillId="36" borderId="13" xfId="0" applyFont="1" applyFill="1" applyBorder="1" applyNumberFormat="1">
      <alignment horizontal="right" vertical="center" wrapText="1"/>
      <protection locked="0"/>
    </xf>
    <xf numFmtId="49" fontId="22" fillId="37" borderId="27" xfId="0" applyFont="1" applyFill="1" applyBorder="1" applyNumberFormat="1">
      <alignment horizontal="center" vertical="center" wrapText="1"/>
    </xf>
    <xf numFmtId="49" fontId="46" fillId="0" borderId="0" xfId="0" applyFont="1" applyNumberFormat="1">
      <alignment vertical="center" wrapText="1"/>
    </xf>
    <xf numFmtId="0" fontId="46" fillId="0" borderId="0" xfId="0" applyFont="1">
      <alignment horizontal="center" vertical="center" wrapText="1"/>
    </xf>
    <xf numFmtId="0" fontId="56" fillId="35" borderId="0" xfId="0" applyFont="1" applyFill="1">
      <alignment horizontal="center" vertical="center" wrapText="1"/>
    </xf>
    <xf numFmtId="0" fontId="56" fillId="0" borderId="0" xfId="0" applyFont="1">
      <alignment vertical="center" wrapText="1"/>
    </xf>
    <xf numFmtId="0" fontId="47" fillId="0" borderId="0" xfId="0" applyFont="1">
      <alignment vertical="center"/>
    </xf>
    <xf numFmtId="0" fontId="48" fillId="0" borderId="0" xfId="0" applyFont="1">
      <alignment vertical="center"/>
    </xf>
    <xf numFmtId="0" fontId="47" fillId="0" borderId="0" xfId="0" applyFont="1">
      <alignment vertical="center"/>
    </xf>
    <xf numFmtId="0" fontId="47" fillId="0" borderId="0" xfId="0" applyFont="1">
      <alignment vertical="center"/>
    </xf>
    <xf numFmtId="0" fontId="0" fillId="0" borderId="0" xfId="0" applyFont="1">
      <alignment vertical="center"/>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49" fontId="22" fillId="0" borderId="19" xfId="0" applyFont="1" applyBorder="1" applyNumberFormat="1">
      <alignment horizontal="center" vertical="center" wrapText="1"/>
    </xf>
    <xf numFmtId="0" fontId="46" fillId="0" borderId="0" xfId="0" applyFont="1">
      <alignment horizontal="center" vertical="center" wrapText="1"/>
    </xf>
    <xf numFmtId="0" fontId="47" fillId="0" borderId="0" xfId="0" applyFont="1">
      <alignment horizontal="center" vertical="center" wrapText="1"/>
    </xf>
    <xf numFmtId="0" fontId="22" fillId="0" borderId="0" xfId="0" applyFont="1">
      <alignment horizontal="center" vertical="center" wrapText="1"/>
    </xf>
    <xf numFmtId="49" fontId="22" fillId="0" borderId="12" xfId="0" applyFont="1" applyBorder="1" applyNumberFormat="1">
      <alignment horizontal="left" vertical="center" wrapText="1"/>
    </xf>
    <xf numFmtId="0" fontId="22" fillId="35" borderId="12" xfId="0" applyFont="1" applyFill="1" applyBorder="1">
      <alignment horizontal="left" vertical="center" wrapText="1"/>
    </xf>
    <xf numFmtId="0" fontId="47" fillId="0" borderId="0" xfId="0" applyFont="1">
      <alignment horizontal="center" vertical="center"/>
    </xf>
    <xf numFmtId="49" fontId="22" fillId="0" borderId="0" xfId="0" applyFont="1" applyNumberFormat="1">
      <alignment horizontal="center" vertical="top"/>
    </xf>
    <xf numFmtId="49" fontId="31" fillId="0" borderId="0" xfId="0" applyFont="1" applyNumberFormat="1">
      <alignment horizontal="center" vertical="center"/>
    </xf>
    <xf numFmtId="0" fontId="0" fillId="0" borderId="0" xfId="0" applyFont="1">
      <alignment horizontal="left" vertical="center"/>
    </xf>
    <xf numFmtId="0" fontId="54" fillId="0" borderId="0" xfId="0" applyFont="1">
      <alignment horizontal="left" vertical="center"/>
    </xf>
    <xf numFmtId="49" fontId="0" fillId="0" borderId="0" xfId="0" applyFont="1" applyNumberFormat="1">
      <alignment vertical="center"/>
    </xf>
    <xf numFmtId="0" fontId="0" fillId="0" borderId="0" xfId="0" applyFont="1">
      <alignment horizontal="right" vertical="top"/>
    </xf>
    <xf numFmtId="0" fontId="39" fillId="37" borderId="29" xfId="0" applyFont="1" applyFill="1" applyBorder="1">
      <alignment horizontal="left" vertical="center"/>
    </xf>
    <xf numFmtId="49" fontId="47" fillId="0" borderId="14" xfId="0" applyFont="1" applyBorder="1" applyNumberFormat="1">
      <alignment horizontal="left" vertical="center" wrapText="1"/>
    </xf>
    <xf numFmtId="0" fontId="47" fillId="0" borderId="14" xfId="0" applyFont="1" applyBorder="1">
      <alignment horizontal="left" vertical="center"/>
    </xf>
    <xf numFmtId="0" fontId="47" fillId="0" borderId="15" xfId="0" applyFont="1" applyBorder="1">
      <alignment horizontal="left" vertical="center"/>
    </xf>
    <xf numFmtId="49" fontId="22" fillId="36" borderId="12" xfId="0" applyFont="1" applyFill="1" applyBorder="1" applyNumberFormat="1">
      <alignment horizontal="left" vertical="center" wrapText="1" indent="6"/>
      <protection locked="0"/>
    </xf>
    <xf numFmtId="4" fontId="22" fillId="0" borderId="37" xfId="0" applyFont="1" applyBorder="1" applyNumberFormat="1">
      <alignment horizontal="right" vertical="center" wrapText="1"/>
    </xf>
    <xf numFmtId="4" fontId="22" fillId="0" borderId="30" xfId="0" applyFont="1" applyBorder="1" applyNumberFormat="1">
      <alignment horizontal="right" vertical="center" wrapText="1"/>
    </xf>
    <xf numFmtId="49" fontId="0" fillId="37" borderId="29" xfId="0" applyFont="1" applyFill="1" applyBorder="1" applyNumberFormat="1">
      <alignment horizontal="center" vertical="center" wrapText="1"/>
    </xf>
    <xf numFmtId="0" fontId="0" fillId="0" borderId="0" xfId="0" applyFont="1">
      <alignment vertical="center"/>
    </xf>
    <xf numFmtId="0" fontId="110" fillId="0" borderId="0" xfId="0" applyFont="1">
      <alignment vertical="center" wrapText="1"/>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49" fontId="22" fillId="0" borderId="0" xfId="0" applyFont="1" applyNumberFormat="1">
      <alignment vertical="center" wrapText="1"/>
    </xf>
    <xf numFmtId="0" fontId="46" fillId="0" borderId="0" xfId="0" applyFont="1">
      <alignment horizontal="center" vertical="center" wrapText="1"/>
    </xf>
    <xf numFmtId="0" fontId="22" fillId="35" borderId="12" xfId="0" applyFont="1" applyFill="1" applyBorder="1">
      <alignment horizontal="center" vertical="center" wrapText="1"/>
    </xf>
    <xf numFmtId="0" fontId="22" fillId="0" borderId="0" xfId="0" applyFont="1">
      <alignment horizontal="left" vertical="top" wrapText="1"/>
    </xf>
    <xf numFmtId="0" fontId="47" fillId="0" borderId="0" xfId="0" applyFont="1">
      <alignment horizontal="center" vertical="center" wrapText="1"/>
    </xf>
    <xf numFmtId="0" fontId="80" fillId="35" borderId="19" xfId="0" applyFont="1" applyFill="1" applyBorder="1">
      <alignment horizontal="center" vertical="center" wrapText="1"/>
    </xf>
    <xf numFmtId="0" fontId="22" fillId="0" borderId="17" xfId="0" applyFont="1" applyBorder="1">
      <alignment horizontal="center" vertical="center" wrapText="1"/>
    </xf>
    <xf numFmtId="0" fontId="22" fillId="0" borderId="0" xfId="0" applyFont="1">
      <alignment horizontal="center" vertical="center" wrapText="1"/>
    </xf>
    <xf numFmtId="0" fontId="22" fillId="0" borderId="0" xfId="0" applyFont="1">
      <alignment horizontal="right" vertical="center" wrapText="1"/>
    </xf>
    <xf numFmtId="0" fontId="0" fillId="0" borderId="12" xfId="0" applyFont="1" applyBorder="1">
      <alignment horizontal="center" vertical="center" wrapText="1"/>
    </xf>
    <xf numFmtId="49" fontId="22" fillId="0" borderId="12" xfId="0" applyFont="1" applyBorder="1" applyNumberFormat="1">
      <alignment horizontal="left" vertical="center" wrapText="1"/>
    </xf>
    <xf numFmtId="0" fontId="22" fillId="35" borderId="12" xfId="0" applyFont="1" applyFill="1" applyBorder="1">
      <alignment horizontal="left" vertical="center" wrapText="1"/>
    </xf>
    <xf numFmtId="0" fontId="47" fillId="0" borderId="0" xfId="0" applyFont="1">
      <alignment horizontal="center" vertical="center"/>
    </xf>
    <xf numFmtId="49" fontId="22" fillId="40" borderId="12" xfId="0" applyFont="1" applyFill="1" applyBorder="1" applyNumberFormat="1">
      <alignment horizontal="center" vertical="center" wrapText="1"/>
    </xf>
    <xf numFmtId="49" fontId="47" fillId="0" borderId="12" xfId="0" applyFont="1" applyBorder="1" applyNumberFormat="1">
      <alignment horizontal="center" vertical="center" wrapText="1"/>
    </xf>
    <xf numFmtId="0" fontId="46" fillId="0" borderId="0" xfId="0" applyFont="1">
      <alignment horizontal="center" vertical="center" wrapText="1"/>
    </xf>
    <xf numFmtId="0" fontId="47" fillId="0" borderId="0" xfId="0" applyFont="1">
      <alignment horizontal="center" vertical="center" wrapText="1"/>
    </xf>
    <xf numFmtId="49" fontId="22" fillId="35" borderId="12" xfId="0" applyFont="1" applyFill="1" applyBorder="1" applyNumberFormat="1">
      <alignment horizontal="center" vertical="center" wrapText="1"/>
    </xf>
    <xf numFmtId="0" fontId="47" fillId="0" borderId="0" xfId="0" applyFont="1">
      <alignment horizontal="center" vertical="center"/>
    </xf>
    <xf numFmtId="0" fontId="22" fillId="35" borderId="12" xfId="0" applyFont="1" applyFill="1" applyBorder="1">
      <alignment horizontal="left" vertical="center" wrapText="1"/>
    </xf>
    <xf numFmtId="49" fontId="22" fillId="39" borderId="12" xfId="0" applyFont="1" applyFill="1" applyBorder="1" applyNumberFormat="1">
      <alignment horizontal="left" vertical="center" wrapText="1" indent="1"/>
      <protection locked="0"/>
    </xf>
    <xf numFmtId="0" fontId="0" fillId="0" borderId="0" xfId="0" applyFont="1">
      <alignment vertical="center"/>
    </xf>
    <xf numFmtId="0" fontId="22" fillId="0" borderId="0" xfId="0" applyFont="1">
      <alignment horizontal="center" vertical="center" wrapText="1"/>
    </xf>
    <xf numFmtId="49" fontId="22" fillId="40" borderId="12" xfId="0" applyFont="1" applyFill="1" applyBorder="1" applyNumberFormat="1">
      <alignment horizontal="center" vertical="center" wrapText="1"/>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49" fontId="22" fillId="0" borderId="0" xfId="0" applyFont="1" applyNumberFormat="1">
      <alignment vertical="center" wrapText="1"/>
    </xf>
    <xf numFmtId="49" fontId="22" fillId="35" borderId="12" xfId="0" applyFont="1" applyFill="1" applyBorder="1" applyNumberFormat="1">
      <alignment horizontal="center" vertical="center" wrapText="1"/>
    </xf>
    <xf numFmtId="0" fontId="47" fillId="35" borderId="0" xfId="0" applyFont="1" applyFill="1">
      <alignment horizontal="center" vertical="center" wrapText="1"/>
    </xf>
    <xf numFmtId="0" fontId="0" fillId="35" borderId="12" xfId="0" applyFont="1" applyFill="1" applyBorder="1">
      <alignment horizontal="center" vertical="center" wrapText="1"/>
    </xf>
    <xf numFmtId="0" fontId="22" fillId="35" borderId="24" xfId="0" applyFont="1" applyFill="1" applyBorder="1">
      <alignment horizontal="center" vertical="center" wrapText="1"/>
    </xf>
    <xf numFmtId="0" fontId="46" fillId="0" borderId="0" xfId="0" applyFont="1">
      <alignment horizontal="center" vertical="center" wrapText="1"/>
    </xf>
    <xf numFmtId="0" fontId="22" fillId="35" borderId="12" xfId="0" applyFont="1" applyFill="1" applyBorder="1">
      <alignment horizontal="center" vertical="center" wrapText="1"/>
    </xf>
    <xf numFmtId="0" fontId="22" fillId="0" borderId="0" xfId="0" applyFont="1">
      <alignment horizontal="left" vertical="top" wrapText="1"/>
    </xf>
    <xf numFmtId="0" fontId="47" fillId="0" borderId="0" xfId="0" applyFont="1">
      <alignment horizontal="center" vertical="center" wrapText="1"/>
    </xf>
    <xf numFmtId="0" fontId="80" fillId="35" borderId="19" xfId="0" applyFont="1" applyFill="1" applyBorder="1">
      <alignment horizontal="center" vertical="center" wrapText="1"/>
    </xf>
    <xf numFmtId="0" fontId="22" fillId="0" borderId="17" xfId="0" applyFont="1" applyBorder="1">
      <alignment horizontal="center" vertical="center" wrapText="1"/>
    </xf>
    <xf numFmtId="0" fontId="22" fillId="0" borderId="12" xfId="0" applyFont="1" applyBorder="1">
      <alignment horizontal="center" vertical="center" wrapText="1"/>
    </xf>
    <xf numFmtId="49" fontId="47" fillId="0" borderId="12" xfId="0" applyFont="1" applyBorder="1" applyNumberFormat="1">
      <alignment horizontal="center" vertical="center" wrapText="1"/>
    </xf>
    <xf numFmtId="49" fontId="22" fillId="35" borderId="12" xfId="0" applyFont="1" applyFill="1" applyBorder="1" applyNumberFormat="1">
      <alignment horizontal="center" vertical="center" wrapText="1"/>
    </xf>
    <xf numFmtId="0" fontId="22" fillId="0" borderId="0" xfId="0" applyFont="1">
      <alignment horizontal="center" vertical="center" wrapText="1"/>
    </xf>
    <xf numFmtId="0" fontId="22" fillId="0" borderId="0" xfId="0" applyFont="1">
      <alignment horizontal="right" vertical="center" wrapText="1"/>
    </xf>
    <xf numFmtId="0" fontId="0" fillId="0" borderId="12" xfId="0" applyFont="1" applyBorder="1">
      <alignment horizontal="center" vertical="center" wrapText="1"/>
    </xf>
    <xf numFmtId="49" fontId="22" fillId="0" borderId="12" xfId="0" applyFont="1" applyBorder="1" applyNumberFormat="1">
      <alignment horizontal="left" vertical="center" wrapText="1"/>
    </xf>
    <xf numFmtId="49" fontId="22" fillId="40" borderId="12" xfId="0" applyFont="1" applyFill="1" applyBorder="1" applyNumberFormat="1">
      <alignment horizontal="left" vertical="center" wrapText="1"/>
    </xf>
    <xf numFmtId="49" fontId="22" fillId="39" borderId="12" xfId="0" applyFont="1" applyFill="1" applyBorder="1" applyNumberFormat="1">
      <alignment horizontal="left" vertical="center" wrapText="1" indent="1"/>
      <protection locked="0"/>
    </xf>
    <xf numFmtId="0" fontId="22" fillId="35" borderId="12" xfId="0" applyFont="1" applyFill="1" applyBorder="1">
      <alignment horizontal="left" vertical="center" wrapText="1"/>
    </xf>
    <xf numFmtId="0" fontId="47" fillId="0" borderId="0" xfId="0" applyFont="1">
      <alignment horizontal="center" vertical="center"/>
    </xf>
    <xf numFmtId="0" fontId="36" fillId="0" borderId="0" xfId="0" applyFont="1">
      <alignment horizontal="center" vertical="center" wrapText="1"/>
    </xf>
    <xf numFmtId="210" fontId="22" fillId="37" borderId="15" xfId="0" applyFont="1" applyFill="1" applyBorder="1" applyNumberFormat="1">
      <alignment horizontal="right" vertical="center" wrapText="1"/>
    </xf>
    <xf numFmtId="0" fontId="111" fillId="0" borderId="0" xfId="0" applyFont="1">
      <alignment vertical="center" wrapText="1"/>
    </xf>
    <xf numFmtId="0" fontId="111" fillId="35" borderId="0" xfId="0" applyFont="1" applyFill="1">
      <alignment horizontal="center" vertical="center" wrapText="1"/>
    </xf>
    <xf numFmtId="0" fontId="47" fillId="35" borderId="12" xfId="0" applyFont="1" applyFill="1" applyBorder="1">
      <alignment horizontal="left" vertical="center" wrapText="1" indent="3"/>
    </xf>
    <xf numFmtId="49" fontId="39" fillId="37" borderId="27" xfId="0" applyFont="1" applyFill="1" applyBorder="1" applyNumberFormat="1">
      <alignment horizontal="left" vertical="center"/>
    </xf>
    <xf numFmtId="0" fontId="111" fillId="0" borderId="0" xfId="0" applyFont="1">
      <alignment horizontal="center" vertical="center" wrapText="1"/>
    </xf>
    <xf numFmtId="49" fontId="47" fillId="0" borderId="0" xfId="0" applyFont="1" applyNumberFormat="1">
      <alignment horizontal="left" vertical="center" wrapText="1" indent="1"/>
    </xf>
    <xf numFmtId="0" fontId="47" fillId="0" borderId="0" xfId="0" applyFont="1">
      <alignment horizontal="left" vertical="center" wrapText="1" indent="4"/>
    </xf>
    <xf numFmtId="0" fontId="47" fillId="0" borderId="0" xfId="0" applyFont="1">
      <alignment horizontal="left" vertical="center" wrapText="1" indent="1"/>
    </xf>
    <xf numFmtId="49" fontId="22" fillId="37" borderId="14" xfId="0" applyFont="1" applyFill="1" applyBorder="1" applyNumberFormat="1">
      <alignment horizontal="center" vertical="center" wrapText="1"/>
    </xf>
    <xf numFmtId="0" fontId="47" fillId="0" borderId="24" xfId="0" applyFont="1" applyBorder="1">
      <alignment horizontal="left" vertical="center" wrapText="1" indent="1"/>
    </xf>
    <xf numFmtId="0" fontId="46" fillId="0" borderId="0" xfId="0" applyFont="1">
      <alignment horizontal="left" vertical="center"/>
    </xf>
    <xf numFmtId="49" fontId="46" fillId="0" borderId="0" xfId="0" applyFont="1" applyNumberFormat="1">
      <alignment horizontal="left" vertical="center"/>
    </xf>
    <xf numFmtId="0" fontId="46" fillId="0" borderId="0" xfId="0" applyFont="1">
      <alignment horizontal="left" vertical="center"/>
    </xf>
    <xf numFmtId="0" fontId="69" fillId="0" borderId="0" xfId="0" applyFont="1">
      <alignment horizontal="left" vertical="center"/>
    </xf>
    <xf numFmtId="0" fontId="47" fillId="0" borderId="0" xfId="0" applyFont="1">
      <alignment horizontal="left" vertical="center"/>
    </xf>
    <xf numFmtId="49" fontId="22" fillId="0" borderId="0" xfId="0" applyFont="1" applyNumberFormat="1">
      <alignment horizontal="center" vertical="center" wrapText="1"/>
    </xf>
    <xf numFmtId="49" fontId="22" fillId="0" borderId="19" xfId="0" applyFont="1" applyBorder="1" applyNumberFormat="1">
      <alignment horizontal="center" vertical="center" wrapText="1"/>
    </xf>
    <xf numFmtId="49" fontId="22" fillId="0" borderId="19" xfId="0" applyFont="1" applyBorder="1" applyNumberFormat="1">
      <alignment horizontal="left" vertical="center" wrapText="1"/>
    </xf>
    <xf numFmtId="0" fontId="36" fillId="0" borderId="0" xfId="0" applyFont="1">
      <alignment horizontal="center" vertical="center" wrapText="1"/>
    </xf>
    <xf numFmtId="0" fontId="36" fillId="35" borderId="0" xfId="0" applyFont="1" applyFill="1">
      <alignment horizontal="center" vertical="center" wrapText="1"/>
    </xf>
    <xf numFmtId="49" fontId="46" fillId="0" borderId="0" xfId="0" applyFont="1" applyNumberFormat="1">
      <alignment horizontal="left" vertical="center"/>
    </xf>
    <xf numFmtId="49" fontId="46" fillId="0" borderId="0" xfId="0" applyFont="1" applyNumberFormat="1">
      <alignment horizontal="left" vertical="center"/>
    </xf>
    <xf numFmtId="49" fontId="46" fillId="0" borderId="0" xfId="0" applyFont="1" applyNumberFormat="1">
      <alignment horizontal="left" vertical="top"/>
    </xf>
    <xf numFmtId="49" fontId="22" fillId="35" borderId="12" xfId="0" applyFont="1" applyFill="1" applyBorder="1" applyNumberFormat="1">
      <alignment horizontal="center" vertical="center"/>
    </xf>
    <xf numFmtId="0" fontId="22" fillId="0" borderId="12" xfId="0" applyFont="1" applyBorder="1">
      <alignment horizontal="center" vertical="center" wrapText="1"/>
    </xf>
    <xf numFmtId="0" fontId="22" fillId="35" borderId="12" xfId="0" applyFont="1" applyFill="1" applyBorder="1">
      <alignment horizontal="left" vertical="center" wrapText="1" indent="1"/>
    </xf>
    <xf numFmtId="49" fontId="22" fillId="0" borderId="12" xfId="0" applyFont="1" applyBorder="1" applyNumberFormat="1">
      <alignment horizontal="center" vertical="center"/>
    </xf>
    <xf numFmtId="0" fontId="22" fillId="0" borderId="12" xfId="0" applyFont="1" applyBorder="1">
      <alignment horizontal="left" vertical="center" wrapText="1" indent="1"/>
    </xf>
    <xf numFmtId="0" fontId="22" fillId="0" borderId="12" xfId="0" applyFont="1" applyBorder="1">
      <alignment vertical="center" wrapText="1"/>
    </xf>
    <xf numFmtId="49" fontId="22" fillId="39" borderId="12" xfId="0" applyFont="1" applyFill="1" applyBorder="1" applyNumberFormat="1">
      <alignment horizontal="left" vertical="center" wrapText="1"/>
      <protection locked="0"/>
    </xf>
    <xf numFmtId="0" fontId="22" fillId="35" borderId="12" xfId="0" applyFont="1" applyFill="1" applyBorder="1">
      <alignment horizontal="left" vertical="center" wrapText="1"/>
    </xf>
    <xf numFmtId="0" fontId="47" fillId="35" borderId="12" xfId="0" applyFont="1" applyFill="1" applyBorder="1">
      <alignment horizontal="center" vertical="center"/>
    </xf>
    <xf numFmtId="0" fontId="72" fillId="35" borderId="0" xfId="0" applyFont="1" applyFill="1">
      <alignment vertical="center" wrapText="1"/>
    </xf>
    <xf numFmtId="0" fontId="67" fillId="35" borderId="0" xfId="0" applyFont="1" applyFill="1"/>
    <xf numFmtId="49" fontId="22" fillId="36" borderId="12" xfId="0" applyFont="1" applyFill="1" applyBorder="1" applyNumberFormat="1">
      <alignment horizontal="left" vertical="center" wrapText="1"/>
      <protection locked="0"/>
    </xf>
    <xf numFmtId="0" fontId="84" fillId="35" borderId="0" xfId="0" applyFont="1" applyFill="1"/>
    <xf numFmtId="0" fontId="68" fillId="35" borderId="0" xfId="0" applyFont="1" applyFill="1"/>
    <xf numFmtId="14" fontId="22" fillId="39" borderId="23" xfId="0" applyFont="1" applyFill="1" applyBorder="1" applyNumberFormat="1">
      <alignment horizontal="left" vertical="center" wrapText="1" indent="1"/>
      <protection locked="0"/>
    </xf>
    <xf numFmtId="0" fontId="112" fillId="0" borderId="0" xfId="0" applyFont="1">
      <alignment vertical="center"/>
    </xf>
    <xf numFmtId="0" fontId="112" fillId="0" borderId="0" xfId="0" applyFont="1">
      <alignment vertical="center" wrapText="1"/>
    </xf>
    <xf numFmtId="213" fontId="22" fillId="0" borderId="23" xfId="0" applyFont="1" applyBorder="1" applyNumberFormat="1">
      <alignment horizontal="center" vertical="center" wrapText="1"/>
    </xf>
    <xf numFmtId="14" fontId="22" fillId="39" borderId="12" xfId="0" applyFont="1" applyFill="1" applyBorder="1" applyNumberFormat="1">
      <alignment horizontal="left" vertical="center" wrapText="1" indent="1"/>
      <protection locked="0"/>
    </xf>
    <xf numFmtId="0" fontId="22" fillId="34" borderId="23" xfId="0" applyFont="1" applyFill="1" applyBorder="1">
      <alignment horizontal="left" vertical="center" wrapText="1" indent="1"/>
    </xf>
    <xf numFmtId="213" fontId="22" fillId="0" borderId="17" xfId="0" applyFont="1" applyBorder="1" applyNumberFormat="1">
      <alignment horizontal="center" vertical="center" wrapText="1"/>
    </xf>
    <xf numFmtId="49" fontId="49" fillId="37" borderId="30" xfId="0" applyFont="1" applyFill="1" applyBorder="1" applyNumberFormat="1">
      <alignment horizontal="right" vertical="center" wrapText="1"/>
    </xf>
    <xf numFmtId="49" fontId="0" fillId="37" borderId="27" xfId="0" applyFont="1" applyFill="1" applyBorder="1" applyNumberFormat="1">
      <alignment horizontal="right" vertical="center" wrapText="1"/>
    </xf>
    <xf numFmtId="49" fontId="53" fillId="37" borderId="27" xfId="0" applyFont="1" applyFill="1" applyBorder="1" applyNumberFormat="1">
      <alignment horizontal="left" vertical="center" wrapText="1"/>
    </xf>
    <xf numFmtId="0" fontId="47" fillId="0" borderId="27" xfId="0" applyFont="1" applyBorder="1">
      <alignment horizontal="center" vertical="center" wrapText="1"/>
    </xf>
    <xf numFmtId="0" fontId="47" fillId="0" borderId="0" xfId="0" applyFont="1">
      <alignment horizontal="center" vertical="center"/>
    </xf>
    <xf numFmtId="0" fontId="41" fillId="0" borderId="0" xfId="0" applyFont="1">
      <alignment horizontal="center" vertical="center" wrapText="1"/>
    </xf>
    <xf numFmtId="14" fontId="22" fillId="40" borderId="12" xfId="0" applyFont="1" applyFill="1" applyBorder="1" applyNumberFormat="1">
      <alignment horizontal="left" vertical="center" wrapText="1"/>
    </xf>
    <xf numFmtId="213" fontId="22" fillId="0" borderId="37" xfId="0" applyFont="1" applyBorder="1" applyNumberFormat="1">
      <alignment horizontal="center" vertical="center" wrapText="1"/>
    </xf>
    <xf numFmtId="0" fontId="22" fillId="39" borderId="12" xfId="0" applyFont="1" applyFill="1" applyBorder="1">
      <alignment horizontal="center" vertical="center" wrapText="1"/>
      <protection locked="0"/>
    </xf>
    <xf numFmtId="0" fontId="46" fillId="35" borderId="0" xfId="0" applyFont="1" applyFill="1"/>
    <xf numFmtId="0" fontId="22" fillId="0" borderId="15" xfId="0" applyFont="1" applyBorder="1">
      <alignment horizontal="right" vertical="center" wrapText="1" indent="1"/>
    </xf>
    <xf numFmtId="0" fontId="22" fillId="34" borderId="14" xfId="0" applyFont="1" applyFill="1" applyBorder="1">
      <alignment horizontal="left" vertical="top" wrapText="1"/>
    </xf>
    <xf numFmtId="49" fontId="47" fillId="0" borderId="0" xfId="0" applyFont="1" applyNumberFormat="1">
      <alignment horizontal="center" vertical="center"/>
    </xf>
    <xf numFmtId="49" fontId="67" fillId="0" borderId="0" xfId="0" applyFont="1" applyNumberFormat="1">
      <alignment vertical="top"/>
    </xf>
    <xf numFmtId="0" fontId="41" fillId="0" borderId="0" xfId="0" applyFont="1">
      <alignment vertical="center"/>
    </xf>
    <xf numFmtId="0" fontId="22" fillId="0" borderId="36" xfId="0" applyFont="1" applyBorder="1">
      <alignment horizontal="center" vertical="center" wrapText="1"/>
    </xf>
    <xf numFmtId="0" fontId="22" fillId="0" borderId="37" xfId="0" applyFont="1" applyBorder="1">
      <alignment horizontal="center" vertical="center" wrapText="1"/>
    </xf>
    <xf numFmtId="0" fontId="22" fillId="0" borderId="17" xfId="0" applyFont="1" applyBorder="1">
      <alignment horizontal="center" vertical="center" wrapText="1"/>
    </xf>
    <xf numFmtId="0" fontId="22" fillId="0" borderId="22" xfId="0" applyFont="1" applyBorder="1">
      <alignment horizontal="center" vertical="center" wrapText="1"/>
    </xf>
    <xf numFmtId="49" fontId="22" fillId="0" borderId="36" xfId="0" applyFont="1" applyBorder="1" applyNumberFormat="1">
      <alignment horizontal="left" vertical="center" wrapText="1"/>
    </xf>
    <xf numFmtId="49" fontId="22" fillId="0" borderId="36" xfId="0" applyFont="1" applyBorder="1" applyNumberFormat="1">
      <alignment horizontal="center" vertical="center" wrapText="1"/>
    </xf>
    <xf numFmtId="49" fontId="22" fillId="0" borderId="17" xfId="0" applyFont="1" applyBorder="1" applyNumberFormat="1">
      <alignment horizontal="center" vertical="center" wrapText="1"/>
    </xf>
    <xf numFmtId="0" fontId="22" fillId="0" borderId="36" xfId="0" applyFont="1" applyBorder="1">
      <alignment horizontal="left" vertical="center" wrapText="1"/>
    </xf>
    <xf numFmtId="49" fontId="22" fillId="0" borderId="36" xfId="0" applyFont="1" applyBorder="1" applyNumberFormat="1">
      <alignment vertical="center" wrapText="1"/>
    </xf>
    <xf numFmtId="0" fontId="22" fillId="0" borderId="23" xfId="0" applyFont="1" applyBorder="1">
      <alignment horizontal="left" vertical="center" wrapText="1"/>
    </xf>
    <xf numFmtId="0" fontId="39" fillId="0" borderId="23" xfId="0" applyFont="1" applyBorder="1">
      <alignment horizontal="left" vertical="center"/>
    </xf>
    <xf numFmtId="0" fontId="39" fillId="37" borderId="14" xfId="0" applyFont="1" applyFill="1" applyBorder="1">
      <alignment horizontal="left" vertical="center"/>
    </xf>
    <xf numFmtId="0" fontId="39" fillId="0" borderId="36" xfId="0" applyFont="1" applyBorder="1">
      <alignment horizontal="left" vertical="center"/>
    </xf>
    <xf numFmtId="0" fontId="39" fillId="37" borderId="37" xfId="0" applyFont="1" applyFill="1" applyBorder="1">
      <alignment horizontal="left" vertical="center"/>
    </xf>
    <xf numFmtId="49" fontId="67" fillId="37" borderId="14" xfId="0" applyFont="1" applyFill="1" applyBorder="1" applyNumberFormat="1">
      <alignment vertical="top"/>
    </xf>
    <xf numFmtId="49" fontId="67" fillId="37" borderId="15" xfId="0" applyFont="1" applyFill="1" applyBorder="1" applyNumberFormat="1">
      <alignment vertical="top"/>
    </xf>
    <xf numFmtId="49" fontId="22" fillId="40" borderId="17" xfId="0" applyFont="1" applyFill="1" applyBorder="1" applyNumberFormat="1">
      <alignment vertical="center" wrapText="1"/>
    </xf>
    <xf numFmtId="0" fontId="22" fillId="0" borderId="37" xfId="0" applyFont="1" applyBorder="1">
      <alignment horizontal="center" vertical="center" wrapText="1"/>
    </xf>
    <xf numFmtId="49" fontId="0" fillId="0" borderId="0" xfId="0" applyFont="1" applyNumberFormat="1">
      <alignment vertical="top"/>
    </xf>
    <xf numFmtId="49" fontId="46" fillId="0" borderId="0" xfId="0" applyFont="1" applyNumberFormat="1">
      <alignment horizontal="center" vertical="center"/>
    </xf>
    <xf numFmtId="0" fontId="113" fillId="0" borderId="0" xfId="0" applyFont="1">
      <alignment vertical="center" wrapText="1"/>
    </xf>
    <xf numFmtId="0" fontId="114" fillId="0" borderId="0" xfId="0" applyFont="1">
      <alignment vertical="center" wrapText="1"/>
    </xf>
    <xf numFmtId="0" fontId="22" fillId="0" borderId="17" xfId="0" applyFont="1" applyBorder="1">
      <alignment horizontal="center" vertical="center" wrapText="1"/>
    </xf>
    <xf numFmtId="49" fontId="22" fillId="0" borderId="17" xfId="0" applyFont="1" applyBorder="1" applyNumberFormat="1">
      <alignment horizontal="left" vertical="center" wrapText="1"/>
    </xf>
    <xf numFmtId="49" fontId="22" fillId="0" borderId="17" xfId="0" applyFont="1" applyBorder="1" applyNumberFormat="1">
      <alignment horizontal="left" vertical="center" wrapText="1"/>
    </xf>
    <xf numFmtId="49" fontId="22" fillId="0" borderId="17" xfId="0" applyFont="1" applyBorder="1" applyNumberFormat="1">
      <alignment horizontal="center" vertical="center" wrapText="1"/>
    </xf>
    <xf numFmtId="0" fontId="22" fillId="0" borderId="17" xfId="0" applyFont="1" applyBorder="1">
      <alignment horizontal="left" vertical="center" wrapText="1"/>
    </xf>
    <xf numFmtId="0" fontId="22" fillId="0" borderId="0" xfId="0" applyFont="1">
      <alignment horizontal="left" vertical="center" wrapText="1"/>
    </xf>
    <xf numFmtId="49" fontId="22" fillId="0" borderId="19" xfId="0" applyFont="1" applyBorder="1" applyNumberFormat="1">
      <alignment vertical="center" wrapText="1"/>
    </xf>
    <xf numFmtId="49" fontId="22" fillId="0" borderId="19" xfId="0" applyFont="1" applyBorder="1" applyNumberFormat="1">
      <alignment horizontal="left" vertical="center" wrapText="1"/>
    </xf>
    <xf numFmtId="49" fontId="36" fillId="0" borderId="19" xfId="0" applyFont="1" applyBorder="1" applyNumberFormat="1">
      <alignment vertical="center" wrapText="1"/>
    </xf>
    <xf numFmtId="49" fontId="22" fillId="0" borderId="19" xfId="0" applyFont="1" applyBorder="1" applyNumberFormat="1">
      <alignment horizontal="center" vertical="center" wrapText="1"/>
    </xf>
    <xf numFmtId="0" fontId="22" fillId="0" borderId="19" xfId="0" applyFont="1" applyBorder="1">
      <alignment horizontal="left" vertical="center" wrapText="1"/>
    </xf>
    <xf numFmtId="49" fontId="22" fillId="0" borderId="19" xfId="0" applyFont="1" applyBorder="1" applyNumberFormat="1">
      <alignment vertical="center" wrapText="1"/>
    </xf>
    <xf numFmtId="49" fontId="22" fillId="0" borderId="0" xfId="0" applyFont="1" applyNumberFormat="1">
      <alignment vertical="center" wrapText="1"/>
    </xf>
    <xf numFmtId="49" fontId="22" fillId="0" borderId="0" xfId="0" applyFont="1" applyNumberFormat="1">
      <alignment horizontal="left" vertical="center" wrapText="1"/>
    </xf>
    <xf numFmtId="49" fontId="36" fillId="0" borderId="0" xfId="0" applyFont="1" applyNumberFormat="1">
      <alignment vertical="center" wrapText="1"/>
    </xf>
    <xf numFmtId="49" fontId="22" fillId="0" borderId="0" xfId="0" applyFont="1" applyNumberFormat="1">
      <alignment horizontal="center" vertical="center" wrapText="1"/>
    </xf>
    <xf numFmtId="0" fontId="22" fillId="0" borderId="0" xfId="0" applyFont="1">
      <alignment horizontal="left" vertical="center" wrapText="1"/>
    </xf>
    <xf numFmtId="0" fontId="39" fillId="0" borderId="0" xfId="0" applyFont="1">
      <alignment horizontal="left" vertical="center"/>
    </xf>
    <xf numFmtId="49" fontId="36" fillId="0" borderId="0" xfId="0" applyFont="1" applyNumberFormat="1">
      <alignment horizontal="center" vertical="center" wrapText="1"/>
    </xf>
    <xf numFmtId="0" fontId="39" fillId="0" borderId="0" xfId="0" applyFont="1">
      <alignment vertical="center"/>
    </xf>
    <xf numFmtId="49" fontId="67" fillId="0" borderId="30" xfId="0" applyFont="1" applyBorder="1" applyNumberFormat="1">
      <alignment vertical="top"/>
    </xf>
    <xf numFmtId="49" fontId="22" fillId="0" borderId="37" xfId="0" applyFont="1" applyBorder="1" applyNumberFormat="1">
      <alignment vertical="center" wrapText="1"/>
    </xf>
    <xf numFmtId="49" fontId="22" fillId="0" borderId="22" xfId="0" applyFont="1" applyBorder="1" applyNumberFormat="1">
      <alignment vertical="center" wrapText="1"/>
    </xf>
    <xf numFmtId="0" fontId="39" fillId="0" borderId="22" xfId="0" applyFont="1" applyBorder="1">
      <alignment horizontal="left" vertical="center"/>
    </xf>
    <xf numFmtId="49" fontId="67" fillId="0" borderId="27" xfId="0" applyFont="1" applyBorder="1" applyNumberFormat="1">
      <alignment vertical="top"/>
    </xf>
    <xf numFmtId="49" fontId="22" fillId="0" borderId="36" xfId="0" applyFont="1" applyBorder="1" applyNumberFormat="1">
      <alignment horizontal="center" vertical="center" wrapText="1"/>
    </xf>
    <xf numFmtId="0" fontId="39" fillId="37" borderId="37" xfId="0" applyFont="1" applyFill="1" applyBorder="1">
      <alignment vertical="center"/>
    </xf>
    <xf numFmtId="49" fontId="0" fillId="0" borderId="12" xfId="0" applyFont="1" applyBorder="1" applyNumberFormat="1">
      <alignment horizontal="left" vertical="center" wrapText="1" indent="1"/>
    </xf>
    <xf numFmtId="49" fontId="0" fillId="0" borderId="0" xfId="0" applyFont="1" applyNumberFormat="1">
      <alignment vertical="top"/>
    </xf>
    <xf numFmtId="0" fontId="22" fillId="0" borderId="0" xfId="0" applyFont="1">
      <alignment vertical="center" wrapText="1"/>
    </xf>
    <xf numFmtId="0" fontId="31" fillId="0" borderId="0" xfId="0" applyFont="1">
      <alignment vertical="center" wrapText="1"/>
    </xf>
    <xf numFmtId="0" fontId="41" fillId="0" borderId="0" xfId="0" applyFont="1">
      <alignment vertical="center" wrapText="1"/>
    </xf>
    <xf numFmtId="0" fontId="22" fillId="0" borderId="0" xfId="0" applyFont="1">
      <alignment horizontal="left" vertical="center" wrapText="1"/>
    </xf>
    <xf numFmtId="0" fontId="58" fillId="0" borderId="0" xfId="0" applyFont="1">
      <alignment vertical="center" wrapText="1"/>
    </xf>
    <xf numFmtId="0" fontId="60" fillId="0" borderId="0" xfId="0" applyFont="1">
      <alignment vertical="center" wrapText="1"/>
    </xf>
    <xf numFmtId="0" fontId="88" fillId="0" borderId="0" xfId="0" applyFont="1">
      <alignment vertical="center" wrapText="1"/>
    </xf>
    <xf numFmtId="0" fontId="47" fillId="0" borderId="0" xfId="0" applyFont="1">
      <alignment vertical="center" wrapText="1"/>
    </xf>
    <xf numFmtId="0" fontId="64" fillId="0" borderId="0" xfId="0" applyFont="1">
      <alignment vertical="center" wrapText="1"/>
    </xf>
    <xf numFmtId="49" fontId="22" fillId="0" borderId="12" xfId="0" applyFont="1" applyBorder="1" applyNumberFormat="1">
      <alignment horizontal="center" vertical="center" wrapText="1"/>
    </xf>
    <xf numFmtId="0" fontId="36" fillId="35" borderId="12" xfId="0" applyFont="1" applyFill="1" applyBorder="1">
      <alignment horizontal="center" vertical="center" wrapText="1"/>
    </xf>
    <xf numFmtId="0" fontId="22" fillId="0" borderId="0" xfId="0" applyFont="1">
      <alignment vertical="center" wrapText="1"/>
    </xf>
    <xf numFmtId="0" fontId="36" fillId="35" borderId="0" xfId="0" applyFont="1" applyFill="1">
      <alignment horizontal="center" vertical="center" wrapText="1"/>
    </xf>
    <xf numFmtId="49" fontId="22" fillId="0" borderId="12" xfId="0" applyFont="1" applyBorder="1" applyNumberFormat="1">
      <alignment horizontal="center" vertical="center" wrapText="1"/>
    </xf>
    <xf numFmtId="3" fontId="22" fillId="39" borderId="12" xfId="0" applyFont="1" applyFill="1" applyBorder="1" applyNumberFormat="1">
      <alignment horizontal="right" vertical="center" wrapText="1"/>
      <protection locked="0"/>
    </xf>
    <xf numFmtId="0" fontId="47" fillId="0" borderId="0" xfId="0" applyFont="1">
      <alignment vertical="center" wrapText="1"/>
    </xf>
    <xf numFmtId="49" fontId="22" fillId="39" borderId="12" xfId="0" applyFont="1" applyFill="1" applyBorder="1" applyNumberFormat="1">
      <alignment horizontal="left" vertical="center" wrapText="1"/>
      <protection locked="0"/>
    </xf>
    <xf numFmtId="0" fontId="47" fillId="0" borderId="0" xfId="0" applyFont="1">
      <alignment vertical="center"/>
    </xf>
    <xf numFmtId="0" fontId="36" fillId="35" borderId="12" xfId="0" applyFont="1" applyFill="1" applyBorder="1">
      <alignment horizontal="center" vertical="center" wrapText="1"/>
    </xf>
    <xf numFmtId="0" fontId="46" fillId="0" borderId="22" xfId="0" applyFont="1" applyBorder="1">
      <alignment vertical="center"/>
    </xf>
    <xf numFmtId="0" fontId="46" fillId="0" borderId="22" xfId="0" applyFont="1" applyBorder="1">
      <alignment vertical="center"/>
    </xf>
    <xf numFmtId="0" fontId="22" fillId="0" borderId="17" xfId="0" applyFont="1" applyBorder="1">
      <alignment horizontal="left" vertical="center" wrapText="1" indent="1"/>
    </xf>
    <xf numFmtId="49" fontId="22" fillId="0" borderId="57" xfId="0" applyFont="1" applyBorder="1" applyNumberFormat="1">
      <alignment horizontal="center" vertical="center" wrapText="1"/>
    </xf>
    <xf numFmtId="49" fontId="22" fillId="0" borderId="28" xfId="0" applyFont="1" applyBorder="1" applyNumberFormat="1">
      <alignment horizontal="center" vertical="center" wrapText="1"/>
    </xf>
    <xf numFmtId="0" fontId="22" fillId="0" borderId="0" xfId="0" applyFont="1">
      <alignment vertical="center" wrapText="1"/>
    </xf>
    <xf numFmtId="0" fontId="31" fillId="0" borderId="0" xfId="0" applyFont="1">
      <alignment vertical="center" wrapText="1"/>
    </xf>
    <xf numFmtId="0" fontId="36" fillId="0" borderId="0" xfId="0" applyFont="1">
      <alignment horizontal="center" vertical="center" wrapText="1"/>
    </xf>
    <xf numFmtId="0" fontId="22" fillId="0" borderId="12" xfId="0" applyFont="1" applyBorder="1">
      <alignment horizontal="center" vertical="center" wrapText="1"/>
    </xf>
    <xf numFmtId="0" fontId="22" fillId="0" borderId="0" xfId="0" applyFont="1">
      <alignment vertical="center" wrapText="1"/>
    </xf>
    <xf numFmtId="0" fontId="47" fillId="0" borderId="0" xfId="0" applyFont="1">
      <alignment vertical="center" wrapText="1"/>
    </xf>
    <xf numFmtId="0" fontId="22" fillId="0" borderId="12" xfId="0" applyFont="1" applyBorder="1">
      <alignment horizontal="center" vertical="center" wrapText="1"/>
    </xf>
    <xf numFmtId="49" fontId="22" fillId="0" borderId="0" xfId="0" applyFont="1" applyNumberFormat="1">
      <alignment horizontal="center" vertical="center" wrapText="1"/>
    </xf>
    <xf numFmtId="0" fontId="22" fillId="0" borderId="12" xfId="0" applyFont="1" applyBorder="1">
      <alignment horizontal="center" vertical="center" wrapText="1"/>
    </xf>
    <xf numFmtId="0" fontId="54" fillId="0" borderId="0" xfId="0" applyFont="1">
      <alignment vertical="center"/>
    </xf>
    <xf numFmtId="0" fontId="72" fillId="0" borderId="0" xfId="0" applyFont="1">
      <alignment vertical="center" wrapText="1"/>
    </xf>
    <xf numFmtId="0" fontId="47" fillId="0" borderId="0" xfId="0" applyFont="1">
      <alignment vertical="center" wrapText="1"/>
    </xf>
    <xf numFmtId="0" fontId="22" fillId="0" borderId="13" xfId="0" applyFont="1" applyBorder="1">
      <alignment horizontal="center" vertical="center" wrapText="1"/>
    </xf>
    <xf numFmtId="0" fontId="22" fillId="0" borderId="17" xfId="0" applyFont="1" applyBorder="1">
      <alignment horizontal="center" vertical="center" wrapText="1"/>
    </xf>
    <xf numFmtId="0" fontId="22" fillId="0" borderId="15" xfId="0" applyFont="1" applyBorder="1">
      <alignment horizontal="right" vertical="center" wrapText="1" indent="1"/>
    </xf>
    <xf numFmtId="0" fontId="22" fillId="0" borderId="12" xfId="0" applyFont="1" applyBorder="1">
      <alignment horizontal="center" vertical="center" wrapText="1"/>
    </xf>
    <xf numFmtId="0" fontId="22" fillId="0" borderId="0" xfId="0" applyFont="1">
      <alignment horizontal="left" vertical="top" wrapText="1"/>
    </xf>
    <xf numFmtId="0" fontId="22" fillId="0" borderId="12" xfId="0" applyFont="1" applyBorder="1">
      <alignment horizontal="center" vertical="center" wrapText="1"/>
    </xf>
    <xf numFmtId="49" fontId="22" fillId="40" borderId="12" xfId="0" applyFont="1" applyFill="1" applyBorder="1" applyNumberFormat="1">
      <alignment horizontal="left" vertical="center" wrapText="1"/>
    </xf>
    <xf numFmtId="0" fontId="22" fillId="0" borderId="12" xfId="0" applyFont="1" applyBorder="1">
      <alignment horizontal="left" vertical="center" wrapText="1" indent="2"/>
    </xf>
    <xf numFmtId="0" fontId="47" fillId="0" borderId="17" xfId="0" applyFont="1" applyBorder="1">
      <alignment horizontal="center" vertical="center" wrapText="1"/>
    </xf>
    <xf numFmtId="0" fontId="22" fillId="34" borderId="14" xfId="0" applyFont="1" applyFill="1" applyBorder="1">
      <alignment horizontal="left" vertical="top" wrapText="1"/>
    </xf>
    <xf numFmtId="0" fontId="22" fillId="0" borderId="12" xfId="0" applyFont="1" applyBorder="1">
      <alignment horizontal="center" vertical="center" wrapText="1"/>
    </xf>
    <xf numFmtId="0" fontId="22" fillId="0" borderId="13" xfId="0" applyFont="1" applyBorder="1">
      <alignment horizontal="center" vertical="center" wrapText="1"/>
    </xf>
    <xf numFmtId="0" fontId="22" fillId="0" borderId="17" xfId="0" applyFont="1" applyBorder="1">
      <alignment horizontal="center" vertical="center" wrapText="1"/>
    </xf>
    <xf numFmtId="0" fontId="22" fillId="0" borderId="15" xfId="0" applyFont="1" applyBorder="1">
      <alignment horizontal="right" vertical="center" wrapText="1" indent="1"/>
    </xf>
    <xf numFmtId="0" fontId="22" fillId="0" borderId="12" xfId="0" applyFont="1" applyBorder="1">
      <alignment horizontal="center" vertical="center" wrapText="1"/>
    </xf>
    <xf numFmtId="0" fontId="22" fillId="0" borderId="12" xfId="0" applyFont="1" applyBorder="1">
      <alignment horizontal="center" vertical="center" wrapText="1"/>
    </xf>
    <xf numFmtId="0" fontId="22" fillId="34" borderId="14" xfId="0" applyFont="1" applyFill="1" applyBorder="1">
      <alignment horizontal="left" vertical="top" wrapText="1"/>
    </xf>
    <xf numFmtId="0" fontId="22" fillId="0" borderId="12" xfId="0" applyFont="1" applyBorder="1">
      <alignment horizontal="center" vertical="center" wrapText="1"/>
    </xf>
    <xf numFmtId="49" fontId="0" fillId="0" borderId="12" xfId="0" applyFont="1" applyBorder="1" applyNumberFormat="1">
      <alignment vertical="center" wrapText="1"/>
    </xf>
    <xf numFmtId="0" fontId="47" fillId="0" borderId="14" xfId="0" applyFont="1" applyBorder="1">
      <alignment vertical="center" wrapText="1"/>
    </xf>
    <xf numFmtId="0" fontId="47" fillId="0" borderId="14" xfId="0" applyFont="1" applyBorder="1">
      <alignment horizontal="left" vertical="top" wrapText="1"/>
    </xf>
    <xf numFmtId="49" fontId="22" fillId="0" borderId="58" xfId="0" applyFont="1" applyBorder="1" applyNumberFormat="1">
      <alignment horizontal="center" vertical="center" wrapText="1"/>
    </xf>
    <xf numFmtId="0" fontId="22" fillId="0" borderId="17" xfId="0" applyFont="1" applyBorder="1">
      <alignment horizontal="left" vertical="center" wrapText="1"/>
    </xf>
    <xf numFmtId="49" fontId="39" fillId="37" borderId="19" xfId="0" applyFont="1" applyFill="1" applyBorder="1" applyNumberFormat="1">
      <alignment horizontal="left" vertical="center" indent="2"/>
    </xf>
    <xf numFmtId="49" fontId="0" fillId="0" borderId="12" xfId="0" applyFont="1" applyBorder="1" applyNumberFormat="1">
      <alignment horizontal="left" vertical="center" wrapText="1" indent="1"/>
    </xf>
    <xf numFmtId="49" fontId="0" fillId="0" borderId="12" xfId="0" applyFont="1" applyBorder="1" applyNumberFormat="1">
      <alignment horizontal="left" vertical="center" wrapText="1" indent="2"/>
    </xf>
    <xf numFmtId="49" fontId="22" fillId="0" borderId="0" xfId="0" applyFont="1" applyNumberFormat="1">
      <alignment vertical="center" wrapText="1"/>
    </xf>
    <xf numFmtId="0" fontId="0" fillId="0" borderId="12" xfId="0" applyFont="1" applyBorder="1">
      <alignment horizontal="center" vertical="center" wrapText="1"/>
    </xf>
    <xf numFmtId="49" fontId="22" fillId="40" borderId="12" xfId="0" applyFont="1" applyFill="1" applyBorder="1" applyNumberFormat="1">
      <alignment horizontal="left" vertical="center" wrapText="1" indent="1"/>
    </xf>
    <xf numFmtId="0" fontId="0" fillId="0" borderId="12" xfId="0" applyFont="1" applyBorder="1">
      <alignment horizontal="left" vertical="center" wrapText="1" indent="1"/>
    </xf>
    <xf numFmtId="49" fontId="0" fillId="35" borderId="12" xfId="0" applyFont="1" applyFill="1" applyBorder="1" applyNumberFormat="1">
      <alignment horizontal="center" vertical="center" wrapText="1"/>
    </xf>
    <xf numFmtId="49" fontId="22" fillId="40" borderId="12" xfId="0" applyFont="1" applyFill="1" applyBorder="1" applyNumberFormat="1">
      <alignment horizontal="left" vertical="center" wrapText="1"/>
    </xf>
    <xf numFmtId="49" fontId="22" fillId="0" borderId="59" xfId="0" applyFont="1" applyBorder="1" applyNumberFormat="1">
      <alignment horizontal="center" vertical="center" wrapText="1"/>
    </xf>
    <xf numFmtId="4" fontId="22" fillId="39" borderId="17" xfId="0" applyFont="1" applyFill="1" applyBorder="1" applyNumberFormat="1">
      <alignment horizontal="right" vertical="center" wrapText="1"/>
      <protection locked="0"/>
    </xf>
    <xf numFmtId="49" fontId="39" fillId="0" borderId="19" xfId="0" applyFont="1" applyBorder="1" applyNumberFormat="1">
      <alignment horizontal="left" vertical="center"/>
    </xf>
    <xf numFmtId="49" fontId="39" fillId="0" borderId="19" xfId="0" applyFont="1" applyBorder="1" applyNumberFormat="1">
      <alignment horizontal="left" vertical="center" indent="2"/>
    </xf>
    <xf numFmtId="49" fontId="43" fillId="0" borderId="19" xfId="0" applyFont="1" applyBorder="1" applyNumberFormat="1">
      <alignment horizontal="center" vertical="top"/>
    </xf>
    <xf numFmtId="0" fontId="22" fillId="0" borderId="19" xfId="0" applyFont="1" applyBorder="1">
      <alignment horizontal="left" vertical="top" wrapText="1"/>
    </xf>
    <xf numFmtId="0" fontId="22" fillId="0" borderId="0" xfId="0" applyFont="1">
      <alignment horizontal="right" vertical="top" wrapText="1"/>
    </xf>
    <xf numFmtId="49" fontId="0" fillId="39" borderId="12" xfId="0" applyFont="1" applyFill="1" applyBorder="1" applyNumberFormat="1">
      <alignment horizontal="left" vertical="center" wrapText="1" indent="1"/>
      <protection locked="0"/>
    </xf>
    <xf numFmtId="49" fontId="46" fillId="0" borderId="0" xfId="0" applyFont="1" applyNumberFormat="1">
      <alignment vertical="top"/>
    </xf>
    <xf numFmtId="49" fontId="22" fillId="40" borderId="12" xfId="0" applyFont="1" applyFill="1" applyBorder="1" applyNumberFormat="1">
      <alignment horizontal="left" vertical="center" wrapText="1"/>
    </xf>
    <xf numFmtId="49" fontId="22" fillId="40" borderId="14" xfId="0" applyFont="1" applyFill="1" applyBorder="1" applyNumberFormat="1">
      <alignment horizontal="left" vertical="center" wrapText="1"/>
    </xf>
    <xf numFmtId="0" fontId="22" fillId="35" borderId="0" xfId="0" applyFont="1" applyFill="1"/>
    <xf numFmtId="0" fontId="22" fillId="0" borderId="0" xfId="0" applyFont="1">
      <alignment vertical="top" wrapText="1"/>
    </xf>
    <xf numFmtId="0" fontId="36" fillId="35" borderId="0" xfId="0" applyFont="1" applyFill="1">
      <alignment horizontal="center" vertical="center" wrapText="1"/>
    </xf>
    <xf numFmtId="0" fontId="0" fillId="35" borderId="23" xfId="0" applyFont="1" applyFill="1" applyBorder="1">
      <alignment vertical="center" wrapText="1"/>
    </xf>
    <xf numFmtId="49" fontId="0" fillId="0" borderId="0" xfId="0" applyFont="1" applyNumberFormat="1">
      <alignment vertical="top"/>
    </xf>
    <xf numFmtId="0" fontId="0" fillId="0" borderId="0" xfId="0" applyFont="1">
      <alignment vertical="top"/>
    </xf>
    <xf numFmtId="49" fontId="31" fillId="47" borderId="0" xfId="0" applyFont="1" applyFill="1" applyNumberFormat="1">
      <alignment horizontal="center" vertical="center"/>
    </xf>
    <xf numFmtId="0" fontId="0" fillId="48" borderId="0" xfId="0" applyFont="1" applyFill="1">
      <alignment horizontal="left" vertical="center"/>
    </xf>
    <xf numFmtId="49" fontId="0" fillId="0" borderId="0" xfId="0" applyFont="1" applyNumberFormat="1">
      <alignment vertical="center"/>
    </xf>
    <xf numFmtId="0" fontId="0" fillId="48" borderId="0" xfId="0" applyFont="1" applyFill="1">
      <alignment horizontal="right" vertical="center"/>
    </xf>
    <xf numFmtId="0" fontId="54" fillId="48" borderId="0" xfId="0" applyFont="1" applyFill="1">
      <alignment horizontal="left" vertical="center"/>
    </xf>
    <xf numFmtId="0" fontId="0" fillId="0" borderId="0" xfId="0" applyFont="1">
      <alignment horizontal="right" vertical="top"/>
    </xf>
    <xf numFmtId="0" fontId="0" fillId="48" borderId="10" xfId="0" applyFont="1" applyFill="1" applyBorder="1">
      <alignment horizontal="center"/>
    </xf>
    <xf numFmtId="0" fontId="0" fillId="0" borderId="10" xfId="0" applyFont="1" applyBorder="1">
      <alignment horizontal="center"/>
    </xf>
    <xf numFmtId="0" fontId="115" fillId="0" borderId="0" xfId="0" applyFont="1">
      <alignment wrapText="1"/>
    </xf>
    <xf numFmtId="49" fontId="66" fillId="0" borderId="0" xfId="0" applyFont="1" applyNumberFormat="1">
      <alignment wrapText="1"/>
    </xf>
    <xf numFmtId="49" fontId="66" fillId="0" borderId="0" xfId="0" applyFont="1" applyNumberFormat="1">
      <alignment vertical="center" wrapText="1"/>
    </xf>
    <xf numFmtId="49" fontId="116" fillId="0" borderId="0" xfId="0" applyFont="1" applyNumberFormat="1">
      <alignment wrapText="1"/>
    </xf>
    <xf numFmtId="0" fontId="29" fillId="0" borderId="0" xfId="0" applyFont="1"/>
    <xf numFmtId="0" fontId="102" fillId="0" borderId="0" xfId="0" applyFont="1">
      <alignment horizontal="left" vertical="center" wrapText="1"/>
    </xf>
    <xf numFmtId="49" fontId="117" fillId="0" borderId="0" xfId="0" applyFont="1" applyNumberFormat="1">
      <alignment wrapText="1"/>
    </xf>
    <xf numFmtId="0" fontId="45" fillId="0" borderId="0" xfId="0" applyFont="1">
      <alignment horizontal="left" vertical="top" wrapText="1"/>
    </xf>
    <xf numFmtId="49" fontId="22" fillId="0" borderId="0" xfId="0" applyFont="1" applyNumberFormat="1">
      <alignment vertical="top" wrapText="1"/>
    </xf>
    <xf numFmtId="0" fontId="66" fillId="0" borderId="0" xfId="0" applyFont="1">
      <alignment wrapText="1"/>
    </xf>
    <xf numFmtId="0" fontId="118" fillId="0" borderId="0" xfId="0" applyFont="1">
      <alignment horizontal="left" vertical="center" wrapText="1"/>
    </xf>
    <xf numFmtId="0" fontId="119" fillId="0" borderId="0" xfId="0" applyFont="1">
      <alignment vertical="center" wrapText="1"/>
    </xf>
    <xf numFmtId="0" fontId="66" fillId="0" borderId="38" xfId="0" applyFont="1" applyBorder="1">
      <alignment wrapText="1"/>
    </xf>
    <xf numFmtId="0" fontId="66" fillId="0" borderId="0" xfId="0" applyFont="1"/>
    <xf numFmtId="0" fontId="118" fillId="0" borderId="0" xfId="0" applyFont="1"/>
    <xf numFmtId="0" fontId="120" fillId="0" borderId="0" xfId="0" applyFont="1">
      <alignment wrapText="1"/>
    </xf>
    <xf numFmtId="0" fontId="0" fillId="36" borderId="60" xfId="0" applyFont="1" applyFill="1" applyBorder="1">
      <alignment horizontal="center" vertical="center" wrapText="1"/>
    </xf>
    <xf numFmtId="0" fontId="0" fillId="53" borderId="60" xfId="0" applyFont="1" applyFill="1" applyBorder="1">
      <alignment horizontal="center" vertical="center" wrapText="1"/>
    </xf>
    <xf numFmtId="0" fontId="0" fillId="34" borderId="60" xfId="0" applyFont="1" applyFill="1" applyBorder="1">
      <alignment horizontal="center" vertical="center" wrapText="1"/>
    </xf>
    <xf numFmtId="0" fontId="0" fillId="39" borderId="60" xfId="0" applyFont="1" applyFill="1" applyBorder="1">
      <alignment horizontal="center" vertical="center" wrapText="1"/>
    </xf>
    <xf numFmtId="0" fontId="118" fillId="0" borderId="38" xfId="0" applyFont="1" applyBorder="1">
      <alignment horizontal="left" vertical="center" wrapText="1"/>
    </xf>
    <xf numFmtId="0" fontId="118" fillId="0" borderId="61" xfId="0" applyFont="1" applyBorder="1">
      <alignment horizontal="left" vertical="center" wrapText="1"/>
    </xf>
    <xf numFmtId="0" fontId="120" fillId="0" borderId="0" xfId="0" applyFont="1"/>
    <xf numFmtId="0" fontId="120" fillId="0" borderId="38" xfId="0" applyFont="1" applyBorder="1">
      <alignment wrapText="1"/>
    </xf>
    <xf numFmtId="0" fontId="66" fillId="0" borderId="62" xfId="0" applyFont="1" applyBorder="1">
      <alignment wrapText="1"/>
    </xf>
    <xf numFmtId="0" fontId="66" fillId="0" borderId="39" xfId="0" applyFont="1" applyBorder="1">
      <alignment wrapText="1"/>
    </xf>
    <xf numFmtId="0" fontId="66" fillId="0" borderId="39" xfId="0" applyFont="1" applyBorder="1">
      <alignment vertical="center" wrapText="1"/>
    </xf>
    <xf numFmtId="0" fontId="116" fillId="0" borderId="0" xfId="0" applyFont="1"/>
    <xf numFmtId="0" fontId="35" fillId="0" borderId="24" xfId="0" applyFont="1" applyBorder="1">
      <alignment horizontal="center" vertical="center" wrapText="1"/>
    </xf>
    <xf numFmtId="49" fontId="22" fillId="0" borderId="13" xfId="0" applyFont="1" applyBorder="1" applyNumberFormat="1">
      <alignment horizontal="center" vertical="center" wrapText="1"/>
    </xf>
    <xf numFmtId="49" fontId="121" fillId="0" borderId="0" xfId="0" applyFont="1" applyNumberFormat="1">
      <alignment horizontal="center" vertical="center" wrapText="1"/>
    </xf>
    <xf numFmtId="49" fontId="22" fillId="48" borderId="0" xfId="0" applyFont="1" applyFill="1" applyNumberFormat="1">
      <alignment horizontal="center" vertical="center"/>
    </xf>
    <xf numFmtId="212" fontId="0" fillId="39" borderId="12" xfId="0" applyFont="1" applyFill="1" applyBorder="1" applyNumberFormat="1">
      <alignment horizontal="left" vertical="center" wrapText="1" indent="1"/>
      <protection locked="0"/>
    </xf>
    <xf numFmtId="212" fontId="0" fillId="0" borderId="12" xfId="0" applyFont="1" applyBorder="1" applyNumberFormat="1">
      <alignment horizontal="left" vertical="center" wrapText="1" indent="1"/>
    </xf>
    <xf numFmtId="212" fontId="0" fillId="39" borderId="12" xfId="0" applyFont="1" applyFill="1" applyBorder="1" applyNumberFormat="1">
      <alignment horizontal="center" vertical="center" wrapText="1"/>
      <protection locked="0"/>
    </xf>
    <xf numFmtId="212" fontId="47" fillId="0" borderId="0" xfId="0" applyFont="1" applyNumberFormat="1">
      <alignment horizontal="center" vertical="center" wrapText="1"/>
    </xf>
    <xf numFmtId="212" fontId="47" fillId="0" borderId="12" xfId="0" applyFont="1" applyBorder="1" applyNumberFormat="1">
      <alignment horizontal="center" vertical="center" wrapText="1"/>
    </xf>
    <xf numFmtId="212" fontId="0" fillId="39" borderId="12" xfId="0" applyFont="1" applyFill="1" applyBorder="1" applyNumberFormat="1">
      <alignment horizontal="left" vertical="center" wrapText="1"/>
      <protection locked="0"/>
    </xf>
    <xf numFmtId="212" fontId="0" fillId="36" borderId="12" xfId="0" applyFont="1" applyFill="1" applyBorder="1" applyNumberFormat="1">
      <alignment horizontal="left" vertical="center" wrapText="1" indent="1"/>
      <protection locked="0"/>
    </xf>
    <xf numFmtId="212" fontId="0" fillId="39" borderId="13" xfId="0" applyFont="1" applyFill="1" applyBorder="1" applyNumberFormat="1">
      <alignment horizontal="left" vertical="center" wrapText="1"/>
      <protection locked="0"/>
    </xf>
    <xf numFmtId="0" fontId="22" fillId="0" borderId="0" xfId="0" applyFont="1">
      <alignment horizontal="left" vertical="top" indent="1"/>
    </xf>
    <xf numFmtId="0" fontId="22" fillId="34" borderId="30" xfId="0" applyFont="1" applyFill="1" applyBorder="1">
      <alignment horizontal="center" vertical="top"/>
    </xf>
    <xf numFmtId="0" fontId="0" fillId="0" borderId="34" xfId="0" applyFont="1" applyBorder="1">
      <alignment horizontal="center" vertical="center"/>
    </xf>
    <xf numFmtId="0" fontId="0" fillId="0" borderId="33" xfId="0" applyFont="1" applyBorder="1">
      <alignment horizontal="center" vertical="center"/>
    </xf>
    <xf numFmtId="0" fontId="22" fillId="34" borderId="30" xfId="0" applyFont="1" applyFill="1" applyBorder="1">
      <alignment horizontal="left" vertical="top"/>
    </xf>
    <xf numFmtId="0" fontId="22" fillId="0" borderId="12" xfId="0" applyFont="1" applyBorder="1">
      <alignment horizontal="left" vertical="top"/>
    </xf>
    <xf numFmtId="49" fontId="22" fillId="0" borderId="0" xfId="0" applyFont="1" applyNumberFormat="1">
      <alignment horizontal="left" vertical="top"/>
    </xf>
    <xf numFmtId="0" fontId="0" fillId="34" borderId="36" xfId="0" applyFont="1" applyFill="1" applyBorder="1">
      <alignment horizontal="left" vertical="top" wrapText="1" indent="1"/>
    </xf>
    <xf numFmtId="49" fontId="22" fillId="40" borderId="36" xfId="0" applyFont="1" applyFill="1" applyBorder="1" applyNumberFormat="1">
      <alignment horizontal="center" vertical="top" wrapText="1"/>
    </xf>
    <xf numFmtId="49" fontId="0" fillId="39" borderId="36" xfId="0" applyFont="1" applyFill="1" applyBorder="1" applyNumberFormat="1">
      <alignment horizontal="center" vertical="top" wrapText="1"/>
      <protection locked="0"/>
    </xf>
    <xf numFmtId="49" fontId="0" fillId="36" borderId="36" xfId="0" applyFont="1" applyFill="1" applyBorder="1" applyNumberFormat="1">
      <alignment horizontal="center" vertical="top" wrapText="1"/>
      <protection locked="0"/>
    </xf>
    <xf numFmtId="49" fontId="22" fillId="40" borderId="36" xfId="0" applyFont="1" applyFill="1" applyBorder="1" applyNumberFormat="1">
      <alignment horizontal="left" vertical="top" wrapText="1"/>
    </xf>
    <xf numFmtId="49" fontId="22" fillId="39" borderId="36" xfId="0" applyFont="1" applyFill="1" applyBorder="1" applyNumberFormat="1">
      <alignment horizontal="left" vertical="top" wrapText="1"/>
      <protection locked="0"/>
    </xf>
    <xf numFmtId="49" fontId="0" fillId="34" borderId="36" xfId="0" applyFont="1" applyFill="1" applyBorder="1" applyNumberFormat="1">
      <alignment horizontal="center" vertical="top" wrapText="1"/>
    </xf>
    <xf numFmtId="0" fontId="22" fillId="34" borderId="36" xfId="0" applyFont="1" applyFill="1" applyBorder="1">
      <alignment horizontal="center" vertical="top" wrapText="1"/>
    </xf>
    <xf numFmtId="0" fontId="22" fillId="36" borderId="36" xfId="0" applyFont="1" applyFill="1" applyBorder="1">
      <alignment horizontal="left" vertical="top" wrapText="1"/>
      <protection locked="0"/>
    </xf>
    <xf numFmtId="0" fontId="39" fillId="0" borderId="36" xfId="0" applyFont="1" applyBorder="1">
      <alignment horizontal="left" vertical="center"/>
    </xf>
    <xf numFmtId="0" fontId="39" fillId="36" borderId="36" xfId="0" applyFont="1" applyFill="1" applyBorder="1">
      <alignment horizontal="left" vertical="center"/>
      <protection locked="0"/>
    </xf>
    <xf numFmtId="0" fontId="39" fillId="39" borderId="36" xfId="0" applyFont="1" applyFill="1" applyBorder="1">
      <alignment horizontal="left" vertical="center"/>
      <protection locked="0"/>
    </xf>
    <xf numFmtId="14" fontId="22" fillId="40" borderId="36" xfId="0" applyFont="1" applyFill="1" applyBorder="1" applyNumberFormat="1">
      <alignment horizontal="left" vertical="center" wrapText="1" indent="1"/>
    </xf>
    <xf numFmtId="49" fontId="22" fillId="40" borderId="0" xfId="0" applyFont="1" applyFill="1" applyNumberFormat="1">
      <alignment horizontal="center" vertical="center" wrapText="1"/>
    </xf>
    <xf numFmtId="0" fontId="22" fillId="0" borderId="12" xfId="0" applyFont="1" applyBorder="1">
      <alignment horizontal="center" vertical="center" wrapText="1"/>
    </xf>
    <xf numFmtId="0" fontId="0" fillId="35" borderId="12" xfId="0" applyFont="1" applyFill="1" applyBorder="1">
      <alignment vertical="top" wrapText="1"/>
    </xf>
    <xf numFmtId="0" fontId="46" fillId="0" borderId="12" xfId="0" applyFont="1" applyBorder="1">
      <alignment vertical="top" wrapText="1"/>
    </xf>
    <xf numFmtId="49" fontId="22" fillId="40" borderId="17" xfId="0" applyFont="1" applyFill="1" applyBorder="1" applyNumberFormat="1">
      <alignment vertical="center" wrapText="1"/>
    </xf>
    <xf numFmtId="49" fontId="22" fillId="40" borderId="36" xfId="0" applyFont="1" applyFill="1" applyBorder="1" applyNumberFormat="1">
      <alignment vertical="center" wrapText="1"/>
    </xf>
    <xf numFmtId="49" fontId="22" fillId="40" borderId="23" xfId="0" applyFont="1" applyFill="1" applyBorder="1" applyNumberFormat="1">
      <alignment vertical="center" wrapText="1"/>
    </xf>
    <xf numFmtId="0" fontId="0" fillId="39" borderId="12" xfId="0" applyFont="1" applyFill="1" applyBorder="1">
      <alignment horizontal="left" vertical="center" wrapText="1" indent="1"/>
      <protection locked="0"/>
    </xf>
    <xf numFmtId="0" fontId="0" fillId="0" borderId="13" xfId="0" applyFont="1" applyBorder="1">
      <alignment horizontal="center" vertical="center" wrapText="1"/>
    </xf>
    <xf numFmtId="0" fontId="22" fillId="0" borderId="12" xfId="0" applyFont="1" applyBorder="1">
      <alignment horizontal="left" vertical="center" wrapText="1"/>
    </xf>
    <xf numFmtId="0" fontId="0" fillId="0" borderId="12" xfId="0" applyFont="1" applyBorder="1">
      <alignment horizontal="center" vertical="center" wrapText="1"/>
    </xf>
    <xf numFmtId="0" fontId="0" fillId="0" borderId="13" xfId="0" applyFont="1" applyBorder="1">
      <alignment horizontal="center" vertical="center" wrapText="1"/>
    </xf>
    <xf numFmtId="49" fontId="22" fillId="0" borderId="0" xfId="0" applyFont="1" applyNumberFormat="1">
      <alignment horizontal="left" vertical="center" indent="1"/>
    </xf>
    <xf numFmtId="212" fontId="0" fillId="39" borderId="14" xfId="0" applyFont="1" applyFill="1" applyBorder="1" applyNumberFormat="1">
      <alignment horizontal="left" vertical="center" wrapText="1"/>
      <protection locked="0"/>
    </xf>
    <xf numFmtId="212" fontId="0" fillId="0" borderId="11" xfId="0" applyFont="1" applyBorder="1" applyNumberFormat="1">
      <alignment horizontal="left" vertical="center" wrapText="1" indent="1"/>
    </xf>
    <xf numFmtId="49" fontId="22" fillId="35" borderId="26" xfId="0" applyFont="1" applyFill="1" applyBorder="1" applyNumberFormat="1">
      <alignment horizontal="right" vertical="center" wrapText="1" indent="1"/>
    </xf>
    <xf numFmtId="49" fontId="46" fillId="0" borderId="0" xfId="0" applyFont="1" applyNumberFormat="1">
      <alignment vertical="center" wrapText="1"/>
    </xf>
    <xf numFmtId="49" fontId="0" fillId="36" borderId="12" xfId="0" applyFont="1" applyFill="1" applyBorder="1" applyNumberFormat="1">
      <alignment horizontal="left" vertical="center" wrapText="1"/>
      <protection locked="0"/>
    </xf>
    <xf numFmtId="4" fontId="0" fillId="39" borderId="12" xfId="0" applyFont="1" applyFill="1" applyBorder="1" applyNumberFormat="1">
      <alignment horizontal="right" vertical="center" wrapText="1"/>
      <protection locked="0"/>
    </xf>
    <xf numFmtId="49" fontId="22" fillId="0" borderId="0" xfId="0" applyFont="1" applyNumberFormat="1">
      <alignment vertical="top" wrapText="1"/>
    </xf>
    <xf numFmtId="49" fontId="22" fillId="0" borderId="0" xfId="0" applyFont="1" applyNumberFormat="1">
      <alignment vertical="top"/>
    </xf>
    <xf numFmtId="49" fontId="22" fillId="0" borderId="0" xfId="0" applyFont="1" applyNumberFormat="1">
      <alignment vertical="top"/>
    </xf>
    <xf numFmtId="49" fontId="22" fillId="0" borderId="12" xfId="0" applyFont="1" applyBorder="1" applyNumberFormat="1">
      <alignment horizontal="center" vertical="center" wrapText="1"/>
    </xf>
    <xf numFmtId="49" fontId="22" fillId="0" borderId="19" xfId="0" applyFont="1" applyBorder="1" applyNumberFormat="1">
      <alignment horizontal="center" vertical="center" wrapText="1"/>
    </xf>
    <xf numFmtId="0" fontId="22" fillId="40" borderId="36" xfId="0" applyFont="1" applyFill="1" applyBorder="1">
      <alignment horizontal="center" vertical="top" wrapText="1"/>
    </xf>
    <xf numFmtId="49" fontId="22" fillId="0" borderId="19" xfId="0" applyFont="1" applyBorder="1" applyNumberFormat="1">
      <alignment horizontal="left" vertical="center" wrapText="1"/>
    </xf>
    <xf numFmtId="49" fontId="22" fillId="0" borderId="0" xfId="0" applyFont="1" applyNumberFormat="1">
      <alignment horizontal="center" vertical="center" wrapText="1"/>
    </xf>
    <xf numFmtId="49" fontId="22" fillId="40" borderId="36" xfId="0" applyFont="1" applyFill="1" applyBorder="1" applyNumberFormat="1">
      <alignment horizontal="center" vertical="center" wrapText="1"/>
    </xf>
    <xf numFmtId="0" fontId="39" fillId="0" borderId="0" xfId="0" applyFont="1">
      <alignment horizontal="left" vertical="center"/>
    </xf>
    <xf numFmtId="49" fontId="22" fillId="0" borderId="19" xfId="0" applyFont="1" applyBorder="1" applyNumberFormat="1">
      <alignment horizontal="left" vertical="center" wrapText="1"/>
    </xf>
    <xf numFmtId="49" fontId="22" fillId="0" borderId="0" xfId="0" applyFont="1" applyNumberFormat="1">
      <alignment horizontal="left" vertical="center" wrapText="1"/>
    </xf>
    <xf numFmtId="49" fontId="22" fillId="35" borderId="0" xfId="0" applyFont="1" applyFill="1" applyNumberFormat="1">
      <alignment horizontal="center" vertical="center" wrapText="1"/>
    </xf>
    <xf numFmtId="0" fontId="22" fillId="0" borderId="12" xfId="0" applyFont="1" applyBorder="1">
      <alignment horizontal="center" vertical="center" wrapText="1"/>
    </xf>
    <xf numFmtId="0" fontId="47" fillId="0" borderId="0" xfId="0" applyFont="1">
      <alignment horizontal="center" vertical="center" wrapText="1"/>
    </xf>
    <xf numFmtId="0" fontId="44" fillId="0" borderId="12" xfId="0" applyFont="1" applyBorder="1">
      <alignment horizontal="center" vertical="center"/>
    </xf>
    <xf numFmtId="49" fontId="0" fillId="39" borderId="12" xfId="0" applyFont="1" applyFill="1" applyBorder="1" applyNumberFormat="1">
      <alignment horizontal="left" vertical="center" wrapText="1"/>
      <protection locked="0"/>
    </xf>
    <xf numFmtId="0" fontId="46" fillId="0" borderId="0" xfId="0" applyFont="1">
      <alignment horizontal="center" vertical="top"/>
    </xf>
    <xf numFmtId="49" fontId="22" fillId="0" borderId="36" xfId="0" applyFont="1" applyBorder="1" applyNumberFormat="1">
      <alignment horizontal="center" vertical="top" wrapText="1"/>
    </xf>
    <xf numFmtId="0" fontId="22" fillId="0" borderId="12" xfId="0" applyFont="1" applyBorder="1">
      <alignment horizontal="left" vertical="center" wrapText="1"/>
    </xf>
    <xf numFmtId="0" fontId="35" fillId="0" borderId="12" xfId="0" applyFont="1" applyBorder="1">
      <alignment horizontal="center" vertical="center" wrapText="1"/>
    </xf>
    <xf numFmtId="49" fontId="39" fillId="37" borderId="51" xfId="0" applyFont="1" applyFill="1" applyBorder="1" applyNumberFormat="1">
      <alignment horizontal="left" vertical="center" indent="1"/>
    </xf>
    <xf numFmtId="49" fontId="22" fillId="36" borderId="12" xfId="0" applyFont="1" applyFill="1" applyBorder="1" applyNumberFormat="1">
      <alignment horizontal="left" vertical="center" wrapText="1"/>
      <protection locked="0"/>
    </xf>
    <xf numFmtId="49" fontId="47" fillId="0" borderId="12" xfId="0" applyFont="1" applyBorder="1" applyNumberFormat="1">
      <alignment horizontal="center" vertical="center" wrapText="1"/>
    </xf>
    <xf numFmtId="212" fontId="0" fillId="39" borderId="12" xfId="0" applyFont="1" applyFill="1" applyBorder="1" applyNumberFormat="1">
      <alignment horizontal="center" vertical="center" wrapText="1"/>
      <protection locked="0"/>
    </xf>
    <xf numFmtId="49" fontId="0" fillId="39" borderId="12" xfId="0" applyFont="1" applyFill="1" applyBorder="1" applyNumberFormat="1">
      <alignment horizontal="center" vertical="center" wrapText="1"/>
      <protection locked="0"/>
    </xf>
    <xf numFmtId="0" fontId="22" fillId="0" borderId="12" xfId="0" applyFont="1" applyBorder="1">
      <alignment horizontal="center" vertical="center" wrapText="1"/>
    </xf>
    <xf numFmtId="0" fontId="46" fillId="0" borderId="0" xfId="0" applyFont="1">
      <alignment horizontal="center" vertical="center" wrapText="1"/>
    </xf>
    <xf numFmtId="0" fontId="0" fillId="0" borderId="12" xfId="0" applyFont="1" applyBorder="1">
      <alignment horizontal="left" vertical="center" wrapText="1"/>
    </xf>
    <xf numFmtId="0" fontId="22" fillId="0" borderId="36" xfId="0" applyFont="1" applyBorder="1">
      <alignment horizontal="center" vertical="center" wrapText="1"/>
    </xf>
    <xf numFmtId="0" fontId="22" fillId="35" borderId="14" xfId="0" applyFont="1" applyFill="1" applyBorder="1">
      <alignment horizontal="center" vertical="center" wrapText="1"/>
    </xf>
    <xf numFmtId="49" fontId="0" fillId="35" borderId="12" xfId="0" applyFont="1" applyFill="1" applyBorder="1" applyNumberFormat="1">
      <alignment horizontal="center" vertical="center" wrapText="1"/>
    </xf>
    <xf numFmtId="49" fontId="22" fillId="0" borderId="12" xfId="0" applyFont="1" applyBorder="1" applyNumberFormat="1">
      <alignment horizontal="center" vertical="center" wrapText="1"/>
    </xf>
    <xf numFmtId="49" fontId="22" fillId="40" borderId="14" xfId="0" applyFont="1" applyFill="1" applyBorder="1" applyNumberFormat="1">
      <alignment horizontal="left" vertical="center" wrapText="1"/>
    </xf>
    <xf numFmtId="0" fontId="22" fillId="0" borderId="23" xfId="0" applyFont="1" applyBorder="1">
      <alignment horizontal="center" vertical="center" wrapText="1"/>
    </xf>
    <xf numFmtId="0" fontId="44" fillId="0" borderId="13" xfId="0" applyFont="1" applyBorder="1">
      <alignment horizontal="center" vertical="center"/>
    </xf>
    <xf numFmtId="49" fontId="0" fillId="38" borderId="0" xfId="0" applyFont="1" applyFill="1" applyNumberFormat="1">
      <alignment vertical="top"/>
    </xf>
    <xf numFmtId="0" fontId="36" fillId="35" borderId="0" xfId="0" applyFont="1" applyFill="1">
      <alignment horizontal="center" vertical="center" wrapText="1"/>
    </xf>
    <xf numFmtId="0" fontId="36" fillId="35" borderId="0" xfId="0" applyFont="1" applyFill="1">
      <alignment horizontal="center"/>
    </xf>
    <xf numFmtId="0" fontId="36" fillId="0" borderId="0" xfId="0" applyFont="1">
      <alignment horizontal="center" vertical="center" wrapText="1"/>
    </xf>
    <xf numFmtId="0" fontId="41" fillId="0" borderId="0" xfId="0" applyFont="1">
      <alignment vertical="center" wrapText="1"/>
    </xf>
    <xf numFmtId="0" fontId="0" fillId="0" borderId="0" xfId="0" applyFont="1">
      <alignment vertical="center"/>
    </xf>
    <xf numFmtId="49" fontId="0" fillId="0" borderId="12" xfId="0" applyFont="1" applyBorder="1" applyNumberFormat="1">
      <alignment vertical="top"/>
    </xf>
    <xf numFmtId="49" fontId="0" fillId="0" borderId="12" xfId="0" applyFont="1" applyBorder="1" applyNumberFormat="1">
      <alignment vertical="top"/>
    </xf>
    <xf numFmtId="49" fontId="22" fillId="0" borderId="0" xfId="0" applyFont="1" applyNumberFormat="1">
      <alignment vertical="top"/>
    </xf>
    <xf numFmtId="0" fontId="36" fillId="35" borderId="0" xfId="0" applyFont="1" applyFill="1">
      <alignment vertical="top" wrapText="1"/>
    </xf>
    <xf numFmtId="49" fontId="122" fillId="39" borderId="12" xfId="0" applyFont="1" applyFill="1" applyBorder="1" applyNumberFormat="1">
      <alignment horizontal="left" vertical="center" wrapText="1"/>
      <protection locked="0"/>
    </xf>
    <xf numFmtId="49" fontId="36" fillId="0" borderId="0" xfId="0" applyFont="1" applyNumberFormat="1">
      <alignment horizontal="center" vertical="center" wrapText="1"/>
    </xf>
    <xf numFmtId="0" fontId="36" fillId="0" borderId="24" xfId="0" applyFont="1" applyBorder="1">
      <alignment horizontal="center" vertical="center" wrapText="1"/>
    </xf>
    <xf numFmtId="49" fontId="123" fillId="0" borderId="0" xfId="0" applyFont="1" applyNumberFormat="1">
      <alignment horizontal="center" vertical="top" wrapText="1"/>
    </xf>
    <xf numFmtId="49" fontId="0" fillId="34" borderId="36" xfId="0" applyFont="1" applyFill="1" applyBorder="1" applyNumberFormat="1">
      <alignment vertical="top"/>
    </xf>
    <xf numFmtId="49" fontId="0" fillId="0" borderId="36" xfId="0" applyFont="1" applyBorder="1" applyNumberFormat="1">
      <alignment vertical="top"/>
    </xf>
    <xf numFmtId="49" fontId="0" fillId="39" borderId="36" xfId="0" applyFont="1" applyFill="1" applyBorder="1" applyNumberFormat="1">
      <alignment vertical="top"/>
      <protection locked="0"/>
    </xf>
    <xf numFmtId="49" fontId="0" fillId="39" borderId="17" xfId="0" applyFont="1" applyFill="1" applyBorder="1" applyNumberFormat="1">
      <alignment vertical="top"/>
      <protection locked="0"/>
    </xf>
    <xf numFmtId="49" fontId="0" fillId="39" borderId="23" xfId="0" applyFont="1" applyFill="1" applyBorder="1" applyNumberFormat="1">
      <alignment vertical="top"/>
      <protection locked="0"/>
    </xf>
    <xf numFmtId="49" fontId="123" fillId="0" borderId="36" xfId="0" applyFont="1" applyBorder="1" applyNumberFormat="1">
      <alignment horizontal="center" vertical="top" wrapText="1"/>
    </xf>
    <xf numFmtId="49" fontId="0" fillId="0" borderId="0" xfId="0" applyFont="1" applyNumberFormat="1">
      <alignment vertical="top"/>
    </xf>
    <xf numFmtId="49" fontId="0" fillId="0" borderId="19" xfId="0" applyFont="1" applyBorder="1" applyNumberFormat="1">
      <alignment vertical="top"/>
    </xf>
    <xf numFmtId="49" fontId="0" fillId="0" borderId="22" xfId="0" applyFont="1" applyBorder="1" applyNumberFormat="1">
      <alignment vertical="top"/>
    </xf>
    <xf numFmtId="49" fontId="0" fillId="0" borderId="24" xfId="0" applyFont="1" applyBorder="1" applyNumberFormat="1">
      <alignment vertical="top"/>
    </xf>
    <xf numFmtId="49" fontId="0" fillId="0" borderId="0" xfId="0" applyFont="1" applyNumberFormat="1">
      <alignment horizontal="left" vertical="top"/>
    </xf>
    <xf numFmtId="49" fontId="0" fillId="0" borderId="0" xfId="0" applyFont="1" applyNumberFormat="1">
      <alignment vertical="center"/>
    </xf>
    <xf numFmtId="0" fontId="0" fillId="0" borderId="0" xfId="0" applyFont="1">
      <alignment vertical="center"/>
    </xf>
    <xf numFmtId="0" fontId="36" fillId="0" borderId="0" xfId="0" applyFont="1">
      <alignment horizontal="center" vertical="center" wrapText="1"/>
    </xf>
    <xf numFmtId="49" fontId="0" fillId="39" borderId="12" xfId="0" applyFont="1" applyFill="1" applyBorder="1" applyNumberFormat="1">
      <alignment horizontal="left" vertical="center" wrapText="1"/>
      <protection locked="0"/>
    </xf>
    <xf numFmtId="0" fontId="0" fillId="0" borderId="0" xfId="0" applyFont="1">
      <alignment horizontal="left" vertical="center" indent="1"/>
    </xf>
    <xf numFmtId="0" fontId="0" fillId="0" borderId="0" xfId="0" applyFont="1">
      <alignment vertical="center"/>
    </xf>
    <xf numFmtId="0" fontId="0" fillId="37" borderId="15" xfId="0" applyFont="1" applyFill="1" applyBorder="1">
      <alignment vertical="center"/>
    </xf>
    <xf numFmtId="49" fontId="0" fillId="0" borderId="36" xfId="0" applyFont="1" applyBorder="1" applyNumberFormat="1">
      <alignment horizontal="left" vertical="top"/>
    </xf>
    <xf numFmtId="49" fontId="0" fillId="40" borderId="36" xfId="0" applyFont="1" applyFill="1" applyBorder="1" applyNumberFormat="1">
      <alignment horizontal="left" vertical="top"/>
    </xf>
    <xf numFmtId="49" fontId="0" fillId="36" borderId="36" xfId="0" applyFont="1" applyFill="1" applyBorder="1" applyNumberFormat="1">
      <alignment horizontal="left" vertical="top"/>
      <protection locked="0"/>
    </xf>
    <xf numFmtId="49" fontId="0" fillId="0" borderId="0" xfId="0" applyFont="1" applyNumberFormat="1">
      <alignment vertical="top"/>
    </xf>
    <xf numFmtId="49" fontId="0" fillId="36" borderId="36" xfId="0" applyFont="1" applyFill="1" applyBorder="1" applyNumberFormat="1">
      <alignment vertical="top"/>
      <protection locked="0"/>
    </xf>
    <xf numFmtId="49" fontId="0" fillId="0" borderId="19" xfId="0" applyFont="1" applyBorder="1" applyNumberFormat="1">
      <alignment horizontal="left" vertical="center" wrapText="1"/>
    </xf>
    <xf numFmtId="0" fontId="0" fillId="0" borderId="0" xfId="0" applyFont="1">
      <alignment vertical="center"/>
    </xf>
    <xf numFmtId="0" fontId="0" fillId="0" borderId="27" xfId="0" applyFont="1" applyBorder="1">
      <alignment vertical="center"/>
    </xf>
    <xf numFmtId="49" fontId="36" fillId="0" borderId="36" xfId="0" applyFont="1" applyBorder="1" applyNumberFormat="1">
      <alignment vertical="center" wrapText="1"/>
    </xf>
    <xf numFmtId="49" fontId="36" fillId="0" borderId="36" xfId="0" applyFont="1" applyBorder="1" applyNumberFormat="1">
      <alignment horizontal="center" vertical="center" wrapText="1"/>
    </xf>
    <xf numFmtId="49" fontId="36" fillId="0" borderId="19" xfId="0" applyFont="1" applyBorder="1" applyNumberFormat="1">
      <alignment vertical="center" wrapText="1"/>
    </xf>
    <xf numFmtId="49" fontId="36" fillId="0" borderId="0" xfId="0" applyFont="1" applyNumberFormat="1">
      <alignment vertical="center" wrapText="1"/>
    </xf>
    <xf numFmtId="49" fontId="36" fillId="0" borderId="0" xfId="0" applyFont="1" applyNumberFormat="1">
      <alignment horizontal="center" vertical="center" wrapText="1"/>
    </xf>
    <xf numFmtId="0" fontId="22" fillId="35" borderId="23" xfId="0" applyFont="1" applyFill="1" applyBorder="1">
      <alignment horizontal="center" vertical="center" wrapText="1"/>
    </xf>
    <xf numFmtId="0" fontId="22" fillId="0" borderId="36" xfId="0" applyFont="1" applyBorder="1">
      <alignment horizontal="left" vertical="top" wrapText="1"/>
    </xf>
    <xf numFmtId="0" fontId="0" fillId="0" borderId="13" xfId="0" applyFont="1" applyBorder="1">
      <alignment horizontal="center" vertical="center" wrapText="1"/>
    </xf>
    <xf numFmtId="4" fontId="0" fillId="39" borderId="13" xfId="0" applyFont="1" applyFill="1" applyBorder="1" applyNumberFormat="1">
      <alignment horizontal="right" vertical="center" wrapText="1"/>
      <protection locked="0"/>
    </xf>
    <xf numFmtId="0" fontId="0" fillId="0" borderId="13" xfId="0" applyFont="1" applyBorder="1">
      <alignment horizontal="center" vertical="center" wrapText="1"/>
    </xf>
    <xf numFmtId="0" fontId="22" fillId="40" borderId="12" xfId="0" applyFont="1" applyFill="1" applyBorder="1">
      <alignment horizontal="left" vertical="center" wrapText="1"/>
    </xf>
    <xf numFmtId="49" fontId="0" fillId="35" borderId="17" xfId="0" applyFont="1" applyFill="1" applyBorder="1" applyNumberFormat="1">
      <alignment horizontal="center" vertical="center" wrapText="1"/>
    </xf>
    <xf numFmtId="0" fontId="0" fillId="0" borderId="23" xfId="0" applyFont="1" applyBorder="1">
      <alignment horizontal="center" vertical="center" wrapText="1"/>
    </xf>
    <xf numFmtId="0" fontId="22" fillId="40" borderId="14" xfId="0" applyFont="1" applyFill="1" applyBorder="1">
      <alignment horizontal="left" vertical="center" wrapText="1"/>
    </xf>
    <xf numFmtId="49" fontId="0" fillId="0" borderId="12" xfId="0" applyFont="1" applyBorder="1" applyNumberFormat="1">
      <alignment horizontal="center" vertical="center" wrapText="1"/>
    </xf>
    <xf numFmtId="49" fontId="44" fillId="54" borderId="0" xfId="0" applyFont="1" applyFill="1" applyNumberFormat="1">
      <alignment vertical="center" wrapText="1"/>
    </xf>
    <xf numFmtId="0" fontId="46" fillId="0" borderId="0" xfId="0" applyFont="1">
      <alignment vertical="top" wrapText="1"/>
    </xf>
    <xf numFmtId="49" fontId="31" fillId="0" borderId="0" xfId="0" applyFont="1" applyNumberFormat="1">
      <alignment horizontal="center" vertical="top" wrapText="1"/>
    </xf>
    <xf numFmtId="49" fontId="22" fillId="0" borderId="0" xfId="0" applyFont="1" applyNumberFormat="1">
      <alignment horizontal="center" vertical="top" wrapText="1"/>
    </xf>
    <xf numFmtId="49" fontId="22" fillId="35" borderId="0" xfId="0" applyFont="1" applyFill="1" applyNumberFormat="1">
      <alignment horizontal="center" vertical="top" wrapText="1"/>
    </xf>
    <xf numFmtId="0" fontId="0" fillId="0" borderId="36" xfId="0" applyFont="1" applyBorder="1">
      <alignment horizontal="center" vertical="center" wrapText="1"/>
    </xf>
    <xf numFmtId="0" fontId="22" fillId="0" borderId="13" xfId="0" applyFont="1" applyBorder="1">
      <alignment horizontal="center" vertical="center" wrapText="1"/>
    </xf>
    <xf numFmtId="0" fontId="22" fillId="0" borderId="13" xfId="0" applyFont="1" applyBorder="1">
      <alignment horizontal="center" vertical="center" wrapText="1"/>
    </xf>
    <xf numFmtId="0" fontId="22" fillId="0" borderId="12" xfId="0" applyFont="1" applyBorder="1">
      <alignment horizontal="center" vertical="center" wrapText="1"/>
    </xf>
    <xf numFmtId="0" fontId="22" fillId="0" borderId="17" xfId="0" applyFont="1" applyBorder="1">
      <alignment horizontal="center" vertical="center" wrapText="1"/>
    </xf>
    <xf numFmtId="0" fontId="22" fillId="0" borderId="12" xfId="0" applyFont="1" applyBorder="1">
      <alignment horizontal="left" vertical="center" wrapText="1"/>
    </xf>
    <xf numFmtId="0" fontId="22" fillId="0" borderId="12" xfId="0" applyFont="1" applyBorder="1">
      <alignment horizontal="center" vertical="center" wrapText="1"/>
    </xf>
    <xf numFmtId="0" fontId="46" fillId="0" borderId="0" xfId="0" applyFont="1">
      <alignment horizontal="center" vertical="center" wrapText="1"/>
    </xf>
    <xf numFmtId="0" fontId="46" fillId="0" borderId="12" xfId="0" applyFont="1" applyBorder="1">
      <alignment horizontal="center" vertical="center" wrapText="1"/>
    </xf>
    <xf numFmtId="0" fontId="22" fillId="39" borderId="12" xfId="0" applyFont="1" applyFill="1" applyBorder="1">
      <alignment horizontal="center" vertical="center" wrapText="1"/>
      <protection locked="0"/>
    </xf>
    <xf numFmtId="49" fontId="22" fillId="34" borderId="12" xfId="0" applyFont="1" applyFill="1" applyBorder="1" applyNumberFormat="1">
      <alignment horizontal="center" vertical="center" wrapText="1"/>
    </xf>
    <xf numFmtId="0" fontId="0" fillId="0" borderId="12" xfId="0" applyFont="1" applyBorder="1">
      <alignment horizontal="left" vertical="top" wrapText="1"/>
    </xf>
    <xf numFmtId="14" fontId="22" fillId="40" borderId="12" xfId="0" applyFont="1" applyFill="1" applyBorder="1" applyNumberFormat="1">
      <alignment horizontal="left" vertical="center" wrapText="1" indent="1"/>
    </xf>
    <xf numFmtId="49" fontId="124" fillId="0" borderId="12" xfId="0" applyFont="1" applyBorder="1" applyNumberFormat="1">
      <alignment horizontal="left" vertical="center" wrapText="1" indent="1"/>
    </xf>
    <xf numFmtId="0" fontId="22" fillId="0" borderId="14" xfId="0" applyFont="1" applyBorder="1">
      <alignment horizontal="center" vertical="center" wrapText="1"/>
    </xf>
    <xf numFmtId="49" fontId="22" fillId="0" borderId="12" xfId="0" applyFont="1" applyBorder="1" applyNumberFormat="1">
      <alignment horizontal="center" vertical="center" wrapText="1"/>
    </xf>
    <xf numFmtId="0" fontId="22" fillId="0" borderId="23" xfId="0" applyFont="1" applyBorder="1">
      <alignment horizontal="left" vertical="center" wrapText="1" indent="1"/>
    </xf>
    <xf numFmtId="0" fontId="22" fillId="34" borderId="12" xfId="0" applyFont="1" applyFill="1" applyBorder="1">
      <alignment horizontal="left" vertical="center" wrapText="1" indent="1"/>
    </xf>
    <xf numFmtId="0" fontId="47" fillId="0" borderId="0" xfId="0" applyFont="1">
      <alignment horizontal="center" vertical="center" wrapText="1"/>
    </xf>
    <xf numFmtId="213" fontId="22" fillId="0" borderId="23" xfId="0" applyFont="1" applyBorder="1" applyNumberFormat="1">
      <alignment horizontal="center" vertical="center" wrapText="1"/>
    </xf>
    <xf numFmtId="0" fontId="22" fillId="0" borderId="0" xfId="0" applyFont="1">
      <alignment horizontal="right" vertical="center" wrapText="1"/>
    </xf>
    <xf numFmtId="0" fontId="22" fillId="35" borderId="12" xfId="0" applyFont="1" applyFill="1" applyBorder="1">
      <alignment vertical="top" wrapText="1"/>
    </xf>
    <xf numFmtId="0" fontId="22" fillId="35" borderId="12" xfId="0" applyFont="1" applyFill="1" applyBorder="1">
      <alignment horizontal="left" vertical="top" wrapText="1"/>
    </xf>
    <xf numFmtId="49" fontId="53" fillId="36" borderId="23" xfId="0" applyFont="1" applyFill="1" applyBorder="1" applyNumberFormat="1">
      <alignment horizontal="left" vertical="center" wrapText="1"/>
      <protection locked="0"/>
    </xf>
    <xf numFmtId="49" fontId="0" fillId="37" borderId="29" xfId="0" applyFont="1" applyFill="1" applyBorder="1" applyNumberFormat="1">
      <alignment horizontal="right" vertical="center" wrapText="1"/>
    </xf>
    <xf numFmtId="0" fontId="22" fillId="0" borderId="0" xfId="0" applyFont="1">
      <alignment horizontal="left" vertical="center" wrapText="1"/>
    </xf>
    <xf numFmtId="0" fontId="0" fillId="48" borderId="0" xfId="0" applyFont="1" applyFill="1">
      <alignment horizontal="right" vertical="top" wrapText="1"/>
    </xf>
    <xf numFmtId="0" fontId="22" fillId="0" borderId="0" xfId="0" applyFont="1">
      <alignment horizontal="left" vertical="top" wrapText="1"/>
    </xf>
    <xf numFmtId="14" fontId="22" fillId="0" borderId="23" xfId="0" applyFont="1" applyBorder="1" applyNumberFormat="1">
      <alignment horizontal="left" vertical="center" wrapText="1" indent="1"/>
    </xf>
    <xf numFmtId="0" fontId="22" fillId="0" borderId="12" xfId="0" applyFont="1" applyBorder="1">
      <alignment horizontal="center" vertical="center" wrapText="1"/>
    </xf>
    <xf numFmtId="0" fontId="22" fillId="0" borderId="23" xfId="0" applyFont="1" applyBorder="1">
      <alignment horizontal="center" vertical="center" wrapText="1"/>
    </xf>
    <xf numFmtId="0" fontId="22" fillId="34" borderId="12" xfId="0" applyFont="1" applyFill="1" applyBorder="1">
      <alignment horizontal="left" vertical="center" wrapText="1" indent="1"/>
    </xf>
    <xf numFmtId="0" fontId="47" fillId="0" borderId="0" xfId="0" applyFont="1">
      <alignment horizontal="center" vertical="center" wrapText="1"/>
    </xf>
    <xf numFmtId="0" fontId="22" fillId="34" borderId="12" xfId="0" applyFont="1" applyFill="1" applyBorder="1">
      <alignment horizontal="left" vertical="center" wrapText="1"/>
    </xf>
    <xf numFmtId="213" fontId="22" fillId="0" borderId="12" xfId="0" applyFont="1" applyBorder="1" applyNumberFormat="1">
      <alignment horizontal="center" vertical="center" wrapText="1"/>
    </xf>
    <xf numFmtId="0" fontId="22" fillId="0" borderId="14" xfId="0" applyFont="1" applyBorder="1">
      <alignment horizontal="center" vertical="center" wrapText="1"/>
    </xf>
    <xf numFmtId="0" fontId="47" fillId="0" borderId="0" xfId="0" applyFont="1">
      <alignment horizontal="center" vertical="center" wrapText="1"/>
    </xf>
    <xf numFmtId="49" fontId="22" fillId="39" borderId="12" xfId="0" applyFont="1" applyFill="1" applyBorder="1" applyNumberFormat="1">
      <alignment horizontal="left" vertical="center" wrapText="1"/>
      <protection locked="0"/>
    </xf>
    <xf numFmtId="0" fontId="22" fillId="35" borderId="36" xfId="0" applyFont="1" applyFill="1" applyBorder="1">
      <alignment vertical="center" wrapText="1"/>
    </xf>
    <xf numFmtId="213" fontId="44" fillId="0" borderId="19" xfId="0" applyFont="1" applyBorder="1" applyNumberFormat="1">
      <alignment horizontal="center" vertical="center" wrapText="1"/>
    </xf>
    <xf numFmtId="213" fontId="44" fillId="0" borderId="20" xfId="0" applyFont="1" applyBorder="1" applyNumberFormat="1">
      <alignment horizontal="center" vertical="center" wrapText="1"/>
    </xf>
    <xf numFmtId="214" fontId="22" fillId="39" borderId="12" xfId="0" applyFont="1" applyFill="1" applyBorder="1" applyNumberFormat="1">
      <alignment horizontal="left" vertical="center" wrapText="1" indent="1"/>
      <protection locked="0"/>
    </xf>
    <xf numFmtId="212" fontId="0" fillId="39" borderId="15" xfId="0" applyFont="1" applyFill="1" applyBorder="1" applyNumberFormat="1">
      <alignment horizontal="left" vertical="center" wrapText="1" indent="1"/>
      <protection locked="0"/>
    </xf>
    <xf numFmtId="49" fontId="22" fillId="39" borderId="27" xfId="0" applyFont="1" applyFill="1" applyBorder="1" applyNumberFormat="1">
      <alignment horizontal="left" vertical="center" wrapText="1"/>
      <protection locked="0"/>
    </xf>
    <xf numFmtId="49" fontId="22" fillId="39" borderId="30" xfId="0" applyFont="1" applyFill="1" applyBorder="1" applyNumberFormat="1">
      <alignment horizontal="left" vertical="center" wrapText="1"/>
      <protection locked="0"/>
    </xf>
    <xf numFmtId="49" fontId="53" fillId="37" borderId="29" xfId="0" applyFont="1" applyFill="1" applyBorder="1" applyNumberFormat="1">
      <alignment horizontal="left" vertical="center" wrapText="1"/>
    </xf>
    <xf numFmtId="0" fontId="22" fillId="39" borderId="12" xfId="0" applyFont="1" applyFill="1" applyBorder="1">
      <alignment horizontal="left" vertical="top" wrapText="1" indent="1"/>
      <protection locked="0"/>
    </xf>
    <xf numFmtId="0" fontId="22" fillId="0" borderId="15" xfId="0" applyFont="1" applyBorder="1">
      <alignment horizontal="center" vertical="center" wrapText="1"/>
    </xf>
    <xf numFmtId="0" fontId="47" fillId="0" borderId="0" xfId="0" applyFont="1">
      <alignment horizontal="center" vertical="center" wrapText="1"/>
    </xf>
    <xf numFmtId="0" fontId="22" fillId="35" borderId="22" xfId="0" applyFont="1" applyFill="1" applyBorder="1">
      <alignment vertical="center" wrapText="1"/>
    </xf>
    <xf numFmtId="0" fontId="35" fillId="0" borderId="0" xfId="61" applyFont="1" applyNumberFormat="1">
      <alignment horizontal="center" vertical="center" wrapText="1"/>
    </xf>
    <xf numFmtId="0" fontId="35" fillId="0" borderId="0" xfId="61" applyFont="1" applyNumberFormat="1">
      <alignment horizontal="center" vertical="center" wrapText="1"/>
    </xf>
    <xf numFmtId="0" fontId="35" fillId="0" borderId="0" xfId="61" applyFont="1" applyNumberFormat="1">
      <alignment horizontal="center" vertical="center" wrapText="1"/>
    </xf>
    <xf numFmtId="0" fontId="35" fillId="0" borderId="0" xfId="61" applyFont="1" applyNumberFormat="1">
      <alignment horizontal="center" vertical="center" wrapText="1"/>
    </xf>
    <xf numFmtId="0" fontId="35" fillId="0" borderId="12" xfId="61" applyFont="1" applyBorder="1" applyNumberFormat="1">
      <alignment horizontal="center" vertical="center" wrapText="1"/>
    </xf>
    <xf numFmtId="0" fontId="22" fillId="0" borderId="12" xfId="0" applyFont="1" applyBorder="1">
      <alignment horizontal="left" vertical="top" wrapText="1"/>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0" fontId="39" fillId="0" borderId="0" xfId="0" applyFont="1">
      <alignment horizontal="left" vertical="center"/>
    </xf>
    <xf numFmtId="0" fontId="39" fillId="0" borderId="24" xfId="0" applyFont="1" applyBorder="1">
      <alignment horizontal="left" vertical="center"/>
    </xf>
    <xf numFmtId="0" fontId="39" fillId="0" borderId="27" xfId="0" applyFont="1" applyBorder="1">
      <alignment horizontal="left" vertical="center"/>
    </xf>
    <xf numFmtId="0" fontId="39" fillId="0" borderId="29" xfId="0" applyFont="1" applyBorder="1">
      <alignment horizontal="left" vertical="center"/>
    </xf>
    <xf numFmtId="0" fontId="0" fillId="0" borderId="12" xfId="0" applyFont="1" applyBorder="1">
      <alignment horizontal="center" vertical="center" wrapText="1"/>
    </xf>
    <xf numFmtId="0" fontId="22" fillId="0" borderId="0" xfId="0" applyFont="1">
      <alignment horizontal="center" vertical="center" wrapText="1"/>
    </xf>
    <xf numFmtId="0" fontId="22" fillId="0" borderId="0" xfId="0" applyFont="1">
      <alignment horizontal="center" vertical="center" wrapText="1"/>
    </xf>
    <xf numFmtId="0" fontId="22" fillId="0" borderId="12" xfId="0" applyFont="1" applyBorder="1">
      <alignment horizontal="center" vertical="center" wrapText="1"/>
    </xf>
    <xf numFmtId="49" fontId="22" fillId="40" borderId="12" xfId="0" applyFont="1" applyFill="1" applyBorder="1" applyNumberFormat="1">
      <alignment horizontal="center" vertical="center" wrapText="1"/>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0" fontId="39" fillId="0" borderId="27" xfId="0" applyFont="1" applyBorder="1">
      <alignment horizontal="left" vertical="center"/>
    </xf>
    <xf numFmtId="0" fontId="39" fillId="0" borderId="29" xfId="0" applyFont="1" applyBorder="1">
      <alignment horizontal="left" vertical="center"/>
    </xf>
    <xf numFmtId="0" fontId="39" fillId="0" borderId="0" xfId="0" applyFont="1">
      <alignment horizontal="left" vertical="center"/>
    </xf>
    <xf numFmtId="0" fontId="39" fillId="0" borderId="24" xfId="0" applyFont="1" applyBorder="1">
      <alignment horizontal="left" vertical="center"/>
    </xf>
    <xf numFmtId="0" fontId="22" fillId="35" borderId="12" xfId="0" applyFont="1" applyFill="1" applyBorder="1">
      <alignment horizontal="center" vertical="center" wrapText="1"/>
    </xf>
    <xf numFmtId="0" fontId="46" fillId="0" borderId="0" xfId="0" applyFont="1">
      <alignment horizontal="center" vertical="center" wrapText="1"/>
    </xf>
    <xf numFmtId="0" fontId="22" fillId="34" borderId="15" xfId="0" applyFont="1" applyFill="1" applyBorder="1">
      <alignment horizontal="left" vertical="center" wrapText="1"/>
    </xf>
    <xf numFmtId="0" fontId="22" fillId="0" borderId="0" xfId="0" applyFont="1">
      <alignment horizontal="left" vertical="top" wrapText="1"/>
    </xf>
    <xf numFmtId="0" fontId="47" fillId="0" borderId="0" xfId="0" applyFont="1">
      <alignment horizontal="center" vertical="center" wrapText="1"/>
    </xf>
    <xf numFmtId="212" fontId="0" fillId="39" borderId="12" xfId="0" applyFont="1" applyFill="1" applyBorder="1" applyNumberFormat="1">
      <alignment horizontal="center" vertical="center" wrapText="1"/>
      <protection locked="0"/>
    </xf>
    <xf numFmtId="0" fontId="80" fillId="35" borderId="19" xfId="0" applyFont="1" applyFill="1" applyBorder="1">
      <alignment horizontal="center" vertical="center" wrapText="1"/>
    </xf>
    <xf numFmtId="0" fontId="36" fillId="0" borderId="27" xfId="0" applyFont="1" applyBorder="1">
      <alignment horizontal="center" vertical="center" wrapText="1"/>
    </xf>
    <xf numFmtId="0" fontId="22" fillId="35" borderId="12" xfId="0" applyFont="1" applyFill="1" applyBorder="1">
      <alignment horizontal="left" vertical="center" wrapText="1"/>
    </xf>
    <xf numFmtId="0" fontId="22" fillId="35" borderId="23" xfId="0" applyFont="1" applyFill="1" applyBorder="1">
      <alignment horizontal="center" vertical="center" wrapText="1"/>
    </xf>
    <xf numFmtId="0" fontId="47" fillId="0" borderId="15" xfId="0" applyFont="1" applyBorder="1">
      <alignment horizontal="left" vertical="center" wrapText="1"/>
    </xf>
    <xf numFmtId="49" fontId="22" fillId="39" borderId="17" xfId="0" applyFont="1" applyFill="1" applyBorder="1" applyNumberFormat="1">
      <alignment horizontal="left" vertical="center" wrapText="1" indent="6"/>
      <protection locked="0"/>
    </xf>
    <xf numFmtId="0" fontId="22" fillId="35" borderId="17" xfId="0" applyFont="1" applyFill="1" applyBorder="1">
      <alignment horizontal="left" vertical="center" wrapText="1"/>
    </xf>
    <xf numFmtId="4" fontId="22" fillId="39" borderId="12" xfId="0" applyFont="1" applyFill="1" applyBorder="1" applyNumberFormat="1">
      <alignment horizontal="left" vertical="center" wrapText="1" indent="1"/>
      <protection locked="0"/>
    </xf>
    <xf numFmtId="49" fontId="22" fillId="36" borderId="17" xfId="0" applyFont="1" applyFill="1" applyBorder="1" applyNumberFormat="1">
      <alignment horizontal="left" vertical="center" wrapText="1" indent="6"/>
      <protection locked="0"/>
    </xf>
    <xf numFmtId="49" fontId="22" fillId="0" borderId="0" xfId="0" applyFont="1" applyNumberFormat="1">
      <alignment vertical="center" wrapText="1"/>
    </xf>
    <xf numFmtId="49" fontId="47" fillId="0" borderId="12" xfId="0" applyFont="1" applyBorder="1" applyNumberFormat="1">
      <alignment horizontal="center" vertical="center" wrapText="1"/>
    </xf>
    <xf numFmtId="49" fontId="22" fillId="0" borderId="12" xfId="0" applyFont="1" applyBorder="1" applyNumberFormat="1">
      <alignment horizontal="left" vertical="center" wrapText="1"/>
    </xf>
    <xf numFmtId="0" fontId="22" fillId="35" borderId="29" xfId="0" applyFont="1" applyFill="1" applyBorder="1">
      <alignment horizontal="center" vertical="center" wrapText="1"/>
    </xf>
    <xf numFmtId="0" fontId="46" fillId="0" borderId="0" xfId="0" applyFont="1">
      <alignment horizontal="center" vertical="center" wrapText="1"/>
    </xf>
    <xf numFmtId="0" fontId="22" fillId="0" borderId="0" xfId="0" applyFont="1">
      <alignment horizontal="right" vertical="center" wrapText="1"/>
    </xf>
    <xf numFmtId="0" fontId="22" fillId="0" borderId="0" xfId="0" applyFont="1">
      <alignment horizontal="left" vertical="center"/>
    </xf>
    <xf numFmtId="49" fontId="22" fillId="0" borderId="0" xfId="0" applyFont="1" applyNumberFormat="1">
      <alignment horizontal="left" vertical="center"/>
    </xf>
    <xf numFmtId="0" fontId="22" fillId="0" borderId="0" xfId="0" applyFont="1">
      <alignment horizontal="left" vertical="center"/>
    </xf>
    <xf numFmtId="0" fontId="22" fillId="0" borderId="0" xfId="0" applyFont="1">
      <alignment horizontal="left" vertical="center" indent="1"/>
    </xf>
    <xf numFmtId="49" fontId="22" fillId="0" borderId="0" xfId="0" applyFont="1" applyNumberFormat="1">
      <alignment horizontal="left" vertical="center"/>
    </xf>
    <xf numFmtId="0" fontId="0" fillId="0" borderId="12" xfId="0" applyFont="1" applyBorder="1">
      <alignment horizontal="center" vertical="center" wrapText="1"/>
    </xf>
    <xf numFmtId="49" fontId="0" fillId="39" borderId="12" xfId="0" applyFont="1" applyFill="1" applyBorder="1" applyNumberFormat="1">
      <alignment horizontal="left" vertical="center" wrapText="1"/>
      <protection locked="0"/>
    </xf>
    <xf numFmtId="49" fontId="22" fillId="35" borderId="0" xfId="0" applyFont="1" applyFill="1" applyNumberFormat="1">
      <alignment vertical="center" wrapText="1"/>
    </xf>
    <xf numFmtId="0" fontId="80" fillId="35" borderId="19" xfId="0" applyFont="1" applyFill="1" applyBorder="1">
      <alignment horizontal="center" vertical="center" wrapText="1"/>
    </xf>
    <xf numFmtId="0" fontId="46" fillId="0" borderId="0" xfId="0" applyFont="1">
      <alignment horizontal="center" vertical="center" wrapText="1"/>
    </xf>
    <xf numFmtId="49" fontId="22" fillId="0" borderId="0" xfId="0" applyFont="1" applyNumberFormat="1">
      <alignment vertical="center" wrapText="1"/>
    </xf>
    <xf numFmtId="49" fontId="22" fillId="36" borderId="12" xfId="0" applyFont="1" applyFill="1" applyBorder="1" applyNumberFormat="1">
      <alignment horizontal="left" vertical="center" indent="1"/>
      <protection locked="0"/>
    </xf>
    <xf numFmtId="49" fontId="22" fillId="35" borderId="12" xfId="59" applyFont="1" applyFill="1" applyBorder="1" applyNumberFormat="1">
      <alignment horizontal="center" vertical="center" wrapText="1"/>
    </xf>
    <xf numFmtId="14" fontId="22" fillId="39" borderId="14" xfId="0" applyFont="1" applyFill="1" applyBorder="1" applyNumberFormat="1">
      <alignment horizontal="left" vertical="center" wrapText="1" indent="1"/>
      <protection locked="0"/>
    </xf>
    <xf numFmtId="0" fontId="46" fillId="0" borderId="36" xfId="0" applyFont="1" applyBorder="1">
      <alignment horizontal="left" vertical="center" wrapText="1" indent="1"/>
    </xf>
    <xf numFmtId="49" fontId="105" fillId="37" borderId="42" xfId="0" applyFont="1" applyFill="1" applyBorder="1" applyNumberFormat="1">
      <alignment horizontal="left" vertical="center" indent="1"/>
    </xf>
    <xf numFmtId="14" fontId="22" fillId="40" borderId="22" xfId="0" applyFont="1" applyFill="1" applyBorder="1" applyNumberFormat="1">
      <alignment horizontal="left" vertical="center" wrapText="1" indent="1"/>
    </xf>
    <xf numFmtId="0" fontId="22" fillId="0" borderId="22" xfId="0" applyFont="1" applyBorder="1">
      <alignment vertical="center" wrapText="1"/>
    </xf>
    <xf numFmtId="0" fontId="0" fillId="0" borderId="13" xfId="0" applyFont="1" applyBorder="1">
      <alignment horizontal="center" vertical="center" wrapText="1"/>
    </xf>
    <xf numFmtId="49" fontId="22" fillId="40" borderId="12" xfId="0" applyFont="1" applyFill="1" applyBorder="1" applyNumberFormat="1">
      <alignment horizontal="center" vertical="center" wrapText="1"/>
    </xf>
    <xf numFmtId="0" fontId="22" fillId="0" borderId="12" xfId="0" applyFont="1" applyBorder="1">
      <alignment horizontal="center" vertical="center" wrapText="1"/>
    </xf>
    <xf numFmtId="212" fontId="0" fillId="39" borderId="12" xfId="0" applyFont="1" applyFill="1" applyBorder="1" applyNumberFormat="1">
      <alignment horizontal="center" vertical="center" wrapText="1"/>
      <protection locked="0"/>
    </xf>
    <xf numFmtId="0" fontId="22" fillId="35" borderId="17" xfId="0" applyFont="1" applyFill="1" applyBorder="1">
      <alignment horizontal="left" vertical="center" wrapText="1"/>
    </xf>
    <xf numFmtId="49" fontId="22" fillId="39" borderId="17" xfId="0" applyFont="1" applyFill="1" applyBorder="1" applyNumberFormat="1">
      <alignment horizontal="left" vertical="center" wrapText="1" indent="6"/>
      <protection locked="0"/>
    </xf>
    <xf numFmtId="0" fontId="47" fillId="0" borderId="24" xfId="0" applyFont="1" applyBorder="1">
      <alignment horizontal="center" vertical="top" wrapText="1"/>
    </xf>
    <xf numFmtId="49" fontId="22" fillId="36" borderId="17" xfId="0" applyFont="1" applyFill="1" applyBorder="1" applyNumberFormat="1">
      <alignment horizontal="left" vertical="center" wrapText="1" indent="6"/>
      <protection locked="0"/>
    </xf>
    <xf numFmtId="4" fontId="22" fillId="39" borderId="12" xfId="0" applyFont="1" applyFill="1" applyBorder="1" applyNumberFormat="1">
      <alignment horizontal="left" vertical="center" wrapText="1" indent="1"/>
      <protection locked="0"/>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0" fontId="39" fillId="0" borderId="27" xfId="0" applyFont="1" applyBorder="1">
      <alignment horizontal="left" vertical="center"/>
    </xf>
    <xf numFmtId="0" fontId="39" fillId="0" borderId="29" xfId="0" applyFont="1" applyBorder="1">
      <alignment horizontal="left" vertical="center"/>
    </xf>
    <xf numFmtId="0" fontId="39" fillId="0" borderId="0" xfId="0" applyFont="1">
      <alignment horizontal="left" vertical="center"/>
    </xf>
    <xf numFmtId="0" fontId="39" fillId="0" borderId="24" xfId="0" applyFont="1" applyBorder="1">
      <alignment horizontal="left" vertical="center"/>
    </xf>
    <xf numFmtId="49" fontId="31" fillId="47" borderId="0" xfId="0" applyFont="1" applyFill="1" applyNumberFormat="1">
      <alignment horizontal="center" vertical="center" wrapText="1"/>
    </xf>
    <xf numFmtId="0" fontId="47" fillId="0" borderId="0" xfId="0" applyFont="1">
      <alignment horizontal="center" vertical="center" wrapText="1"/>
    </xf>
    <xf numFmtId="0" fontId="22" fillId="35" borderId="12" xfId="0" applyFont="1" applyFill="1" applyBorder="1">
      <alignment horizontal="left" vertical="center" wrapText="1"/>
    </xf>
    <xf numFmtId="0" fontId="22" fillId="35" borderId="17" xfId="0" applyFont="1" applyFill="1" applyBorder="1">
      <alignment horizontal="left" vertical="center" wrapText="1"/>
    </xf>
    <xf numFmtId="0" fontId="22" fillId="35" borderId="23" xfId="0" applyFont="1" applyFill="1" applyBorder="1">
      <alignment horizontal="left" vertical="center" wrapText="1"/>
    </xf>
    <xf numFmtId="0" fontId="44" fillId="0" borderId="13" xfId="0" applyFont="1" applyBorder="1">
      <alignment vertical="top" wrapText="1"/>
    </xf>
    <xf numFmtId="0" fontId="47" fillId="0" borderId="13" xfId="0" applyFont="1" applyBorder="1">
      <alignment vertical="top" wrapText="1"/>
    </xf>
    <xf numFmtId="0" fontId="22" fillId="35" borderId="17" xfId="0" applyFont="1" applyFill="1" applyBorder="1">
      <alignment horizontal="left" vertical="center" wrapText="1" indent="2"/>
    </xf>
    <xf numFmtId="0" fontId="22" fillId="0" borderId="17" xfId="0" applyFont="1" applyBorder="1">
      <alignment horizontal="left" vertical="center" wrapText="1" indent="6"/>
    </xf>
    <xf numFmtId="0" fontId="22" fillId="40" borderId="23" xfId="0" applyFont="1" applyFill="1" applyBorder="1">
      <alignment horizontal="left" vertical="center" wrapText="1" indent="6"/>
    </xf>
    <xf numFmtId="0" fontId="22" fillId="0" borderId="23" xfId="0" applyFont="1" applyBorder="1">
      <alignment horizontal="left" vertical="center" wrapText="1" indent="6"/>
    </xf>
    <xf numFmtId="4" fontId="22" fillId="36" borderId="23" xfId="0" applyFont="1" applyFill="1" applyBorder="1" applyNumberFormat="1">
      <alignment horizontal="right" vertical="center" wrapText="1"/>
      <protection locked="0"/>
    </xf>
    <xf numFmtId="210" fontId="22" fillId="36" borderId="23" xfId="0" applyFont="1" applyFill="1" applyBorder="1" applyNumberFormat="1">
      <alignment horizontal="right" vertical="center" wrapText="1"/>
      <protection locked="0"/>
    </xf>
    <xf numFmtId="0" fontId="22" fillId="0" borderId="15" xfId="0" applyFont="1" applyBorder="1">
      <alignment horizontal="center" vertical="center" wrapText="1"/>
    </xf>
    <xf numFmtId="0" fontId="22" fillId="0" borderId="13" xfId="0" applyFont="1" applyBorder="1">
      <alignment horizontal="center" vertical="center" wrapText="1"/>
    </xf>
    <xf numFmtId="0" fontId="22" fillId="0" borderId="12" xfId="0" applyFont="1" applyBorder="1">
      <alignment horizontal="center" vertical="center" wrapText="1"/>
    </xf>
    <xf numFmtId="49" fontId="22" fillId="0" borderId="0" xfId="0" applyFont="1" applyNumberFormat="1">
      <alignment horizontal="center" vertical="center" wrapText="1"/>
    </xf>
    <xf numFmtId="0" fontId="22" fillId="0" borderId="12" xfId="0" applyFont="1" applyBorder="1">
      <alignment horizontal="left" vertical="center" wrapText="1"/>
    </xf>
    <xf numFmtId="0" fontId="22" fillId="0" borderId="37" xfId="0" applyFont="1" applyBorder="1">
      <alignment horizontal="center" vertical="center" wrapText="1"/>
    </xf>
    <xf numFmtId="49" fontId="0" fillId="35" borderId="12" xfId="0" applyFont="1" applyFill="1" applyBorder="1" applyNumberFormat="1">
      <alignment horizontal="center" vertical="center" wrapText="1"/>
    </xf>
    <xf numFmtId="0" fontId="22" fillId="35" borderId="12" xfId="0" applyFont="1" applyFill="1" applyBorder="1">
      <alignment horizontal="center" vertical="center" wrapText="1"/>
    </xf>
    <xf numFmtId="0" fontId="0" fillId="0" borderId="12" xfId="0" applyFont="1" applyBorder="1">
      <alignment horizontal="center" vertical="center" wrapText="1"/>
    </xf>
    <xf numFmtId="0" fontId="22" fillId="0" borderId="15" xfId="0" applyFont="1" applyBorder="1">
      <alignment horizontal="right" vertical="center" wrapText="1" indent="1"/>
    </xf>
    <xf numFmtId="0" fontId="22" fillId="0" borderId="0" xfId="0" applyFont="1">
      <alignment horizontal="left" vertical="top" wrapText="1"/>
    </xf>
    <xf numFmtId="0" fontId="22" fillId="34" borderId="14" xfId="0" applyFont="1" applyFill="1" applyBorder="1">
      <alignment horizontal="left" vertical="top" wrapText="1"/>
    </xf>
    <xf numFmtId="49" fontId="22" fillId="0" borderId="0" xfId="0" applyFont="1" applyNumberFormat="1">
      <alignment vertical="center" wrapText="1"/>
    </xf>
    <xf numFmtId="0" fontId="0" fillId="0" borderId="12" xfId="0" applyFont="1" applyBorder="1">
      <alignment horizontal="left" vertical="center" wrapText="1"/>
    </xf>
    <xf numFmtId="49" fontId="22" fillId="0" borderId="12" xfId="0" applyFont="1" applyBorder="1" applyNumberFormat="1">
      <alignment horizontal="center" vertical="center" wrapText="1"/>
    </xf>
    <xf numFmtId="0" fontId="22" fillId="0" borderId="12" xfId="0" applyFont="1" applyBorder="1">
      <alignment horizontal="left" vertical="center" wrapText="1"/>
    </xf>
    <xf numFmtId="0" fontId="22" fillId="0" borderId="17" xfId="0" applyFont="1" applyBorder="1">
      <alignment horizontal="left" vertical="center" wrapText="1"/>
    </xf>
    <xf numFmtId="49" fontId="94" fillId="0" borderId="43" xfId="0" applyFont="1" applyBorder="1" applyNumberFormat="1">
      <alignment horizontal="center" vertical="center"/>
    </xf>
    <xf numFmtId="49" fontId="94" fillId="0" borderId="43" xfId="0" applyFont="1" applyBorder="1" applyNumberFormat="1">
      <alignment horizontal="left" vertical="center" indent="1"/>
    </xf>
    <xf numFmtId="49" fontId="94" fillId="0" borderId="14" xfId="0" applyFont="1" applyBorder="1" applyNumberFormat="1">
      <alignment horizontal="left" vertical="center" indent="1"/>
    </xf>
    <xf numFmtId="49" fontId="94" fillId="0" borderId="15" xfId="0" applyFont="1" applyBorder="1" applyNumberFormat="1">
      <alignment horizontal="left" vertical="center" indent="1"/>
    </xf>
    <xf numFmtId="49" fontId="94" fillId="0" borderId="15" xfId="0" applyFont="1" applyBorder="1" applyNumberFormat="1">
      <alignment vertical="top" wrapText="1"/>
    </xf>
    <xf numFmtId="49" fontId="94" fillId="0" borderId="13" xfId="0" applyFont="1" applyBorder="1" applyNumberFormat="1">
      <alignment vertical="top" wrapText="1"/>
    </xf>
    <xf numFmtId="49" fontId="125" fillId="0" borderId="0" xfId="0" applyFont="1" applyNumberFormat="1">
      <alignment horizontal="center" vertical="top" wrapText="1"/>
    </xf>
    <xf numFmtId="0" fontId="94" fillId="0" borderId="12" xfId="0" applyFont="1" applyBorder="1">
      <alignment horizontal="center" vertical="center"/>
    </xf>
    <xf numFmtId="0" fontId="94" fillId="0" borderId="12" xfId="0" applyFont="1" applyBorder="1">
      <alignment horizontal="left" vertical="center" wrapText="1" indent="1"/>
    </xf>
    <xf numFmtId="4" fontId="46" fillId="0" borderId="31" xfId="0" applyFont="1" applyBorder="1" applyNumberFormat="1">
      <alignment horizontal="right" vertical="center" wrapText="1"/>
    </xf>
    <xf numFmtId="49" fontId="46" fillId="0" borderId="15" xfId="0" applyFont="1" applyBorder="1" applyNumberFormat="1">
      <alignment horizontal="left" vertical="center" indent="1"/>
    </xf>
    <xf numFmtId="49" fontId="94" fillId="0" borderId="52" xfId="0" applyFont="1" applyBorder="1" applyNumberFormat="1">
      <alignment vertical="top" wrapText="1"/>
    </xf>
    <xf numFmtId="49" fontId="94" fillId="0" borderId="52" xfId="0" applyFont="1" applyBorder="1" applyNumberFormat="1">
      <alignment horizontal="left" vertical="center" indent="1"/>
    </xf>
    <xf numFmtId="49" fontId="0" fillId="40" borderId="36" xfId="0" applyFont="1" applyFill="1" applyBorder="1" applyNumberFormat="1">
      <alignment horizontal="left" vertical="center" wrapText="1"/>
    </xf>
    <xf numFmtId="49" fontId="22" fillId="0" borderId="12" xfId="0" applyFont="1" applyBorder="1" applyNumberFormat="1">
      <alignment horizontal="center" vertical="center" wrapText="1"/>
    </xf>
    <xf numFmtId="49" fontId="126" fillId="0" borderId="12" xfId="0" applyFont="1" applyBorder="1" applyNumberFormat="1">
      <alignment horizontal="center" vertical="center" wrapText="1"/>
    </xf>
    <xf numFmtId="49" fontId="126" fillId="0" borderId="17" xfId="0" applyFont="1" applyBorder="1" applyNumberFormat="1">
      <alignment horizontal="center" vertical="center" wrapText="1"/>
    </xf>
    <xf numFmtId="0" fontId="22" fillId="54" borderId="12" xfId="60" applyFont="1" applyFill="1" applyBorder="1">
      <alignment vertical="center"/>
    </xf>
    <xf numFmtId="0" fontId="46" fillId="55" borderId="12" xfId="0" applyFont="1" applyFill="1" applyBorder="1">
      <alignment horizontal="left" vertical="center" wrapText="1"/>
    </xf>
    <xf numFmtId="0" fontId="91" fillId="0" borderId="0" xfId="0" applyFont="1">
      <alignment horizontal="center" vertical="center" wrapText="1"/>
    </xf>
    <xf numFmtId="49" fontId="22" fillId="0" borderId="0" xfId="0" applyFont="1" applyNumberFormat="1">
      <alignment vertical="center" wrapText="1"/>
    </xf>
    <xf numFmtId="49" fontId="0" fillId="7" borderId="12" xfId="0" applyFont="1" applyFill="1" applyBorder="1" applyNumberFormat="1">
      <alignment horizontal="center" vertical="center" wrapText="1"/>
    </xf>
    <xf numFmtId="49" fontId="22" fillId="0" borderId="0" xfId="0" applyFont="1" applyNumberFormat="1">
      <alignment vertical="center" wrapText="1"/>
    </xf>
    <xf numFmtId="49" fontId="0" fillId="7" borderId="12" xfId="0" applyFont="1" applyFill="1" applyBorder="1" applyNumberFormat="1">
      <alignment horizontal="center" vertical="center" wrapText="1"/>
    </xf>
    <xf numFmtId="49" fontId="35" fillId="0" borderId="0" xfId="0" applyFont="1" applyNumberFormat="1">
      <alignment horizontal="center" vertical="center" wrapText="1"/>
    </xf>
    <xf numFmtId="0" fontId="22" fillId="0" borderId="14" xfId="0" applyFont="1" applyBorder="1">
      <alignment horizontal="center" vertical="center" wrapText="1"/>
    </xf>
    <xf numFmtId="0" fontId="22" fillId="0" borderId="12" xfId="0" applyFont="1" applyBorder="1">
      <alignment horizontal="center" vertical="center" wrapText="1"/>
    </xf>
    <xf numFmtId="0" fontId="22" fillId="0" borderId="17" xfId="0" applyFont="1" applyBorder="1">
      <alignment horizontal="center" vertical="center" wrapText="1"/>
    </xf>
    <xf numFmtId="0" fontId="22" fillId="0" borderId="17" xfId="0" applyFont="1" applyBorder="1">
      <alignment horizontal="left" vertical="center" wrapText="1"/>
    </xf>
    <xf numFmtId="0" fontId="0" fillId="0" borderId="14" xfId="0" applyFont="1" applyBorder="1">
      <alignment horizontal="center" vertical="center" wrapText="1"/>
    </xf>
    <xf numFmtId="0" fontId="0" fillId="0" borderId="12" xfId="0" applyFont="1" applyBorder="1">
      <alignment horizontal="center" vertical="center" wrapText="1"/>
    </xf>
    <xf numFmtId="49" fontId="22" fillId="40" borderId="12" xfId="0" applyFont="1" applyFill="1" applyBorder="1" applyNumberFormat="1">
      <alignment horizontal="left" vertical="center" wrapText="1" indent="1"/>
    </xf>
    <xf numFmtId="0" fontId="22" fillId="0" borderId="19" xfId="0" applyFont="1" applyBorder="1">
      <alignment horizontal="right" vertical="center" wrapText="1" indent="1"/>
    </xf>
    <xf numFmtId="4" fontId="22" fillId="39" borderId="37" xfId="0" applyFont="1" applyFill="1" applyBorder="1" applyNumberFormat="1">
      <alignment horizontal="right" vertical="center" wrapText="1"/>
      <protection locked="0"/>
    </xf>
    <xf numFmtId="3" fontId="22" fillId="39" borderId="14" xfId="0" applyFont="1" applyFill="1" applyBorder="1" applyNumberFormat="1">
      <alignment horizontal="right" vertical="center" wrapText="1"/>
      <protection locked="0"/>
    </xf>
    <xf numFmtId="0" fontId="46" fillId="37" borderId="15" xfId="0" applyFont="1" applyFill="1" applyBorder="1">
      <alignment vertical="center" wrapText="1"/>
    </xf>
    <xf numFmtId="0" fontId="22" fillId="0" borderId="12" xfId="0" applyFont="1" applyBorder="1">
      <alignment horizontal="center" vertical="center" wrapText="1"/>
    </xf>
    <xf numFmtId="0" fontId="22" fillId="0" borderId="17" xfId="0" applyFont="1" applyBorder="1">
      <alignment horizontal="center" vertical="center" wrapText="1"/>
    </xf>
    <xf numFmtId="0" fontId="22" fillId="0" borderId="14" xfId="0" applyFont="1" applyBorder="1">
      <alignment horizontal="left" vertical="center" wrapText="1"/>
    </xf>
    <xf numFmtId="0" fontId="22" fillId="0" borderId="23" xfId="0" applyFont="1" applyBorder="1">
      <alignment horizontal="center" vertical="center" wrapText="1"/>
    </xf>
    <xf numFmtId="0" fontId="22" fillId="0" borderId="14" xfId="0" applyFont="1" applyBorder="1">
      <alignment horizontal="left" vertical="center" wrapText="1" indent="1"/>
    </xf>
    <xf numFmtId="0" fontId="22" fillId="0" borderId="14" xfId="0" applyFont="1" applyBorder="1">
      <alignment horizontal="left" vertical="center" wrapText="1" indent="2"/>
    </xf>
    <xf numFmtId="0" fontId="102" fillId="0" borderId="0" xfId="0" applyFont="1">
      <alignment vertical="center" wrapText="1"/>
    </xf>
    <xf numFmtId="0" fontId="102" fillId="0" borderId="0" xfId="0" applyFont="1">
      <alignment vertical="center"/>
    </xf>
    <xf numFmtId="0" fontId="45" fillId="56" borderId="63" xfId="0" applyFont="1" applyFill="1" applyBorder="1">
      <alignment horizontal="center" vertical="center" wrapText="1"/>
    </xf>
    <xf numFmtId="0" fontId="45" fillId="56" borderId="64" xfId="0" applyFont="1" applyFill="1" applyBorder="1">
      <alignment horizontal="center" vertical="center" wrapText="1"/>
    </xf>
    <xf numFmtId="0" fontId="45" fillId="56" borderId="65" xfId="0" applyFont="1" applyFill="1" applyBorder="1">
      <alignment horizontal="center" vertical="center" wrapText="1"/>
    </xf>
    <xf numFmtId="0" fontId="45" fillId="46" borderId="38" xfId="0" applyFont="1" applyFill="1" applyBorder="1">
      <alignment horizontal="right" vertical="center" wrapText="1" indent="1"/>
    </xf>
    <xf numFmtId="0" fontId="45" fillId="46" borderId="66" xfId="0" applyFont="1" applyFill="1" applyBorder="1">
      <alignment horizontal="right" vertical="center" wrapText="1" indent="1"/>
    </xf>
    <xf numFmtId="0" fontId="45" fillId="46" borderId="0" xfId="0" applyFont="1" applyFill="1">
      <alignment horizontal="right" vertical="center" wrapText="1" indent="1"/>
    </xf>
    <xf numFmtId="0" fontId="120" fillId="0" borderId="38" xfId="0" applyFont="1" applyBorder="1">
      <alignment vertical="center" wrapText="1"/>
    </xf>
    <xf numFmtId="0" fontId="120" fillId="0" borderId="0" xfId="0" applyFont="1">
      <alignment vertical="center" wrapText="1"/>
    </xf>
    <xf numFmtId="0" fontId="120" fillId="0" borderId="38" xfId="0" applyFont="1" applyBorder="1">
      <alignment horizontal="left" vertical="center" wrapText="1"/>
    </xf>
    <xf numFmtId="0" fontId="120" fillId="0" borderId="0" xfId="0" applyFont="1">
      <alignment horizontal="left" vertical="center" wrapText="1"/>
    </xf>
    <xf numFmtId="0" fontId="45" fillId="46" borderId="60" xfId="0" applyFont="1" applyFill="1" applyBorder="1">
      <alignment horizontal="right" vertical="center" wrapText="1" indent="1"/>
    </xf>
    <xf numFmtId="0" fontId="45" fillId="46" borderId="67" xfId="0" applyFont="1" applyFill="1" applyBorder="1">
      <alignment horizontal="right" vertical="center" wrapText="1" indent="1"/>
    </xf>
    <xf numFmtId="0" fontId="45" fillId="46" borderId="62" xfId="0" applyFont="1" applyFill="1" applyBorder="1">
      <alignment horizontal="right" vertical="center" wrapText="1" indent="1"/>
    </xf>
    <xf numFmtId="0" fontId="45" fillId="46" borderId="39" xfId="0" applyFont="1" applyFill="1" applyBorder="1">
      <alignment horizontal="right" vertical="center" wrapText="1" indent="1"/>
    </xf>
    <xf numFmtId="0" fontId="120" fillId="0" borderId="0" xfId="0" applyFont="1">
      <alignment vertical="top" wrapText="1"/>
    </xf>
    <xf numFmtId="49" fontId="66" fillId="0" borderId="0" xfId="0" applyFont="1" applyNumberFormat="1">
      <alignment vertical="top" wrapText="1"/>
    </xf>
    <xf numFmtId="0" fontId="22" fillId="0" borderId="13" xfId="0" applyFont="1" applyBorder="1">
      <alignment horizontal="center" vertical="center" wrapText="1"/>
    </xf>
    <xf numFmtId="0" fontId="22" fillId="0" borderId="14" xfId="0" applyFont="1" applyBorder="1">
      <alignment horizontal="center" vertical="center" wrapText="1"/>
    </xf>
    <xf numFmtId="0" fontId="96" fillId="0" borderId="0" xfId="0" applyFont="1">
      <alignment horizontal="left" vertical="center" wrapText="1"/>
    </xf>
    <xf numFmtId="14" fontId="93" fillId="0" borderId="12" xfId="0" applyFont="1" applyBorder="1" applyNumberFormat="1">
      <alignment horizontal="center" vertical="center" wrapText="1"/>
    </xf>
    <xf numFmtId="0" fontId="22" fillId="0" borderId="0" xfId="0" applyFont="1">
      <alignment horizontal="center" vertical="center" wrapText="1"/>
    </xf>
    <xf numFmtId="0" fontId="22" fillId="0" borderId="15" xfId="0" applyFont="1" applyBorder="1">
      <alignment horizontal="left" vertical="center" wrapText="1" indent="1"/>
    </xf>
    <xf numFmtId="0" fontId="22" fillId="0" borderId="14" xfId="0" applyFont="1" applyBorder="1">
      <alignment horizontal="center" vertical="center" wrapText="1"/>
    </xf>
    <xf numFmtId="0" fontId="22" fillId="0" borderId="15" xfId="0" applyFont="1" applyBorder="1">
      <alignment horizontal="center" vertical="center" wrapText="1"/>
    </xf>
    <xf numFmtId="0" fontId="22" fillId="0" borderId="13" xfId="0" applyFont="1" applyBorder="1">
      <alignment horizontal="center" vertical="center" wrapText="1"/>
    </xf>
    <xf numFmtId="4" fontId="22" fillId="0" borderId="12" xfId="0" applyFont="1" applyBorder="1" applyNumberFormat="1">
      <alignment horizontal="center" vertical="center" wrapText="1"/>
    </xf>
    <xf numFmtId="0" fontId="22" fillId="40" borderId="17" xfId="0" applyFont="1" applyFill="1" applyBorder="1">
      <alignment horizontal="left" vertical="center" wrapText="1" indent="1"/>
    </xf>
    <xf numFmtId="0" fontId="22" fillId="40" borderId="23" xfId="0" applyFont="1" applyFill="1" applyBorder="1">
      <alignment horizontal="left" vertical="center" wrapText="1" indent="1"/>
    </xf>
    <xf numFmtId="49" fontId="22" fillId="40" borderId="12" xfId="0" applyFont="1" applyFill="1" applyBorder="1" applyNumberFormat="1">
      <alignment horizontal="center" vertical="center" wrapText="1"/>
    </xf>
    <xf numFmtId="49" fontId="22" fillId="0" borderId="12" xfId="0" applyFont="1" applyBorder="1" applyNumberFormat="1">
      <alignment horizontal="center" vertical="center" wrapText="1"/>
    </xf>
    <xf numFmtId="0" fontId="22" fillId="40" borderId="17" xfId="0" applyFont="1" applyFill="1" applyBorder="1">
      <alignment horizontal="left" vertical="center" wrapText="1" indent="2"/>
    </xf>
    <xf numFmtId="0" fontId="22" fillId="40" borderId="36" xfId="0" applyFont="1" applyFill="1" applyBorder="1">
      <alignment horizontal="left" vertical="center" wrapText="1" indent="2"/>
    </xf>
    <xf numFmtId="0" fontId="22" fillId="40" borderId="23" xfId="0" applyFont="1" applyFill="1" applyBorder="1">
      <alignment horizontal="left" vertical="center" wrapText="1" indent="2"/>
    </xf>
    <xf numFmtId="49" fontId="22" fillId="40" borderId="23" xfId="0" applyFont="1" applyFill="1" applyBorder="1" applyNumberFormat="1">
      <alignment horizontal="center" vertical="center" wrapText="1"/>
    </xf>
    <xf numFmtId="14" fontId="81" fillId="0" borderId="68" xfId="0" applyFont="1" applyBorder="1" applyNumberFormat="1">
      <alignment horizontal="center" vertical="center" wrapText="1"/>
    </xf>
    <xf numFmtId="0" fontId="22" fillId="0" borderId="68" xfId="0" applyFont="1" applyBorder="1">
      <alignment horizontal="center" vertical="center" wrapText="1"/>
    </xf>
    <xf numFmtId="49" fontId="35" fillId="0" borderId="69" xfId="0" applyFont="1" applyBorder="1" applyNumberFormat="1">
      <alignment horizontal="center" vertical="center" wrapText="1"/>
    </xf>
    <xf numFmtId="49" fontId="35" fillId="0" borderId="70" xfId="0" applyFont="1" applyBorder="1" applyNumberFormat="1">
      <alignment horizontal="center" vertical="center" wrapText="1"/>
    </xf>
    <xf numFmtId="49" fontId="35" fillId="0" borderId="14" xfId="0" applyFont="1" applyBorder="1" applyNumberFormat="1">
      <alignment horizontal="center" vertical="center" wrapText="1"/>
    </xf>
    <xf numFmtId="49" fontId="35" fillId="0" borderId="13" xfId="0" applyFont="1" applyBorder="1" applyNumberFormat="1">
      <alignment horizontal="center" vertical="center" wrapText="1"/>
    </xf>
    <xf numFmtId="0" fontId="22" fillId="0" borderId="20" xfId="0" applyFont="1" applyBorder="1">
      <alignment horizontal="left" vertical="center" wrapText="1" indent="1"/>
    </xf>
    <xf numFmtId="0" fontId="22" fillId="0" borderId="17" xfId="0" applyFont="1" applyBorder="1">
      <alignment horizontal="left" vertical="center" wrapText="1" indent="1"/>
    </xf>
    <xf numFmtId="0" fontId="22" fillId="0" borderId="37" xfId="0" applyFont="1" applyBorder="1">
      <alignment horizontal="left" vertical="center" wrapText="1" indent="1"/>
    </xf>
    <xf numFmtId="0" fontId="22" fillId="0" borderId="29" xfId="0" applyFont="1" applyBorder="1">
      <alignment horizontal="left" vertical="center" indent="1"/>
    </xf>
    <xf numFmtId="0" fontId="22" fillId="0" borderId="23" xfId="0" applyFont="1" applyBorder="1">
      <alignment horizontal="left" vertical="center" indent="1"/>
    </xf>
    <xf numFmtId="0" fontId="22" fillId="0" borderId="30" xfId="0" applyFont="1" applyBorder="1">
      <alignment horizontal="left" vertical="center" indent="1"/>
    </xf>
    <xf numFmtId="0" fontId="22" fillId="0" borderId="0" xfId="0" applyFont="1">
      <alignment horizontal="center" vertical="center" wrapText="1"/>
    </xf>
    <xf numFmtId="0" fontId="22" fillId="42" borderId="0" xfId="0" applyFont="1" applyFill="1">
      <alignment horizontal="center" vertical="center" wrapText="1"/>
    </xf>
    <xf numFmtId="0" fontId="22" fillId="0" borderId="12" xfId="0" applyFont="1" applyBorder="1">
      <alignment horizontal="center" vertical="center" wrapText="1"/>
    </xf>
    <xf numFmtId="0" fontId="75" fillId="0" borderId="37" xfId="0" applyFont="1" applyBorder="1">
      <alignment horizontal="center" vertical="center" wrapText="1"/>
    </xf>
    <xf numFmtId="0" fontId="75" fillId="0" borderId="19" xfId="0" applyFont="1" applyBorder="1">
      <alignment horizontal="center" vertical="center" wrapText="1"/>
    </xf>
    <xf numFmtId="0" fontId="0" fillId="0" borderId="0" xfId="0" applyFont="1">
      <alignment horizontal="left" vertical="center" wrapText="1" indent="2"/>
    </xf>
    <xf numFmtId="0" fontId="0" fillId="0" borderId="0" xfId="0" applyFont="1">
      <alignment horizontal="left" vertical="center" indent="2"/>
    </xf>
    <xf numFmtId="0" fontId="75" fillId="0" borderId="12" xfId="0" applyFont="1" applyBorder="1">
      <alignment horizontal="center" vertical="center" wrapText="1"/>
    </xf>
    <xf numFmtId="0" fontId="22" fillId="0" borderId="71" xfId="0" applyFont="1" applyBorder="1">
      <alignment horizontal="center" vertical="center" wrapText="1"/>
    </xf>
    <xf numFmtId="0" fontId="22" fillId="0" borderId="72" xfId="0" applyFont="1" applyBorder="1">
      <alignment horizontal="center" vertical="center" wrapText="1"/>
    </xf>
    <xf numFmtId="0" fontId="0" fillId="0" borderId="12" xfId="0" applyFont="1" applyBorder="1">
      <alignment horizontal="center" vertical="top"/>
    </xf>
    <xf numFmtId="49" fontId="0" fillId="0" borderId="12" xfId="0" applyFont="1" applyBorder="1" applyNumberFormat="1">
      <alignment vertical="top"/>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0" fontId="0" fillId="0" borderId="19" xfId="0" applyFont="1" applyBorder="1">
      <alignment horizontal="left" vertical="center" wrapText="1"/>
    </xf>
    <xf numFmtId="0" fontId="0" fillId="0" borderId="0" xfId="0" applyFont="1">
      <alignment horizontal="left" vertical="center" wrapText="1"/>
    </xf>
    <xf numFmtId="49" fontId="0" fillId="0" borderId="0" xfId="0" applyFont="1" applyNumberFormat="1">
      <alignment horizontal="left" vertical="center" wrapText="1"/>
    </xf>
    <xf numFmtId="49" fontId="0" fillId="0" borderId="19" xfId="0" applyFont="1" applyBorder="1" applyNumberFormat="1">
      <alignment horizontal="left" vertical="center" wrapText="1"/>
    </xf>
    <xf numFmtId="0" fontId="22" fillId="0" borderId="12" xfId="0" applyFont="1" applyBorder="1">
      <alignment horizontal="left" vertical="top" wrapText="1"/>
    </xf>
    <xf numFmtId="49" fontId="0" fillId="0" borderId="12" xfId="0" applyFont="1" applyBorder="1" applyNumberFormat="1">
      <alignment horizontal="left" vertical="top"/>
    </xf>
    <xf numFmtId="0" fontId="22" fillId="40" borderId="17" xfId="0" applyFont="1" applyFill="1" applyBorder="1">
      <alignment horizontal="center" vertical="top" wrapText="1"/>
    </xf>
    <xf numFmtId="0" fontId="22" fillId="40" borderId="36" xfId="0" applyFont="1" applyFill="1" applyBorder="1">
      <alignment horizontal="center" vertical="top" wrapText="1"/>
    </xf>
    <xf numFmtId="0" fontId="22" fillId="40" borderId="23" xfId="0" applyFont="1" applyFill="1" applyBorder="1">
      <alignment horizontal="center" vertical="top" wrapText="1"/>
    </xf>
    <xf numFmtId="0" fontId="0" fillId="0" borderId="37" xfId="0" applyFont="1" applyBorder="1">
      <alignment horizontal="center" vertical="center"/>
    </xf>
    <xf numFmtId="0" fontId="0" fillId="0" borderId="22" xfId="0" applyFont="1" applyBorder="1">
      <alignment horizontal="center" vertical="center"/>
    </xf>
    <xf numFmtId="0" fontId="0" fillId="0" borderId="19" xfId="0" applyFont="1" applyBorder="1">
      <alignment horizontal="center" vertical="center"/>
    </xf>
    <xf numFmtId="0" fontId="0" fillId="0" borderId="0" xfId="0" applyFont="1">
      <alignment horizontal="center" vertical="center"/>
    </xf>
    <xf numFmtId="49" fontId="22" fillId="0" borderId="19" xfId="0" applyFont="1" applyBorder="1" applyNumberFormat="1">
      <alignment horizontal="left" vertical="center" wrapText="1"/>
    </xf>
    <xf numFmtId="49" fontId="22" fillId="0" borderId="0" xfId="0" applyFont="1" applyNumberFormat="1">
      <alignment horizontal="left" vertical="center" wrapText="1"/>
    </xf>
    <xf numFmtId="49" fontId="0" fillId="0" borderId="0" xfId="0" applyFont="1" applyNumberFormat="1">
      <alignment horizontal="left" vertical="top"/>
    </xf>
    <xf numFmtId="0" fontId="0" fillId="0" borderId="12" xfId="0" applyFont="1" applyBorder="1">
      <alignment horizontal="center" vertical="center" wrapText="1"/>
    </xf>
    <xf numFmtId="49" fontId="47" fillId="35" borderId="27" xfId="0" applyFont="1" applyFill="1" applyBorder="1" applyNumberFormat="1">
      <alignment horizontal="center" vertical="center" wrapText="1"/>
    </xf>
    <xf numFmtId="0" fontId="22" fillId="0" borderId="20" xfId="0" applyFont="1" applyBorder="1">
      <alignment horizontal="left" vertical="top" wrapText="1" indent="1"/>
    </xf>
    <xf numFmtId="0" fontId="22" fillId="0" borderId="17" xfId="0" applyFont="1" applyBorder="1">
      <alignment horizontal="left" vertical="top" wrapText="1" indent="1"/>
    </xf>
    <xf numFmtId="0" fontId="22" fillId="0" borderId="37" xfId="0" applyFont="1" applyBorder="1">
      <alignment horizontal="left" vertical="top" wrapText="1" indent="1"/>
    </xf>
    <xf numFmtId="0" fontId="72" fillId="0" borderId="24" xfId="0" applyFont="1" applyBorder="1">
      <alignment horizontal="left" vertical="center" wrapText="1" indent="1"/>
    </xf>
    <xf numFmtId="0" fontId="72" fillId="0" borderId="36" xfId="0" applyFont="1" applyBorder="1">
      <alignment horizontal="left" vertical="center" wrapText="1" indent="1"/>
    </xf>
    <xf numFmtId="0" fontId="72" fillId="0" borderId="22" xfId="0" applyFont="1" applyBorder="1">
      <alignment horizontal="left" vertical="center" wrapText="1" indent="1"/>
    </xf>
    <xf numFmtId="0" fontId="22" fillId="0" borderId="27" xfId="0" applyFont="1" applyBorder="1">
      <alignment horizontal="left" vertical="center" indent="1"/>
    </xf>
    <xf numFmtId="0" fontId="22" fillId="39" borderId="12" xfId="0" applyFont="1" applyFill="1" applyBorder="1">
      <alignment horizontal="left" vertical="top" wrapText="1"/>
      <protection locked="0"/>
    </xf>
    <xf numFmtId="0" fontId="0" fillId="39" borderId="12" xfId="0" applyFont="1" applyFill="1" applyBorder="1">
      <alignment horizontal="left" vertical="top"/>
      <protection locked="0"/>
    </xf>
    <xf numFmtId="0" fontId="0" fillId="0" borderId="17" xfId="0" applyFont="1" applyBorder="1">
      <alignment horizontal="center" vertical="top"/>
    </xf>
    <xf numFmtId="0" fontId="0" fillId="0" borderId="36" xfId="0" applyFont="1" applyBorder="1">
      <alignment horizontal="center" vertical="top"/>
    </xf>
    <xf numFmtId="0" fontId="0" fillId="0" borderId="23" xfId="0" applyFont="1" applyBorder="1">
      <alignment horizontal="center" vertical="top"/>
    </xf>
    <xf numFmtId="0" fontId="22" fillId="0" borderId="17" xfId="0" applyFont="1" applyBorder="1">
      <alignment horizontal="left" vertical="top" wrapText="1"/>
    </xf>
    <xf numFmtId="0" fontId="22" fillId="0" borderId="36" xfId="0" applyFont="1" applyBorder="1">
      <alignment horizontal="left" vertical="top" wrapText="1"/>
    </xf>
    <xf numFmtId="0" fontId="22" fillId="0" borderId="23" xfId="0" applyFont="1" applyBorder="1">
      <alignment horizontal="left" vertical="top" wrapText="1"/>
    </xf>
    <xf numFmtId="0" fontId="0" fillId="0" borderId="0" xfId="0" applyFont="1" quotePrefix="1">
      <alignment horizontal="left" vertical="top" wrapText="1" indent="1"/>
    </xf>
    <xf numFmtId="0" fontId="0" fillId="0" borderId="0" xfId="0" applyFont="1">
      <alignment horizontal="left" vertical="top" wrapText="1" indent="1"/>
    </xf>
    <xf numFmtId="0" fontId="0" fillId="0" borderId="0" xfId="0" applyFont="1">
      <alignment horizontal="left" vertical="top" wrapText="1"/>
    </xf>
    <xf numFmtId="0" fontId="22" fillId="0" borderId="17" xfId="0" applyFont="1" applyBorder="1">
      <alignment horizontal="center" vertical="center" wrapText="1"/>
    </xf>
    <xf numFmtId="0" fontId="22" fillId="0" borderId="27" xfId="0" applyFont="1" applyBorder="1">
      <alignment horizontal="left" vertical="center" wrapText="1" indent="1"/>
    </xf>
    <xf numFmtId="0" fontId="39" fillId="0" borderId="0" xfId="0" applyFont="1">
      <alignment horizontal="left" vertical="center"/>
    </xf>
    <xf numFmtId="0" fontId="39" fillId="0" borderId="24" xfId="0" applyFont="1" applyBorder="1">
      <alignment horizontal="left" vertical="center"/>
    </xf>
    <xf numFmtId="0" fontId="22" fillId="0" borderId="12" xfId="0" applyFont="1" applyBorder="1">
      <alignment horizontal="left" vertical="center" wrapText="1"/>
    </xf>
    <xf numFmtId="0" fontId="22" fillId="0" borderId="37" xfId="0" applyFont="1" applyBorder="1">
      <alignment horizontal="left" vertical="center" wrapText="1"/>
    </xf>
    <xf numFmtId="0" fontId="22" fillId="0" borderId="19" xfId="0" applyFont="1" applyBorder="1">
      <alignment horizontal="center" vertical="center"/>
    </xf>
    <xf numFmtId="0" fontId="22" fillId="0" borderId="0" xfId="0" applyFont="1">
      <alignment horizontal="center" vertical="center"/>
    </xf>
    <xf numFmtId="49" fontId="22" fillId="0" borderId="12" xfId="0" applyFont="1" applyBorder="1" applyNumberFormat="1">
      <alignment horizontal="center" vertical="center"/>
    </xf>
    <xf numFmtId="0" fontId="22" fillId="0" borderId="14" xfId="0" applyFont="1" applyBorder="1">
      <alignment horizontal="left" vertical="center" wrapText="1"/>
    </xf>
    <xf numFmtId="49" fontId="22" fillId="40" borderId="17" xfId="0" applyFont="1" applyFill="1" applyBorder="1" applyNumberFormat="1">
      <alignment horizontal="center" vertical="center" wrapText="1"/>
    </xf>
    <xf numFmtId="49" fontId="22" fillId="40" borderId="36" xfId="0" applyFont="1" applyFill="1" applyBorder="1" applyNumberFormat="1">
      <alignment horizontal="center" vertical="center" wrapText="1"/>
    </xf>
    <xf numFmtId="0" fontId="39" fillId="0" borderId="27" xfId="0" applyFont="1" applyBorder="1">
      <alignment horizontal="left" vertical="center"/>
    </xf>
    <xf numFmtId="0" fontId="39" fillId="0" borderId="29" xfId="0" applyFont="1" applyBorder="1">
      <alignment horizontal="left" vertical="center"/>
    </xf>
    <xf numFmtId="49" fontId="22" fillId="0" borderId="17" xfId="0" applyFont="1" applyBorder="1" applyNumberFormat="1">
      <alignment horizontal="center" vertical="center"/>
    </xf>
    <xf numFmtId="0" fontId="22" fillId="0" borderId="17" xfId="0" applyFont="1" applyBorder="1">
      <alignment horizontal="left" vertical="center" wrapText="1"/>
    </xf>
    <xf numFmtId="0" fontId="22" fillId="0" borderId="19" xfId="0" applyFont="1" applyBorder="1">
      <alignment horizontal="left" vertical="center" wrapText="1" indent="1"/>
    </xf>
    <xf numFmtId="0" fontId="22" fillId="0" borderId="37" xfId="0" applyFont="1" applyBorder="1">
      <alignment horizontal="center" vertical="center" wrapText="1"/>
    </xf>
    <xf numFmtId="0" fontId="22" fillId="0" borderId="20" xfId="0" applyFont="1" applyBorder="1">
      <alignment horizontal="center" vertical="center" wrapText="1"/>
    </xf>
    <xf numFmtId="0" fontId="22" fillId="0" borderId="22" xfId="0" applyFont="1" applyBorder="1">
      <alignment horizontal="center" vertical="center" wrapText="1"/>
    </xf>
    <xf numFmtId="0" fontId="22" fillId="0" borderId="24" xfId="0" applyFont="1" applyBorder="1">
      <alignment horizontal="center" vertical="center" wrapText="1"/>
    </xf>
    <xf numFmtId="0" fontId="22" fillId="0" borderId="17" xfId="0" applyFont="1" applyBorder="1">
      <alignment horizontal="center" vertical="center" wrapText="1"/>
    </xf>
    <xf numFmtId="0" fontId="22" fillId="0" borderId="15" xfId="0" applyFont="1" applyBorder="1">
      <alignment horizontal="center" vertical="center" wrapText="1"/>
    </xf>
    <xf numFmtId="0" fontId="22" fillId="0" borderId="12" xfId="0" applyFont="1" applyBorder="1">
      <alignment horizontal="center" vertical="center" wrapText="1"/>
    </xf>
    <xf numFmtId="0" fontId="22" fillId="0" borderId="36" xfId="0" applyFont="1" applyBorder="1">
      <alignment horizontal="center" vertical="center" wrapText="1"/>
    </xf>
    <xf numFmtId="0" fontId="22" fillId="0" borderId="30" xfId="0" applyFont="1" applyBorder="1">
      <alignment horizontal="center" vertical="center" wrapText="1"/>
    </xf>
    <xf numFmtId="0" fontId="22" fillId="0" borderId="29" xfId="0" applyFont="1" applyBorder="1">
      <alignment horizontal="center" vertical="center" wrapText="1"/>
    </xf>
    <xf numFmtId="49" fontId="22" fillId="35" borderId="0" xfId="0" applyFont="1" applyFill="1" applyNumberFormat="1">
      <alignment horizontal="center" vertical="center" wrapText="1"/>
    </xf>
    <xf numFmtId="0" fontId="44" fillId="0" borderId="0" xfId="0" applyFont="1">
      <alignment horizontal="right" vertical="top" wrapText="1"/>
    </xf>
    <xf numFmtId="49" fontId="0" fillId="35" borderId="12" xfId="0" applyFont="1" applyFill="1" applyBorder="1" applyNumberFormat="1">
      <alignment horizontal="center" vertical="center" wrapText="1"/>
    </xf>
    <xf numFmtId="49" fontId="22" fillId="35" borderId="12" xfId="0" applyFont="1" applyFill="1" applyBorder="1" applyNumberFormat="1">
      <alignment horizontal="center" vertical="center" wrapText="1"/>
    </xf>
    <xf numFmtId="0" fontId="44" fillId="0" borderId="0" xfId="0" applyFont="1">
      <alignment horizontal="left" vertical="top" wrapText="1" indent="1"/>
    </xf>
    <xf numFmtId="0" fontId="93" fillId="35" borderId="0" xfId="0" applyFont="1" applyFill="1">
      <alignment horizontal="left" vertical="center" wrapText="1"/>
    </xf>
    <xf numFmtId="0" fontId="0" fillId="35" borderId="12" xfId="0" applyFont="1" applyFill="1" applyBorder="1">
      <alignment horizontal="center" vertical="center" wrapText="1"/>
    </xf>
    <xf numFmtId="0" fontId="22" fillId="35" borderId="12" xfId="0" applyFont="1" applyFill="1" applyBorder="1">
      <alignment horizontal="center" vertical="center" wrapText="1"/>
    </xf>
    <xf numFmtId="0" fontId="22" fillId="35" borderId="17" xfId="0" applyFont="1" applyFill="1" applyBorder="1">
      <alignment horizontal="left" vertical="top" wrapText="1"/>
    </xf>
    <xf numFmtId="0" fontId="22" fillId="35" borderId="36" xfId="0" applyFont="1" applyFill="1" applyBorder="1">
      <alignment horizontal="left" vertical="top" wrapText="1"/>
    </xf>
    <xf numFmtId="0" fontId="22" fillId="35" borderId="23" xfId="0" applyFont="1" applyFill="1" applyBorder="1">
      <alignment horizontal="left" vertical="top" wrapText="1"/>
    </xf>
    <xf numFmtId="0" fontId="22" fillId="35" borderId="24" xfId="0" applyFont="1" applyFill="1" applyBorder="1">
      <alignment horizontal="center" vertical="center" wrapText="1"/>
    </xf>
    <xf numFmtId="0" fontId="22" fillId="0" borderId="29" xfId="0" applyFont="1" applyBorder="1">
      <alignment horizontal="left" vertical="center" wrapText="1" indent="1"/>
    </xf>
    <xf numFmtId="0" fontId="22" fillId="0" borderId="23" xfId="0" applyFont="1" applyBorder="1">
      <alignment horizontal="left" vertical="center" wrapText="1" indent="1"/>
    </xf>
    <xf numFmtId="0" fontId="22" fillId="0" borderId="30" xfId="0" applyFont="1" applyBorder="1">
      <alignment horizontal="left" vertical="center" wrapText="1" indent="1"/>
    </xf>
    <xf numFmtId="0" fontId="46" fillId="0" borderId="0" xfId="0" applyFont="1">
      <alignment horizontal="center" vertical="center" wrapText="1"/>
    </xf>
    <xf numFmtId="0" fontId="0" fillId="0" borderId="14" xfId="0" applyFont="1" applyBorder="1">
      <alignment horizontal="center" vertical="center" wrapText="1"/>
    </xf>
    <xf numFmtId="0" fontId="0" fillId="0" borderId="15" xfId="0" applyFont="1" applyBorder="1">
      <alignment horizontal="center" vertical="center" wrapText="1"/>
    </xf>
    <xf numFmtId="0" fontId="0" fillId="0" borderId="13" xfId="0" applyFont="1" applyBorder="1">
      <alignment horizontal="center" vertical="center" wrapText="1"/>
    </xf>
    <xf numFmtId="0" fontId="0" fillId="0" borderId="17" xfId="0" applyFont="1" applyBorder="1">
      <alignment horizontal="left" vertical="top" wrapText="1"/>
    </xf>
    <xf numFmtId="0" fontId="0" fillId="0" borderId="23" xfId="0" applyFont="1" applyBorder="1">
      <alignment horizontal="left" vertical="top" wrapText="1"/>
    </xf>
    <xf numFmtId="0" fontId="0" fillId="0" borderId="12" xfId="0" applyFont="1" applyBorder="1">
      <alignment horizontal="center" vertical="center" wrapText="1"/>
    </xf>
    <xf numFmtId="0" fontId="0" fillId="0" borderId="17" xfId="0" applyFont="1" applyBorder="1">
      <alignment horizontal="center" vertical="center" wrapText="1"/>
    </xf>
    <xf numFmtId="0" fontId="0" fillId="0" borderId="23" xfId="0" applyFont="1" applyBorder="1">
      <alignment horizontal="center" vertical="center" wrapText="1"/>
    </xf>
    <xf numFmtId="0" fontId="0" fillId="0" borderId="37" xfId="0" applyFont="1" applyBorder="1">
      <alignment horizontal="center" vertical="center" wrapText="1"/>
    </xf>
    <xf numFmtId="0" fontId="0" fillId="0" borderId="30" xfId="0" applyFont="1" applyBorder="1">
      <alignment horizontal="center" vertical="center" wrapText="1"/>
    </xf>
    <xf numFmtId="0" fontId="0" fillId="0" borderId="17" xfId="0" applyFont="1" applyBorder="1">
      <alignment horizontal="center" vertical="center" wrapText="1"/>
    </xf>
    <xf numFmtId="0" fontId="0" fillId="0" borderId="23" xfId="0" applyFont="1" applyBorder="1">
      <alignment horizontal="center" vertical="center" wrapText="1"/>
    </xf>
    <xf numFmtId="0" fontId="0" fillId="0" borderId="20" xfId="0" applyFont="1" applyBorder="1">
      <alignment horizontal="center" vertical="center" wrapText="1"/>
    </xf>
    <xf numFmtId="0" fontId="0" fillId="0" borderId="29" xfId="0" applyFont="1" applyBorder="1">
      <alignment horizontal="center" vertical="center" wrapText="1"/>
    </xf>
    <xf numFmtId="0" fontId="22" fillId="0" borderId="23" xfId="0" applyFont="1" applyBorder="1">
      <alignment horizontal="center" vertical="center" wrapText="1"/>
    </xf>
    <xf numFmtId="49" fontId="0" fillId="0" borderId="37" xfId="0" applyFont="1" applyBorder="1" applyNumberFormat="1">
      <alignment horizontal="center" vertical="center" wrapText="1"/>
    </xf>
    <xf numFmtId="49" fontId="0" fillId="0" borderId="30" xfId="0" applyFont="1" applyBorder="1" applyNumberFormat="1">
      <alignment horizontal="center" vertical="center" wrapText="1"/>
    </xf>
    <xf numFmtId="0" fontId="22" fillId="40" borderId="19" xfId="0" applyFont="1" applyFill="1" applyBorder="1">
      <alignment horizontal="left" vertical="center" wrapText="1"/>
    </xf>
    <xf numFmtId="0" fontId="22" fillId="40" borderId="27" xfId="0" applyFont="1" applyFill="1" applyBorder="1">
      <alignment horizontal="left" vertical="center" wrapText="1"/>
    </xf>
    <xf numFmtId="0" fontId="22" fillId="0" borderId="19" xfId="0" applyFont="1" applyBorder="1">
      <alignment horizontal="left" vertical="top" wrapText="1" indent="1"/>
    </xf>
    <xf numFmtId="0" fontId="22" fillId="0" borderId="20" xfId="0" applyFont="1" applyBorder="1">
      <alignment horizontal="left" vertical="center" wrapText="1" indent="1"/>
    </xf>
    <xf numFmtId="0" fontId="22" fillId="0" borderId="17" xfId="0" applyFont="1" applyBorder="1">
      <alignment horizontal="left" vertical="center" wrapText="1" indent="1"/>
    </xf>
    <xf numFmtId="0" fontId="22" fillId="0" borderId="37" xfId="0" applyFont="1" applyBorder="1">
      <alignment horizontal="left" vertical="center" wrapText="1" indent="1"/>
    </xf>
    <xf numFmtId="0" fontId="0" fillId="0" borderId="36" xfId="0" applyFont="1" applyBorder="1">
      <alignment horizontal="left" vertical="top" wrapText="1"/>
    </xf>
    <xf numFmtId="0" fontId="22" fillId="34" borderId="14" xfId="0" applyFont="1" applyFill="1" applyBorder="1">
      <alignment horizontal="left" vertical="center" wrapText="1"/>
    </xf>
    <xf numFmtId="0" fontId="22" fillId="34" borderId="15" xfId="0" applyFont="1" applyFill="1" applyBorder="1">
      <alignment horizontal="left" vertical="center" wrapText="1"/>
    </xf>
    <xf numFmtId="0" fontId="22" fillId="34" borderId="13" xfId="0" applyFont="1" applyFill="1" applyBorder="1">
      <alignment horizontal="left" vertical="center" wrapText="1"/>
    </xf>
    <xf numFmtId="0" fontId="22" fillId="40" borderId="14" xfId="0" applyFont="1" applyFill="1" applyBorder="1">
      <alignment horizontal="left" vertical="center" wrapText="1"/>
    </xf>
    <xf numFmtId="0" fontId="22" fillId="40" borderId="15" xfId="0" applyFont="1" applyFill="1" applyBorder="1">
      <alignment horizontal="left" vertical="center" wrapText="1"/>
    </xf>
    <xf numFmtId="0" fontId="22" fillId="40" borderId="13" xfId="0" applyFont="1" applyFill="1" applyBorder="1">
      <alignment horizontal="left" vertical="center" wrapText="1"/>
    </xf>
    <xf numFmtId="0" fontId="22" fillId="0" borderId="19" xfId="0" applyFont="1" applyBorder="1">
      <alignment horizontal="left" vertical="top" wrapText="1" indent="1"/>
    </xf>
    <xf numFmtId="0" fontId="22" fillId="0" borderId="27" xfId="0" applyFont="1" applyBorder="1">
      <alignment horizontal="left" vertical="center" wrapText="1" indent="1"/>
    </xf>
    <xf numFmtId="0" fontId="0" fillId="35" borderId="12" xfId="0" applyFont="1" applyFill="1" applyBorder="1">
      <alignment horizontal="right" vertical="center" wrapText="1" indent="1"/>
    </xf>
    <xf numFmtId="0" fontId="22" fillId="34" borderId="12" xfId="0" applyFont="1" applyFill="1" applyBorder="1">
      <alignment horizontal="left" vertical="center" wrapText="1" indent="1"/>
    </xf>
    <xf numFmtId="0" fontId="36" fillId="0" borderId="27" xfId="0" applyFont="1" applyBorder="1">
      <alignment horizontal="center" vertical="center" wrapText="1"/>
    </xf>
    <xf numFmtId="0" fontId="44" fillId="0" borderId="17" xfId="0" applyFont="1" applyBorder="1">
      <alignment horizontal="left" vertical="top" wrapText="1"/>
    </xf>
    <xf numFmtId="0" fontId="44" fillId="0" borderId="36" xfId="0" applyFont="1" applyBorder="1">
      <alignment horizontal="left" vertical="top" wrapText="1"/>
    </xf>
    <xf numFmtId="0" fontId="44" fillId="0" borderId="23" xfId="0" applyFont="1" applyBorder="1">
      <alignment horizontal="left" vertical="top" wrapText="1"/>
    </xf>
    <xf numFmtId="0" fontId="46" fillId="0" borderId="12" xfId="0" applyFont="1" applyBorder="1">
      <alignment horizontal="center" vertical="center" wrapText="1"/>
    </xf>
    <xf numFmtId="0" fontId="47" fillId="0" borderId="0" xfId="0" applyFont="1">
      <alignment horizontal="center" vertical="center" wrapText="1"/>
    </xf>
    <xf numFmtId="0" fontId="46" fillId="0" borderId="12" xfId="0" applyFont="1" applyBorder="1">
      <alignment horizontal="center" vertical="center"/>
    </xf>
    <xf numFmtId="0" fontId="46" fillId="0" borderId="14" xfId="0" applyFont="1" applyBorder="1">
      <alignment horizontal="center" vertical="center"/>
    </xf>
    <xf numFmtId="0" fontId="22" fillId="0" borderId="17" xfId="0" applyFont="1" applyBorder="1">
      <alignment horizontal="center" vertical="center" wrapText="1"/>
    </xf>
    <xf numFmtId="0" fontId="22" fillId="0" borderId="23" xfId="0" applyFont="1" applyBorder="1">
      <alignment horizontal="center" vertical="center" wrapText="1"/>
    </xf>
    <xf numFmtId="0" fontId="22" fillId="0" borderId="14" xfId="0" applyFont="1" applyBorder="1">
      <alignment horizontal="center" vertical="center" wrapText="1"/>
    </xf>
    <xf numFmtId="0" fontId="22" fillId="0" borderId="13" xfId="0" applyFont="1" applyBorder="1">
      <alignment horizontal="center" vertical="center" wrapText="1"/>
    </xf>
    <xf numFmtId="212" fontId="22" fillId="34" borderId="12" xfId="0" applyFont="1" applyFill="1" applyBorder="1" applyNumberFormat="1">
      <alignment horizontal="left" vertical="center" wrapText="1" indent="1"/>
    </xf>
    <xf numFmtId="212" fontId="0" fillId="39" borderId="12" xfId="0" applyFont="1" applyFill="1" applyBorder="1" applyNumberFormat="1">
      <alignment horizontal="center" vertical="center" wrapText="1"/>
      <protection locked="0"/>
    </xf>
    <xf numFmtId="49" fontId="0" fillId="39" borderId="12" xfId="0" applyFont="1" applyFill="1" applyBorder="1" applyNumberFormat="1">
      <alignment horizontal="center" vertical="center" wrapText="1"/>
      <protection locked="0"/>
    </xf>
    <xf numFmtId="212" fontId="46" fillId="0" borderId="12" xfId="0" applyFont="1" applyBorder="1" applyNumberFormat="1">
      <alignment horizontal="center" vertical="center" wrapText="1"/>
    </xf>
    <xf numFmtId="49" fontId="46" fillId="0" borderId="12" xfId="0" applyFont="1" applyBorder="1" applyNumberFormat="1">
      <alignment horizontal="center" vertical="center" wrapText="1"/>
    </xf>
    <xf numFmtId="0" fontId="22" fillId="0" borderId="15" xfId="0" applyFont="1" applyBorder="1">
      <alignment horizontal="center" vertical="center" wrapText="1"/>
    </xf>
    <xf numFmtId="0" fontId="0" fillId="0" borderId="14" xfId="0" applyFont="1" applyBorder="1">
      <alignment horizontal="center" vertical="center" wrapText="1"/>
    </xf>
    <xf numFmtId="0" fontId="0" fillId="0" borderId="13" xfId="0" applyFont="1" applyBorder="1">
      <alignment horizontal="center" vertical="center" wrapText="1"/>
    </xf>
    <xf numFmtId="0" fontId="80" fillId="35" borderId="19" xfId="0" applyFont="1" applyFill="1" applyBorder="1">
      <alignment horizontal="center" vertical="center" wrapText="1"/>
    </xf>
    <xf numFmtId="0" fontId="22" fillId="35" borderId="12" xfId="0" applyFont="1" applyFill="1" applyBorder="1">
      <alignment horizontal="left" vertical="center" wrapText="1"/>
    </xf>
    <xf numFmtId="0" fontId="0" fillId="35" borderId="14" xfId="0" applyFont="1" applyFill="1" applyBorder="1">
      <alignment horizontal="center" vertical="center" wrapText="1"/>
    </xf>
    <xf numFmtId="0" fontId="0" fillId="35" borderId="15" xfId="0" applyFont="1" applyFill="1" applyBorder="1">
      <alignment horizontal="center" vertical="center" wrapText="1"/>
    </xf>
    <xf numFmtId="0" fontId="0" fillId="35" borderId="13" xfId="0" applyFont="1" applyFill="1" applyBorder="1">
      <alignment horizontal="center" vertical="center" wrapText="1"/>
    </xf>
    <xf numFmtId="0" fontId="22" fillId="35" borderId="17" xfId="0" applyFont="1" applyFill="1" applyBorder="1">
      <alignment horizontal="center" vertical="center" wrapText="1"/>
    </xf>
    <xf numFmtId="0" fontId="22" fillId="35" borderId="36" xfId="0" applyFont="1" applyFill="1" applyBorder="1">
      <alignment horizontal="center" vertical="center" wrapText="1"/>
    </xf>
    <xf numFmtId="0" fontId="22" fillId="35" borderId="23" xfId="0" applyFont="1" applyFill="1" applyBorder="1">
      <alignment horizontal="center" vertical="center" wrapText="1"/>
    </xf>
    <xf numFmtId="49" fontId="39" fillId="37" borderId="17" xfId="0" applyFont="1" applyFill="1" applyBorder="1" applyNumberFormat="1">
      <alignment horizontal="center" vertical="center" textRotation="90" wrapText="1"/>
    </xf>
    <xf numFmtId="49" fontId="39" fillId="37" borderId="36" xfId="0" applyFont="1" applyFill="1" applyBorder="1" applyNumberFormat="1">
      <alignment horizontal="center" vertical="center" textRotation="90" wrapText="1"/>
    </xf>
    <xf numFmtId="49" fontId="39" fillId="37" borderId="23" xfId="0" applyFont="1" applyFill="1" applyBorder="1" applyNumberFormat="1">
      <alignment horizontal="center" vertical="center" textRotation="90" wrapText="1"/>
    </xf>
    <xf numFmtId="0" fontId="46" fillId="0" borderId="17" xfId="0" applyFont="1" applyBorder="1">
      <alignment horizontal="center" vertical="center" wrapText="1"/>
    </xf>
    <xf numFmtId="0" fontId="46" fillId="0" borderId="23" xfId="0" applyFont="1" applyBorder="1">
      <alignment horizontal="center" vertical="center" wrapText="1"/>
    </xf>
    <xf numFmtId="0" fontId="22" fillId="0" borderId="0" xfId="0" applyFont="1">
      <alignment horizontal="left" vertical="top" wrapText="1"/>
    </xf>
    <xf numFmtId="0" fontId="46" fillId="0" borderId="14" xfId="0" applyFont="1" applyBorder="1">
      <alignment horizontal="center" vertical="center" wrapText="1"/>
    </xf>
    <xf numFmtId="212" fontId="0" fillId="39" borderId="17" xfId="0" applyFont="1" applyFill="1" applyBorder="1" applyNumberFormat="1">
      <alignment horizontal="center" vertical="center" wrapText="1"/>
      <protection locked="0"/>
    </xf>
    <xf numFmtId="49" fontId="0" fillId="39" borderId="23" xfId="0" applyFont="1" applyFill="1" applyBorder="1" applyNumberFormat="1">
      <alignment horizontal="center" vertical="center" wrapText="1"/>
      <protection locked="0"/>
    </xf>
    <xf numFmtId="0" fontId="22" fillId="0" borderId="12" xfId="0" applyFont="1" applyBorder="1">
      <alignment horizontal="center" vertical="center"/>
    </xf>
    <xf numFmtId="0" fontId="22" fillId="0" borderId="14" xfId="0" applyFont="1" applyBorder="1">
      <alignment horizontal="center" vertical="center"/>
    </xf>
    <xf numFmtId="0" fontId="0" fillId="35" borderId="19" xfId="0" applyFont="1" applyFill="1" applyBorder="1">
      <alignment horizontal="center" vertical="center" wrapText="1"/>
    </xf>
    <xf numFmtId="0" fontId="47" fillId="0" borderId="17" xfId="0" applyFont="1" applyBorder="1">
      <alignment horizontal="center" vertical="center" wrapText="1"/>
    </xf>
    <xf numFmtId="0" fontId="47" fillId="0" borderId="23" xfId="0" applyFont="1" applyBorder="1">
      <alignment horizontal="center" vertical="center" wrapText="1"/>
    </xf>
    <xf numFmtId="0" fontId="22" fillId="0" borderId="37" xfId="0" applyFont="1" applyBorder="1">
      <alignment horizontal="center" vertical="center" wrapText="1"/>
    </xf>
    <xf numFmtId="0" fontId="22" fillId="0" borderId="30" xfId="0" applyFont="1" applyBorder="1">
      <alignment horizontal="center" vertical="center" wrapText="1"/>
    </xf>
    <xf numFmtId="0" fontId="47" fillId="0" borderId="14" xfId="0" applyFont="1" applyBorder="1">
      <alignment horizontal="left" vertical="center" wrapText="1"/>
    </xf>
    <xf numFmtId="0" fontId="47" fillId="0" borderId="15" xfId="0" applyFont="1" applyBorder="1">
      <alignment horizontal="left" vertical="center" wrapText="1"/>
    </xf>
    <xf numFmtId="0" fontId="47" fillId="0" borderId="13" xfId="0" applyFont="1" applyBorder="1">
      <alignment horizontal="left" vertical="center" wrapText="1"/>
    </xf>
    <xf numFmtId="0" fontId="0" fillId="0" borderId="0" xfId="0" applyFont="1">
      <alignment horizontal="left" vertical="top" wrapText="1"/>
    </xf>
    <xf numFmtId="0" fontId="22" fillId="34" borderId="37" xfId="0" applyFont="1" applyFill="1" applyBorder="1">
      <alignment horizontal="left" vertical="center" wrapText="1"/>
    </xf>
    <xf numFmtId="0" fontId="22" fillId="34" borderId="19" xfId="0" applyFont="1" applyFill="1" applyBorder="1">
      <alignment horizontal="left" vertical="center" wrapText="1"/>
    </xf>
    <xf numFmtId="0" fontId="22" fillId="34" borderId="20" xfId="0" applyFont="1" applyFill="1" applyBorder="1">
      <alignment horizontal="left" vertical="center" wrapText="1"/>
    </xf>
    <xf numFmtId="0" fontId="22" fillId="34" borderId="12" xfId="0" applyFont="1" applyFill="1" applyBorder="1">
      <alignment horizontal="left" vertical="center" wrapText="1"/>
    </xf>
    <xf numFmtId="0" fontId="47" fillId="0" borderId="12" xfId="0" applyFont="1" applyBorder="1">
      <alignment horizontal="left" vertical="center" wrapText="1"/>
    </xf>
    <xf numFmtId="0" fontId="22" fillId="40" borderId="12" xfId="0" applyFont="1" applyFill="1" applyBorder="1">
      <alignment horizontal="left" vertical="center" wrapText="1"/>
    </xf>
    <xf numFmtId="212" fontId="0" fillId="39" borderId="23" xfId="0" applyFont="1" applyFill="1" applyBorder="1" applyNumberFormat="1">
      <alignment horizontal="center" vertical="center" wrapText="1"/>
      <protection locked="0"/>
    </xf>
    <xf numFmtId="0" fontId="22" fillId="0" borderId="19" xfId="0" applyFont="1" applyBorder="1">
      <alignment horizontal="left" vertical="center" wrapText="1" indent="1"/>
    </xf>
    <xf numFmtId="0" fontId="22" fillId="40" borderId="20" xfId="0" applyFont="1" applyFill="1" applyBorder="1">
      <alignment horizontal="left" vertical="center" wrapText="1"/>
    </xf>
    <xf numFmtId="49" fontId="0" fillId="39" borderId="12" xfId="0" applyFont="1" applyFill="1" applyBorder="1" applyNumberFormat="1">
      <alignment horizontal="center" vertical="center" wrapText="1"/>
      <protection locked="0"/>
    </xf>
    <xf numFmtId="0" fontId="22" fillId="0" borderId="12" xfId="0" applyFont="1" applyBorder="1">
      <alignment horizontal="center" vertical="center"/>
    </xf>
    <xf numFmtId="0" fontId="22" fillId="0" borderId="14" xfId="0" applyFont="1" applyBorder="1">
      <alignment horizontal="center" vertical="center"/>
    </xf>
    <xf numFmtId="0" fontId="22" fillId="0" borderId="12" xfId="0" applyFont="1" applyBorder="1">
      <alignment horizontal="center" vertical="center" wrapText="1"/>
    </xf>
    <xf numFmtId="0" fontId="22" fillId="0" borderId="19" xfId="0" applyFont="1" applyBorder="1">
      <alignment horizontal="center" vertical="center" wrapText="1"/>
    </xf>
    <xf numFmtId="0" fontId="22" fillId="0" borderId="20" xfId="0" applyFont="1" applyBorder="1">
      <alignment horizontal="center" vertical="center" wrapText="1"/>
    </xf>
    <xf numFmtId="0" fontId="22" fillId="0" borderId="27" xfId="0" applyFont="1" applyBorder="1">
      <alignment horizontal="center" vertical="center" wrapText="1"/>
    </xf>
    <xf numFmtId="0" fontId="22" fillId="0" borderId="29" xfId="0" applyFont="1" applyBorder="1">
      <alignment horizontal="center" vertical="center" wrapText="1"/>
    </xf>
    <xf numFmtId="0" fontId="0" fillId="0" borderId="17" xfId="0" applyFont="1" applyBorder="1">
      <alignment horizontal="center" vertical="center" wrapText="1"/>
    </xf>
    <xf numFmtId="0" fontId="0" fillId="0" borderId="36" xfId="0" applyFont="1" applyBorder="1">
      <alignment horizontal="center" vertical="center" wrapText="1"/>
    </xf>
    <xf numFmtId="0" fontId="0" fillId="0" borderId="23" xfId="0" applyFont="1" applyBorder="1">
      <alignment horizontal="center" vertical="center" wrapText="1"/>
    </xf>
    <xf numFmtId="0" fontId="0" fillId="0" borderId="15" xfId="0" applyFont="1" applyBorder="1">
      <alignment horizontal="center" vertical="center" wrapText="1"/>
    </xf>
    <xf numFmtId="0" fontId="0" fillId="0" borderId="37" xfId="0" applyFont="1" applyBorder="1">
      <alignment horizontal="center" vertical="center" wrapText="1"/>
    </xf>
    <xf numFmtId="0" fontId="0" fillId="0" borderId="20" xfId="0" applyFont="1" applyBorder="1">
      <alignment horizontal="center" vertical="center" wrapText="1"/>
    </xf>
    <xf numFmtId="0" fontId="0" fillId="0" borderId="30" xfId="0" applyFont="1" applyBorder="1">
      <alignment horizontal="center" vertical="center" wrapText="1"/>
    </xf>
    <xf numFmtId="0" fontId="0" fillId="0" borderId="29" xfId="0" applyFont="1" applyBorder="1">
      <alignment horizontal="center" vertical="center" wrapText="1"/>
    </xf>
    <xf numFmtId="0" fontId="22" fillId="0" borderId="22" xfId="0" applyFont="1" applyBorder="1">
      <alignment horizontal="center" vertical="center" wrapText="1"/>
    </xf>
    <xf numFmtId="0" fontId="36" fillId="0" borderId="12" xfId="0" applyFont="1" applyBorder="1">
      <alignment horizontal="center" vertical="center" wrapText="1"/>
    </xf>
    <xf numFmtId="49" fontId="22" fillId="40" borderId="12" xfId="0" applyFont="1" applyFill="1" applyBorder="1" applyNumberFormat="1">
      <alignment horizontal="left" vertical="center" wrapText="1" indent="1"/>
    </xf>
    <xf numFmtId="0" fontId="0" fillId="35" borderId="37" xfId="0" applyFont="1" applyFill="1" applyBorder="1">
      <alignment horizontal="center" vertical="center" wrapText="1"/>
    </xf>
    <xf numFmtId="0" fontId="0" fillId="35" borderId="20" xfId="0" applyFont="1" applyFill="1" applyBorder="1">
      <alignment horizontal="center" vertical="center" wrapText="1"/>
    </xf>
    <xf numFmtId="0" fontId="0" fillId="35" borderId="22" xfId="0" applyFont="1" applyFill="1" applyBorder="1">
      <alignment horizontal="center" vertical="center" wrapText="1"/>
    </xf>
    <xf numFmtId="0" fontId="0" fillId="35" borderId="0" xfId="0" applyFont="1" applyFill="1">
      <alignment horizontal="center" vertical="center" wrapText="1"/>
    </xf>
    <xf numFmtId="0" fontId="0" fillId="35" borderId="24" xfId="0" applyFont="1" applyFill="1" applyBorder="1">
      <alignment horizontal="center" vertical="center" wrapText="1"/>
    </xf>
    <xf numFmtId="0" fontId="0" fillId="35" borderId="30" xfId="0" applyFont="1" applyFill="1" applyBorder="1">
      <alignment horizontal="center" vertical="center" wrapText="1"/>
    </xf>
    <xf numFmtId="0" fontId="0" fillId="35" borderId="27" xfId="0" applyFont="1" applyFill="1" applyBorder="1">
      <alignment horizontal="center" vertical="center" wrapText="1"/>
    </xf>
    <xf numFmtId="0" fontId="0" fillId="35" borderId="29" xfId="0" applyFont="1" applyFill="1" applyBorder="1">
      <alignment horizontal="center" vertical="center" wrapText="1"/>
    </xf>
    <xf numFmtId="0" fontId="22" fillId="35" borderId="37" xfId="0" applyFont="1" applyFill="1" applyBorder="1">
      <alignment horizontal="center" vertical="center" wrapText="1"/>
    </xf>
    <xf numFmtId="0" fontId="22" fillId="35" borderId="22" xfId="0" applyFont="1" applyFill="1" applyBorder="1">
      <alignment horizontal="center" vertical="center" wrapText="1"/>
    </xf>
    <xf numFmtId="0" fontId="22" fillId="35" borderId="30" xfId="0" applyFont="1" applyFill="1" applyBorder="1">
      <alignment horizontal="center" vertical="center" wrapText="1"/>
    </xf>
    <xf numFmtId="0" fontId="22" fillId="39" borderId="12" xfId="0" applyFont="1" applyFill="1" applyBorder="1">
      <alignment horizontal="center" vertical="center" wrapText="1"/>
      <protection locked="0"/>
    </xf>
    <xf numFmtId="0" fontId="22" fillId="34" borderId="12" xfId="0" applyFont="1" applyFill="1" applyBorder="1">
      <alignment horizontal="center" vertical="center" wrapText="1"/>
    </xf>
    <xf numFmtId="0" fontId="22" fillId="35" borderId="17" xfId="0" applyFont="1" applyFill="1" applyBorder="1">
      <alignment horizontal="left" vertical="center" wrapText="1"/>
    </xf>
    <xf numFmtId="0" fontId="22" fillId="35" borderId="36" xfId="0" applyFont="1" applyFill="1" applyBorder="1">
      <alignment horizontal="left" vertical="center" wrapText="1"/>
    </xf>
    <xf numFmtId="0" fontId="22" fillId="35" borderId="23" xfId="0" applyFont="1" applyFill="1" applyBorder="1">
      <alignment horizontal="left" vertical="center" wrapText="1"/>
    </xf>
    <xf numFmtId="49" fontId="22" fillId="39" borderId="17" xfId="0" applyFont="1" applyFill="1" applyBorder="1" applyNumberFormat="1">
      <alignment horizontal="left" vertical="center" wrapText="1" indent="6"/>
      <protection locked="0"/>
    </xf>
    <xf numFmtId="49" fontId="22" fillId="39" borderId="36" xfId="0" applyFont="1" applyFill="1" applyBorder="1" applyNumberFormat="1">
      <alignment horizontal="left" vertical="center" wrapText="1" indent="6"/>
      <protection locked="0"/>
    </xf>
    <xf numFmtId="49" fontId="22" fillId="39" borderId="23" xfId="0" applyFont="1" applyFill="1" applyBorder="1" applyNumberFormat="1">
      <alignment horizontal="left" vertical="center" wrapText="1" indent="6"/>
      <protection locked="0"/>
    </xf>
    <xf numFmtId="0" fontId="47" fillId="0" borderId="24" xfId="0" applyFont="1" applyBorder="1">
      <alignment horizontal="center" vertical="top" wrapText="1"/>
    </xf>
    <xf numFmtId="49" fontId="22" fillId="0" borderId="12" xfId="0" applyFont="1" applyBorder="1" applyNumberFormat="1">
      <alignment horizontal="left" vertical="center" wrapText="1" indent="1"/>
    </xf>
    <xf numFmtId="0" fontId="44" fillId="0" borderId="12" xfId="0" applyFont="1" applyBorder="1">
      <alignment horizontal="left" vertical="top" wrapText="1"/>
    </xf>
    <xf numFmtId="0" fontId="22" fillId="36" borderId="14" xfId="0" applyFont="1" applyFill="1" applyBorder="1">
      <alignment horizontal="left" vertical="center" wrapText="1"/>
      <protection locked="0"/>
    </xf>
    <xf numFmtId="0" fontId="22" fillId="36" borderId="15" xfId="0" applyFont="1" applyFill="1" applyBorder="1">
      <alignment horizontal="left" vertical="center" wrapText="1"/>
      <protection locked="0"/>
    </xf>
    <xf numFmtId="0" fontId="22" fillId="36" borderId="13" xfId="0" applyFont="1" applyFill="1" applyBorder="1">
      <alignment horizontal="left" vertical="center" wrapText="1"/>
      <protection locked="0"/>
    </xf>
    <xf numFmtId="49" fontId="22" fillId="36" borderId="14" xfId="0" applyFont="1" applyFill="1" applyBorder="1" applyNumberFormat="1">
      <alignment horizontal="left" vertical="center" wrapText="1"/>
      <protection locked="0"/>
    </xf>
    <xf numFmtId="49" fontId="22" fillId="36" borderId="15" xfId="0" applyFont="1" applyFill="1" applyBorder="1" applyNumberFormat="1">
      <alignment horizontal="left" vertical="center" wrapText="1"/>
      <protection locked="0"/>
    </xf>
    <xf numFmtId="49" fontId="22" fillId="36" borderId="13" xfId="0" applyFont="1" applyFill="1" applyBorder="1" applyNumberFormat="1">
      <alignment horizontal="left" vertical="center" wrapText="1"/>
      <protection locked="0"/>
    </xf>
    <xf numFmtId="0" fontId="22" fillId="39" borderId="13" xfId="0" applyFont="1" applyFill="1" applyBorder="1">
      <alignment horizontal="center" vertical="center" wrapText="1"/>
      <protection locked="0"/>
    </xf>
    <xf numFmtId="4" fontId="22" fillId="39" borderId="12" xfId="0" applyFont="1" applyFill="1" applyBorder="1" applyNumberFormat="1">
      <alignment horizontal="center" vertical="center" wrapText="1"/>
      <protection locked="0"/>
    </xf>
    <xf numFmtId="49" fontId="22" fillId="40" borderId="20" xfId="0" applyFont="1" applyFill="1" applyBorder="1" applyNumberFormat="1">
      <alignment horizontal="center" vertical="center" wrapText="1"/>
    </xf>
    <xf numFmtId="49" fontId="22" fillId="40" borderId="29" xfId="0" applyFont="1" applyFill="1" applyBorder="1" applyNumberFormat="1">
      <alignment horizontal="center" vertical="center" wrapText="1"/>
    </xf>
    <xf numFmtId="49" fontId="22" fillId="36" borderId="17" xfId="0" applyFont="1" applyFill="1" applyBorder="1" applyNumberFormat="1">
      <alignment horizontal="left" vertical="center" wrapText="1" indent="6"/>
      <protection locked="0"/>
    </xf>
    <xf numFmtId="49" fontId="22" fillId="36" borderId="36" xfId="0" applyFont="1" applyFill="1" applyBorder="1" applyNumberFormat="1">
      <alignment horizontal="left" vertical="center" wrapText="1" indent="6"/>
      <protection locked="0"/>
    </xf>
    <xf numFmtId="49" fontId="22" fillId="36" borderId="23" xfId="0" applyFont="1" applyFill="1" applyBorder="1" applyNumberFormat="1">
      <alignment horizontal="left" vertical="center" wrapText="1" indent="6"/>
      <protection locked="0"/>
    </xf>
    <xf numFmtId="4" fontId="22" fillId="39" borderId="12" xfId="0" applyFont="1" applyFill="1" applyBorder="1" applyNumberFormat="1">
      <alignment horizontal="left" vertical="center" wrapText="1" indent="1"/>
      <protection locked="0"/>
    </xf>
    <xf numFmtId="0" fontId="47" fillId="0" borderId="19" xfId="0" applyFont="1" applyBorder="1">
      <alignment horizontal="left" vertical="center" wrapText="1"/>
    </xf>
    <xf numFmtId="49" fontId="22" fillId="35" borderId="12" xfId="59" applyFont="1" applyFill="1" applyBorder="1" applyNumberFormat="1">
      <alignment horizontal="center" vertical="center" wrapText="1"/>
    </xf>
    <xf numFmtId="0" fontId="22" fillId="0" borderId="12" xfId="0" applyFont="1" applyBorder="1">
      <alignment horizontal="center" vertical="center" wrapText="1"/>
    </xf>
    <xf numFmtId="0" fontId="22" fillId="0" borderId="15" xfId="0" applyFont="1" applyBorder="1">
      <alignment horizontal="right" vertical="center" wrapText="1" indent="1"/>
    </xf>
    <xf numFmtId="0" fontId="22" fillId="0" borderId="13" xfId="0" applyFont="1" applyBorder="1">
      <alignment horizontal="right" vertical="center" wrapText="1" indent="1"/>
    </xf>
    <xf numFmtId="0" fontId="22" fillId="0" borderId="14" xfId="0" applyFont="1" applyBorder="1">
      <alignment horizontal="right" vertical="center" wrapText="1"/>
    </xf>
    <xf numFmtId="0" fontId="22" fillId="0" borderId="15" xfId="0" applyFont="1" applyBorder="1">
      <alignment horizontal="right" vertical="center" wrapText="1"/>
    </xf>
    <xf numFmtId="49" fontId="91" fillId="46" borderId="0" xfId="0" applyFont="1" applyFill="1" applyNumberFormat="1">
      <alignment horizontal="center" vertical="center" textRotation="90" wrapText="1"/>
    </xf>
    <xf numFmtId="0" fontId="72" fillId="0" borderId="0" xfId="0" applyFont="1">
      <alignment horizontal="center" vertical="center" wrapText="1"/>
    </xf>
    <xf numFmtId="49" fontId="91" fillId="46" borderId="0" xfId="0" applyFont="1" applyFill="1" applyNumberFormat="1">
      <alignment horizontal="center" vertical="center" textRotation="90" wrapText="1"/>
    </xf>
    <xf numFmtId="0" fontId="47" fillId="0" borderId="0" xfId="0" applyFont="1">
      <alignment horizontal="center" vertical="center" wrapText="1"/>
    </xf>
    <xf numFmtId="0" fontId="46" fillId="0" borderId="0" xfId="0" applyFont="1">
      <alignment horizontal="center" vertical="top"/>
    </xf>
    <xf numFmtId="0" fontId="22" fillId="0" borderId="23" xfId="0" applyFont="1" applyBorder="1">
      <alignment horizontal="left" vertical="center" wrapText="1"/>
    </xf>
    <xf numFmtId="0" fontId="0" fillId="0" borderId="14" xfId="0" applyFont="1" applyBorder="1">
      <alignment horizontal="right" vertical="center" wrapText="1" indent="1"/>
    </xf>
    <xf numFmtId="0" fontId="0" fillId="0" borderId="15" xfId="0" applyFont="1" applyBorder="1">
      <alignment horizontal="right" vertical="center" wrapText="1" indent="1"/>
    </xf>
    <xf numFmtId="0" fontId="0" fillId="0" borderId="13" xfId="0" applyFont="1" applyBorder="1">
      <alignment horizontal="right" vertical="center" wrapText="1" indent="1"/>
    </xf>
    <xf numFmtId="49" fontId="47" fillId="0" borderId="17" xfId="0" applyFont="1" applyBorder="1" applyNumberFormat="1">
      <alignment horizontal="center" vertical="center" wrapText="1"/>
    </xf>
    <xf numFmtId="49" fontId="47" fillId="0" borderId="36" xfId="0" applyFont="1" applyBorder="1" applyNumberFormat="1">
      <alignment horizontal="center" vertical="center" wrapText="1"/>
    </xf>
    <xf numFmtId="49" fontId="47" fillId="0" borderId="23" xfId="0" applyFont="1" applyBorder="1" applyNumberFormat="1">
      <alignment horizontal="center" vertical="center" wrapText="1"/>
    </xf>
    <xf numFmtId="0" fontId="0" fillId="34" borderId="12" xfId="0" applyFont="1" applyFill="1" applyBorder="1">
      <alignment horizontal="left" vertical="center" wrapText="1" indent="1"/>
    </xf>
    <xf numFmtId="0" fontId="44" fillId="0" borderId="0" xfId="0" applyFont="1">
      <alignment horizontal="left" vertical="top" wrapText="1"/>
    </xf>
    <xf numFmtId="0" fontId="22" fillId="0" borderId="0" xfId="0" applyFont="1">
      <alignment horizontal="left" vertical="top" wrapText="1"/>
    </xf>
    <xf numFmtId="0" fontId="22" fillId="35" borderId="14" xfId="0" applyFont="1" applyFill="1" applyBorder="1">
      <alignment horizontal="center" vertical="center" wrapText="1"/>
    </xf>
    <xf numFmtId="0" fontId="22" fillId="35" borderId="15" xfId="0" applyFont="1" applyFill="1" applyBorder="1">
      <alignment horizontal="center" vertical="center" wrapText="1"/>
    </xf>
    <xf numFmtId="0" fontId="22" fillId="35" borderId="20" xfId="0" applyFont="1" applyFill="1" applyBorder="1">
      <alignment horizontal="center" vertical="center" wrapText="1"/>
    </xf>
    <xf numFmtId="0" fontId="22" fillId="35" borderId="12" xfId="0" applyFont="1" applyFill="1" applyBorder="1">
      <alignment horizontal="center" vertical="center"/>
    </xf>
    <xf numFmtId="0" fontId="47" fillId="0" borderId="15" xfId="0" applyFont="1" applyBorder="1">
      <alignment horizontal="right" vertical="center" wrapText="1" indent="1"/>
    </xf>
    <xf numFmtId="0" fontId="47" fillId="0" borderId="13" xfId="0" applyFont="1" applyBorder="1">
      <alignment horizontal="right" vertical="center" wrapText="1" indent="1"/>
    </xf>
    <xf numFmtId="49" fontId="22" fillId="57" borderId="0" xfId="0" applyFont="1" applyFill="1" applyNumberFormat="1">
      <alignment horizontal="center" vertical="center" textRotation="90" wrapText="1"/>
    </xf>
    <xf numFmtId="0" fontId="22" fillId="34" borderId="14" xfId="0" applyFont="1" applyFill="1" applyBorder="1">
      <alignment horizontal="left" vertical="top" wrapText="1"/>
    </xf>
    <xf numFmtId="0" fontId="22" fillId="34" borderId="13" xfId="0" applyFont="1" applyFill="1" applyBorder="1">
      <alignment horizontal="left" vertical="top" wrapText="1"/>
    </xf>
    <xf numFmtId="0" fontId="22" fillId="34" borderId="14" xfId="0" applyFont="1" applyFill="1" applyBorder="1">
      <alignment horizontal="left" vertical="top" wrapText="1" indent="1"/>
    </xf>
    <xf numFmtId="0" fontId="22" fillId="34" borderId="13" xfId="0" applyFont="1" applyFill="1" applyBorder="1">
      <alignment horizontal="left" vertical="top" wrapText="1" indent="1"/>
    </xf>
    <xf numFmtId="49" fontId="22" fillId="0" borderId="0" xfId="0" applyFont="1" applyNumberFormat="1">
      <alignment vertical="center" wrapText="1"/>
    </xf>
    <xf numFmtId="0" fontId="35" fillId="0" borderId="24" xfId="0" applyFont="1" applyBorder="1">
      <alignment horizontal="center" vertical="center" wrapText="1"/>
    </xf>
    <xf numFmtId="0" fontId="0" fillId="35" borderId="14" xfId="0" applyFont="1" applyFill="1" applyBorder="1">
      <alignment horizontal="center" vertical="center" wrapText="1"/>
    </xf>
    <xf numFmtId="0" fontId="0" fillId="35" borderId="15" xfId="0" applyFont="1" applyFill="1" applyBorder="1">
      <alignment horizontal="center" vertical="center" wrapText="1"/>
    </xf>
    <xf numFmtId="0" fontId="0" fillId="35" borderId="13" xfId="0" applyFont="1" applyFill="1" applyBorder="1">
      <alignment horizontal="center" vertical="center" wrapText="1"/>
    </xf>
    <xf numFmtId="49" fontId="0" fillId="0" borderId="12" xfId="0" applyFont="1" applyBorder="1" applyNumberFormat="1">
      <alignment horizontal="center" vertical="center" wrapText="1"/>
    </xf>
    <xf numFmtId="0" fontId="0" fillId="0" borderId="12" xfId="0" applyFont="1" applyBorder="1">
      <alignment horizontal="left" vertical="center" wrapText="1" indent="1"/>
    </xf>
    <xf numFmtId="49" fontId="22" fillId="0" borderId="12" xfId="0" applyFont="1" applyBorder="1" applyNumberFormat="1">
      <alignment horizontal="left" vertical="center" wrapText="1"/>
    </xf>
    <xf numFmtId="49" fontId="22" fillId="0" borderId="14" xfId="0" applyFont="1" applyBorder="1" applyNumberFormat="1">
      <alignment horizontal="center" vertical="center" wrapText="1"/>
    </xf>
    <xf numFmtId="49" fontId="47" fillId="0" borderId="12" xfId="0" applyFont="1" applyBorder="1" applyNumberFormat="1">
      <alignment horizontal="center" vertical="center" wrapText="1"/>
    </xf>
    <xf numFmtId="0" fontId="22" fillId="0" borderId="0" xfId="0" applyFont="1">
      <alignment horizontal="left" vertical="center" wrapText="1"/>
    </xf>
    <xf numFmtId="0" fontId="22" fillId="35" borderId="12" xfId="0" applyFont="1" applyFill="1" applyBorder="1">
      <alignment horizontal="center" vertical="center" wrapText="1"/>
    </xf>
    <xf numFmtId="0" fontId="22" fillId="35" borderId="37" xfId="0" applyFont="1" applyFill="1" applyBorder="1">
      <alignment horizontal="center" vertical="center" wrapText="1"/>
    </xf>
    <xf numFmtId="0" fontId="22" fillId="35" borderId="20" xfId="0" applyFont="1" applyFill="1" applyBorder="1">
      <alignment horizontal="center" vertical="center" wrapText="1"/>
    </xf>
    <xf numFmtId="0" fontId="22" fillId="35" borderId="22" xfId="0" applyFont="1" applyFill="1" applyBorder="1">
      <alignment horizontal="center" vertical="center" wrapText="1"/>
    </xf>
    <xf numFmtId="0" fontId="22" fillId="35" borderId="24" xfId="0" applyFont="1" applyFill="1" applyBorder="1">
      <alignment horizontal="center" vertical="center" wrapText="1"/>
    </xf>
    <xf numFmtId="0" fontId="22" fillId="35" borderId="30" xfId="0" applyFont="1" applyFill="1" applyBorder="1">
      <alignment horizontal="center" vertical="center" wrapText="1"/>
    </xf>
    <xf numFmtId="0" fontId="22" fillId="35" borderId="29" xfId="0" applyFont="1" applyFill="1" applyBorder="1">
      <alignment horizontal="center" vertical="center" wrapText="1"/>
    </xf>
    <xf numFmtId="0" fontId="22" fillId="0" borderId="60" xfId="0" applyFont="1" applyBorder="1">
      <alignment horizontal="center" vertical="center"/>
    </xf>
    <xf numFmtId="0" fontId="22" fillId="0" borderId="61" xfId="0" applyFont="1" applyBorder="1">
      <alignment horizontal="center" vertical="center"/>
    </xf>
    <xf numFmtId="0" fontId="22" fillId="0" borderId="67" xfId="0" applyFont="1" applyBorder="1">
      <alignment horizontal="center" vertical="center"/>
    </xf>
    <xf numFmtId="0" fontId="0" fillId="0" borderId="12" xfId="0" applyFont="1" applyBorder="1">
      <alignment horizontal="center" vertical="center" wrapText="1"/>
    </xf>
    <xf numFmtId="0" fontId="22" fillId="0" borderId="73" xfId="0" applyFont="1" applyBorder="1">
      <alignment horizontal="center" vertical="center"/>
    </xf>
    <xf numFmtId="0" fontId="22" fillId="0" borderId="43" xfId="0" applyFont="1" applyBorder="1">
      <alignment horizontal="center" vertical="center"/>
    </xf>
    <xf numFmtId="49" fontId="0" fillId="0" borderId="12" xfId="0" applyFont="1" applyBorder="1" applyNumberFormat="1">
      <alignment vertical="center" wrapText="1"/>
    </xf>
    <xf numFmtId="49" fontId="0" fillId="0" borderId="12" xfId="0" applyFont="1" applyBorder="1" applyNumberFormat="1">
      <alignment horizontal="left" vertical="center" wrapText="1"/>
    </xf>
    <xf numFmtId="49" fontId="0" fillId="0" borderId="17" xfId="0" applyFont="1" applyBorder="1" applyNumberFormat="1">
      <alignment horizontal="center" vertical="center" wrapText="1"/>
    </xf>
    <xf numFmtId="49" fontId="0" fillId="0" borderId="36" xfId="0" applyFont="1" applyBorder="1" applyNumberFormat="1">
      <alignment horizontal="center" vertical="center" wrapText="1"/>
    </xf>
    <xf numFmtId="49" fontId="0" fillId="0" borderId="23" xfId="0" applyFont="1" applyBorder="1" applyNumberFormat="1">
      <alignment horizontal="center" vertical="center" wrapText="1"/>
    </xf>
    <xf numFmtId="49" fontId="0" fillId="0" borderId="12" xfId="0" applyFont="1" applyBorder="1" applyNumberFormat="1">
      <alignment horizontal="center" vertical="center" wrapText="1"/>
    </xf>
    <xf numFmtId="0" fontId="0" fillId="34" borderId="12" xfId="0" applyFont="1" applyFill="1" applyBorder="1">
      <alignment horizontal="center" vertical="center" wrapText="1"/>
    </xf>
    <xf numFmtId="49" fontId="0" fillId="0" borderId="12" xfId="0" applyFont="1" applyBorder="1" applyNumberFormat="1">
      <alignment horizontal="center" vertical="center"/>
    </xf>
    <xf numFmtId="49" fontId="22" fillId="0" borderId="14" xfId="0" applyFont="1" applyBorder="1" applyNumberFormat="1">
      <alignment horizontal="center" vertical="center" wrapText="1"/>
    </xf>
    <xf numFmtId="49" fontId="22" fillId="0" borderId="15" xfId="0" applyFont="1" applyBorder="1" applyNumberFormat="1">
      <alignment horizontal="center" vertical="center" wrapText="1"/>
    </xf>
    <xf numFmtId="49" fontId="22" fillId="0" borderId="13" xfId="0" applyFont="1" applyBorder="1" applyNumberFormat="1">
      <alignment horizontal="center" vertical="center" wrapText="1"/>
    </xf>
    <xf numFmtId="0" fontId="22" fillId="0" borderId="20" xfId="0" applyFont="1" applyBorder="1">
      <alignment horizontal="left" vertical="top" wrapText="1"/>
    </xf>
    <xf numFmtId="0" fontId="22" fillId="35" borderId="13" xfId="0" applyFont="1" applyFill="1" applyBorder="1">
      <alignment horizontal="center" vertical="center" wrapText="1"/>
    </xf>
    <xf numFmtId="0" fontId="22" fillId="41" borderId="12" xfId="0" applyFont="1" applyFill="1" applyBorder="1">
      <alignment horizontal="center" vertical="center" wrapText="1"/>
    </xf>
    <xf numFmtId="0" fontId="22" fillId="35" borderId="29" xfId="0" applyFont="1" applyFill="1" applyBorder="1">
      <alignment horizontal="center" vertical="center" wrapText="1"/>
    </xf>
    <xf numFmtId="0" fontId="22" fillId="41" borderId="13" xfId="0" applyFont="1" applyFill="1" applyBorder="1">
      <alignment horizontal="center" vertical="center" wrapText="1"/>
    </xf>
    <xf numFmtId="49" fontId="22" fillId="35" borderId="12" xfId="0" applyFont="1" applyFill="1" applyBorder="1" applyNumberFormat="1">
      <alignment horizontal="center" vertical="center" wrapText="1"/>
    </xf>
    <xf numFmtId="49" fontId="22" fillId="41" borderId="12" xfId="0" applyFont="1" applyFill="1" applyBorder="1" applyNumberFormat="1">
      <alignment horizontal="center" vertical="center" wrapText="1"/>
    </xf>
    <xf numFmtId="49" fontId="46" fillId="47" borderId="14" xfId="0" applyFont="1" applyFill="1" applyBorder="1" applyNumberFormat="1">
      <alignment horizontal="center" vertical="center" wrapText="1"/>
    </xf>
    <xf numFmtId="49" fontId="46" fillId="47" borderId="15" xfId="0" applyFont="1" applyFill="1" applyBorder="1" applyNumberFormat="1">
      <alignment horizontal="center" vertical="center" wrapText="1"/>
    </xf>
    <xf numFmtId="49" fontId="46" fillId="47" borderId="13" xfId="0" applyFont="1" applyFill="1" applyBorder="1" applyNumberFormat="1">
      <alignment horizontal="center" vertical="center" wrapText="1"/>
    </xf>
    <xf numFmtId="49" fontId="46" fillId="50" borderId="14" xfId="0" applyFont="1" applyFill="1" applyBorder="1" applyNumberFormat="1">
      <alignment horizontal="center" vertical="center" wrapText="1"/>
    </xf>
    <xf numFmtId="49" fontId="46" fillId="50" borderId="15" xfId="0" applyFont="1" applyFill="1" applyBorder="1" applyNumberFormat="1">
      <alignment horizontal="center" vertical="center" wrapText="1"/>
    </xf>
    <xf numFmtId="49" fontId="46" fillId="50" borderId="13" xfId="0" applyFont="1" applyFill="1" applyBorder="1" applyNumberFormat="1">
      <alignment horizontal="center" vertical="center" wrapText="1"/>
    </xf>
    <xf numFmtId="49" fontId="22" fillId="51" borderId="14" xfId="0" applyFont="1" applyFill="1" applyBorder="1" applyNumberFormat="1">
      <alignment horizontal="center" vertical="center" wrapText="1"/>
    </xf>
    <xf numFmtId="49" fontId="22" fillId="51" borderId="15" xfId="0" applyFont="1" applyFill="1" applyBorder="1" applyNumberFormat="1">
      <alignment horizontal="center" vertical="center" wrapText="1"/>
    </xf>
    <xf numFmtId="49" fontId="22" fillId="41" borderId="19" xfId="0" applyFont="1" applyFill="1" applyBorder="1" applyNumberFormat="1">
      <alignment horizontal="center" vertical="center" wrapText="1"/>
    </xf>
    <xf numFmtId="49" fontId="22" fillId="41" borderId="0" xfId="0" applyFont="1" applyFill="1" applyNumberFormat="1">
      <alignment horizontal="center" vertical="center" wrapText="1"/>
    </xf>
    <xf numFmtId="49" fontId="22" fillId="41" borderId="27" xfId="0" applyFont="1" applyFill="1" applyBorder="1" applyNumberFormat="1">
      <alignment horizontal="center" vertical="center" wrapText="1"/>
    </xf>
    <xf numFmtId="0" fontId="22" fillId="49" borderId="14" xfId="0" applyFont="1" applyFill="1" applyBorder="1">
      <alignment horizontal="center" vertical="center" wrapText="1"/>
    </xf>
    <xf numFmtId="0" fontId="22" fillId="49" borderId="15" xfId="0" applyFont="1" applyFill="1" applyBorder="1">
      <alignment horizontal="center" vertical="center" wrapText="1"/>
    </xf>
    <xf numFmtId="0" fontId="22" fillId="49" borderId="13" xfId="0" applyFont="1" applyFill="1" applyBorder="1">
      <alignment horizontal="center" vertical="center" wrapText="1"/>
    </xf>
    <xf numFmtId="0" fontId="22" fillId="41" borderId="14" xfId="0" applyFont="1" applyFill="1" applyBorder="1">
      <alignment horizontal="center" vertical="center" wrapText="1"/>
    </xf>
    <xf numFmtId="0" fontId="22" fillId="0" borderId="20" xfId="0" applyFont="1" applyBorder="1">
      <alignment horizontal="left" vertical="top" wrapText="1" indent="1"/>
    </xf>
    <xf numFmtId="0" fontId="22" fillId="0" borderId="17" xfId="0" applyFont="1" applyBorder="1">
      <alignment horizontal="left" vertical="top" wrapText="1" indent="1"/>
    </xf>
    <xf numFmtId="0" fontId="22" fillId="0" borderId="37" xfId="0" applyFont="1" applyBorder="1">
      <alignment horizontal="left" vertical="top" wrapText="1" indent="1"/>
    </xf>
    <xf numFmtId="0" fontId="22" fillId="0" borderId="29" xfId="0" applyFont="1" applyBorder="1">
      <alignment horizontal="left" vertical="center" wrapText="1" indent="1"/>
    </xf>
    <xf numFmtId="0" fontId="22" fillId="0" borderId="23" xfId="0" applyFont="1" applyBorder="1">
      <alignment horizontal="left" vertical="center" wrapText="1" indent="1"/>
    </xf>
    <xf numFmtId="0" fontId="22" fillId="0" borderId="30" xfId="0" applyFont="1" applyBorder="1">
      <alignment horizontal="left" vertical="center" wrapText="1" indent="1"/>
    </xf>
    <xf numFmtId="0" fontId="0" fillId="0" borderId="12" xfId="0" applyFont="1" applyBorder="1">
      <alignment horizontal="left" vertical="center" wrapText="1"/>
    </xf>
    <xf numFmtId="0" fontId="0" fillId="0" borderId="12" xfId="0" applyFont="1" applyBorder="1">
      <alignment horizontal="left" vertical="center" wrapText="1"/>
    </xf>
    <xf numFmtId="0" fontId="38" fillId="35" borderId="24" xfId="0" applyFont="1" applyFill="1" applyBorder="1">
      <alignment horizontal="center" vertical="top" wrapText="1"/>
    </xf>
    <xf numFmtId="49" fontId="0" fillId="35" borderId="23" xfId="0" applyFont="1" applyFill="1" applyBorder="1" applyNumberFormat="1">
      <alignment horizontal="center" vertical="center" wrapText="1"/>
    </xf>
    <xf numFmtId="0" fontId="0" fillId="34" borderId="23" xfId="0" applyFont="1" applyFill="1" applyBorder="1">
      <alignment horizontal="left" vertical="center" wrapText="1" indent="1"/>
    </xf>
    <xf numFmtId="0" fontId="22" fillId="0" borderId="15" xfId="0" applyFont="1" applyBorder="1">
      <alignment horizontal="left" vertical="top" wrapText="1" indent="1"/>
    </xf>
    <xf numFmtId="0" fontId="38" fillId="35" borderId="0" xfId="0" applyFont="1" applyFill="1">
      <alignment horizontal="center" vertical="top" wrapText="1"/>
    </xf>
    <xf numFmtId="49" fontId="35" fillId="35" borderId="19" xfId="0" applyFont="1" applyFill="1" applyBorder="1" applyNumberFormat="1">
      <alignment horizontal="center" vertical="center" wrapText="1"/>
    </xf>
    <xf numFmtId="0" fontId="0" fillId="0" borderId="17" xfId="0" applyFont="1" applyBorder="1">
      <alignment horizontal="left" vertical="center" wrapText="1"/>
    </xf>
    <xf numFmtId="0" fontId="0" fillId="0" borderId="17" xfId="0" applyFont="1" applyBorder="1">
      <alignment horizontal="left" vertical="center" wrapText="1"/>
    </xf>
    <xf numFmtId="0" fontId="0" fillId="34" borderId="14" xfId="0" applyFont="1" applyFill="1" applyBorder="1">
      <alignment horizontal="left" vertical="center" wrapText="1" indent="1"/>
    </xf>
    <xf numFmtId="0" fontId="0" fillId="35" borderId="17" xfId="0" applyFont="1" applyFill="1" applyBorder="1">
      <alignment horizontal="left" vertical="top" wrapText="1"/>
    </xf>
    <xf numFmtId="0" fontId="0" fillId="35" borderId="36" xfId="0" applyFont="1" applyFill="1" applyBorder="1">
      <alignment horizontal="left" vertical="top" wrapText="1"/>
    </xf>
    <xf numFmtId="0" fontId="0" fillId="35" borderId="23" xfId="0" applyFont="1" applyFill="1" applyBorder="1">
      <alignment horizontal="left" vertical="top" wrapText="1"/>
    </xf>
    <xf numFmtId="4" fontId="22" fillId="0" borderId="17" xfId="0" applyFont="1" applyBorder="1" applyNumberFormat="1">
      <alignment horizontal="center" vertical="center" wrapText="1"/>
    </xf>
    <xf numFmtId="4" fontId="22" fillId="0" borderId="23" xfId="0" applyFont="1" applyBorder="1" applyNumberFormat="1">
      <alignment horizontal="center" vertical="center" wrapText="1"/>
    </xf>
    <xf numFmtId="4" fontId="22" fillId="0" borderId="36" xfId="0" applyFont="1" applyBorder="1" applyNumberFormat="1">
      <alignment horizontal="center" vertical="center" wrapText="1"/>
    </xf>
    <xf numFmtId="0" fontId="22" fillId="0" borderId="29" xfId="0" applyFont="1" applyBorder="1">
      <alignment horizontal="left" vertical="top" wrapText="1"/>
    </xf>
    <xf numFmtId="213" fontId="22" fillId="0" borderId="17" xfId="0" applyFont="1" applyBorder="1" applyNumberFormat="1">
      <alignment horizontal="center" vertical="center" wrapText="1"/>
    </xf>
    <xf numFmtId="213" fontId="22" fillId="0" borderId="23" xfId="0" applyFont="1" applyBorder="1" applyNumberFormat="1">
      <alignment horizontal="center" vertical="center" wrapText="1"/>
    </xf>
    <xf numFmtId="213" fontId="22" fillId="0" borderId="14" xfId="0" applyFont="1" applyBorder="1" applyNumberFormat="1">
      <alignment horizontal="center" vertical="center" wrapText="1"/>
    </xf>
    <xf numFmtId="213" fontId="22" fillId="0" borderId="15" xfId="0" applyFont="1" applyBorder="1" applyNumberFormat="1">
      <alignment horizontal="center" vertical="center" wrapText="1"/>
    </xf>
    <xf numFmtId="213" fontId="22" fillId="0" borderId="13" xfId="0" applyFont="1" applyBorder="1" applyNumberFormat="1">
      <alignment horizontal="center" vertical="center" wrapText="1"/>
    </xf>
    <xf numFmtId="14" fontId="22" fillId="40" borderId="12" xfId="0" applyFont="1" applyFill="1" applyBorder="1" applyNumberFormat="1">
      <alignment horizontal="left" vertical="center" wrapText="1"/>
    </xf>
    <xf numFmtId="49" fontId="22" fillId="40" borderId="14" xfId="0" applyFont="1" applyFill="1" applyBorder="1" applyNumberFormat="1">
      <alignment horizontal="left" vertical="center" wrapText="1"/>
    </xf>
    <xf numFmtId="49" fontId="22" fillId="40" borderId="12" xfId="0" applyFont="1" applyFill="1" applyBorder="1" applyNumberFormat="1">
      <alignment horizontal="left" vertical="center" wrapText="1"/>
    </xf>
    <xf numFmtId="0" fontId="22" fillId="34" borderId="29" xfId="0" applyFont="1" applyFill="1" applyBorder="1">
      <alignment horizontal="left" vertical="center" wrapText="1"/>
    </xf>
    <xf numFmtId="14" fontId="22" fillId="40" borderId="23" xfId="0" applyFont="1" applyFill="1" applyBorder="1" applyNumberFormat="1">
      <alignment horizontal="left" vertical="center" wrapText="1"/>
    </xf>
    <xf numFmtId="49" fontId="22" fillId="0" borderId="12" xfId="0" applyFont="1" applyBorder="1" applyNumberFormat="1">
      <alignment horizontal="left" vertical="top" wrapText="1"/>
    </xf>
    <xf numFmtId="49" fontId="127" fillId="0" borderId="12" xfId="0" applyFont="1" applyBorder="1" applyNumberFormat="1">
      <alignment horizontal="left" vertical="top" wrapText="1"/>
    </xf>
    <xf numFmtId="0" fontId="22" fillId="0" borderId="15" xfId="0" applyFont="1" applyBorder="1">
      <alignment horizontal="left" vertical="center" wrapText="1"/>
    </xf>
    <xf numFmtId="213" fontId="22" fillId="0" borderId="36" xfId="0" applyFont="1" applyBorder="1" applyNumberFormat="1">
      <alignment horizontal="center" vertical="center" wrapText="1"/>
    </xf>
    <xf numFmtId="213" fontId="22" fillId="0" borderId="12" xfId="0" applyFont="1" applyBorder="1" applyNumberFormat="1">
      <alignment horizontal="center" vertical="center" wrapText="1"/>
    </xf>
    <xf numFmtId="213" fontId="44" fillId="0" borderId="19" xfId="0" applyFont="1" applyBorder="1" applyNumberFormat="1">
      <alignment horizontal="center" vertical="center" wrapText="1"/>
    </xf>
    <xf numFmtId="49" fontId="22" fillId="40" borderId="30" xfId="0" applyFont="1" applyFill="1" applyBorder="1" applyNumberFormat="1">
      <alignment horizontal="left" vertical="center" wrapText="1"/>
    </xf>
    <xf numFmtId="49" fontId="22" fillId="40" borderId="23" xfId="0" applyFont="1" applyFill="1" applyBorder="1" applyNumberFormat="1">
      <alignment horizontal="left" vertical="center" wrapText="1"/>
    </xf>
    <xf numFmtId="49" fontId="22" fillId="0" borderId="0" xfId="0" applyFont="1" applyNumberFormat="1">
      <alignment horizontal="left" vertical="top" wrapText="1"/>
    </xf>
    <xf numFmtId="0" fontId="22" fillId="0" borderId="13" xfId="0" applyFont="1" applyBorder="1">
      <alignment horizontal="left" vertical="center" wrapText="1" indent="1"/>
    </xf>
    <xf numFmtId="0" fontId="22" fillId="0" borderId="14" xfId="0" applyFont="1" applyBorder="1">
      <alignment horizontal="left" vertical="center" wrapText="1" indent="1"/>
    </xf>
    <xf numFmtId="49" fontId="22" fillId="0" borderId="0" xfId="0" applyFont="1" applyNumberFormat="1">
      <alignment horizontal="left" vertical="top" wrapText="1"/>
    </xf>
    <xf numFmtId="49" fontId="0" fillId="0" borderId="15" xfId="0" applyFont="1" applyBorder="1" applyNumberFormat="1">
      <alignment horizontal="left" vertical="center" indent="1"/>
    </xf>
    <xf numFmtId="49" fontId="22" fillId="36" borderId="12" xfId="0" applyFont="1" applyFill="1" applyBorder="1" applyNumberFormat="1">
      <alignment horizontal="left" vertical="center" wrapText="1"/>
      <protection locked="0"/>
    </xf>
    <xf numFmtId="49" fontId="0" fillId="39" borderId="12" xfId="0" applyFont="1" applyFill="1" applyBorder="1" applyNumberFormat="1">
      <alignment horizontal="left" vertical="center" wrapText="1"/>
      <protection locked="0"/>
    </xf>
    <xf numFmtId="49" fontId="0" fillId="0" borderId="12" xfId="0" applyFont="1" applyBorder="1" applyNumberFormat="1">
      <alignment vertical="top"/>
    </xf>
    <xf numFmtId="0" fontId="0" fillId="40" borderId="12" xfId="0" applyFont="1" applyFill="1" applyBorder="1">
      <alignment horizontal="left" vertical="center" wrapText="1"/>
    </xf>
    <xf numFmtId="49" fontId="0" fillId="40" borderId="12" xfId="0" applyFont="1" applyFill="1" applyBorder="1" applyNumberFormat="1">
      <alignment horizontal="left" vertical="center" wrapText="1"/>
    </xf>
    <xf numFmtId="3" fontId="22" fillId="39" borderId="12" xfId="0" applyFont="1" applyFill="1" applyBorder="1" applyNumberFormat="1">
      <alignment horizontal="center" vertical="center" wrapText="1"/>
      <protection locked="0"/>
    </xf>
    <xf numFmtId="49" fontId="22" fillId="40" borderId="14" xfId="0" applyFont="1" applyFill="1" applyBorder="1" applyNumberFormat="1">
      <alignment horizontal="center" vertical="center" wrapText="1"/>
    </xf>
    <xf numFmtId="49" fontId="123" fillId="0" borderId="12" xfId="0" applyFont="1" applyBorder="1" applyNumberFormat="1">
      <alignment horizontal="center" vertical="center" wrapText="1"/>
    </xf>
    <xf numFmtId="0" fontId="44" fillId="0" borderId="13" xfId="0" applyFont="1" applyBorder="1">
      <alignment horizontal="center" vertical="center"/>
    </xf>
    <xf numFmtId="49" fontId="22" fillId="40" borderId="17" xfId="0" applyFont="1" applyFill="1" applyBorder="1" applyNumberFormat="1">
      <alignment horizontal="left" vertical="center" wrapText="1" indent="1"/>
    </xf>
    <xf numFmtId="49" fontId="22" fillId="40" borderId="36" xfId="0" applyFont="1" applyFill="1" applyBorder="1" applyNumberFormat="1">
      <alignment horizontal="left" vertical="center" wrapText="1" indent="1"/>
    </xf>
    <xf numFmtId="49" fontId="22" fillId="40" borderId="23" xfId="0" applyFont="1" applyFill="1" applyBorder="1" applyNumberFormat="1">
      <alignment horizontal="left" vertical="center" wrapText="1" indent="1"/>
    </xf>
    <xf numFmtId="49" fontId="22" fillId="0" borderId="12" xfId="0" applyFont="1" applyBorder="1" applyNumberFormat="1">
      <alignment horizontal="left" vertical="center" wrapText="1"/>
    </xf>
    <xf numFmtId="49" fontId="22" fillId="34" borderId="12" xfId="0" applyFont="1" applyFill="1" applyBorder="1" applyNumberFormat="1">
      <alignment horizontal="left" vertical="center" wrapText="1"/>
    </xf>
    <xf numFmtId="49" fontId="22" fillId="0" borderId="13" xfId="0" applyFont="1" applyBorder="1" applyNumberFormat="1">
      <alignment horizontal="center" vertical="center" wrapText="1"/>
    </xf>
    <xf numFmtId="49" fontId="22" fillId="40" borderId="13" xfId="0" applyFont="1" applyFill="1" applyBorder="1" applyNumberFormat="1">
      <alignment horizontal="left" vertical="center" wrapText="1"/>
    </xf>
    <xf numFmtId="49" fontId="22" fillId="39" borderId="12" xfId="0" applyFont="1" applyFill="1" applyBorder="1" applyNumberFormat="1">
      <alignment horizontal="left" vertical="center" wrapText="1"/>
      <protection locked="0"/>
    </xf>
    <xf numFmtId="0" fontId="39" fillId="37" borderId="15" xfId="0" applyFont="1" applyFill="1" applyBorder="1">
      <alignment horizontal="left" vertical="center"/>
    </xf>
    <xf numFmtId="0" fontId="39" fillId="37" borderId="13" xfId="0" applyFont="1" applyFill="1" applyBorder="1">
      <alignment horizontal="left" vertical="center"/>
    </xf>
    <xf numFmtId="0" fontId="39" fillId="37" borderId="19" xfId="0" applyFont="1" applyFill="1" applyBorder="1">
      <alignment horizontal="left" vertical="center"/>
    </xf>
    <xf numFmtId="0" fontId="39" fillId="37" borderId="20" xfId="0" applyFont="1" applyFill="1" applyBorder="1">
      <alignment horizontal="left" vertical="center"/>
    </xf>
    <xf numFmtId="49" fontId="22" fillId="39" borderId="17" xfId="0" applyFont="1" applyFill="1" applyBorder="1" applyNumberFormat="1">
      <alignment horizontal="left" vertical="center" wrapText="1"/>
      <protection locked="0"/>
    </xf>
    <xf numFmtId="49" fontId="22" fillId="0" borderId="36" xfId="0" applyFont="1" applyBorder="1" applyNumberFormat="1">
      <alignment horizontal="center" vertical="center"/>
    </xf>
    <xf numFmtId="0" fontId="22" fillId="40" borderId="17" xfId="0" applyFont="1" applyFill="1" applyBorder="1">
      <alignment horizontal="left" vertical="center" wrapText="1"/>
    </xf>
    <xf numFmtId="0" fontId="22" fillId="40" borderId="36" xfId="0" applyFont="1" applyFill="1" applyBorder="1">
      <alignment horizontal="left" vertical="center" wrapText="1"/>
    </xf>
    <xf numFmtId="49" fontId="22" fillId="40" borderId="17" xfId="0" applyFont="1" applyFill="1" applyBorder="1" applyNumberFormat="1">
      <alignment horizontal="left" vertical="center" wrapText="1"/>
    </xf>
    <xf numFmtId="0" fontId="22" fillId="0" borderId="24" xfId="0" applyFont="1" applyBorder="1">
      <alignment horizontal="center" vertical="center"/>
    </xf>
    <xf numFmtId="49" fontId="22" fillId="36" borderId="17" xfId="0" applyFont="1" applyFill="1" applyBorder="1" applyNumberFormat="1">
      <alignment horizontal="left" vertical="center" wrapText="1"/>
      <protection locked="0"/>
    </xf>
    <xf numFmtId="0" fontId="0" fillId="0" borderId="12" xfId="0" applyFont="1" applyBorder="1">
      <alignment horizontal="center" vertical="center"/>
    </xf>
    <xf numFmtId="49" fontId="0" fillId="0" borderId="12" xfId="0" applyFont="1" applyBorder="1" applyNumberFormat="1">
      <alignment horizontal="left" vertical="top"/>
    </xf>
    <xf numFmtId="0" fontId="22" fillId="40" borderId="12" xfId="0" applyFont="1" applyFill="1" applyBorder="1">
      <alignment horizontal="left" vertical="top" wrapText="1"/>
    </xf>
    <xf numFmtId="49" fontId="0" fillId="40" borderId="12" xfId="0" applyFont="1" applyFill="1" applyBorder="1" applyNumberFormat="1">
      <alignment horizontal="left" vertical="top"/>
    </xf>
    <xf numFmtId="49" fontId="0" fillId="36" borderId="12" xfId="0" applyFont="1" applyFill="1" applyBorder="1" applyNumberFormat="1">
      <alignment horizontal="left" vertical="top"/>
      <protection locked="0"/>
    </xf>
    <xf numFmtId="49" fontId="46" fillId="0" borderId="14" xfId="0" applyFont="1" applyBorder="1" applyNumberFormat="1">
      <alignment horizontal="center" vertical="center" wrapText="1"/>
    </xf>
    <xf numFmtId="49" fontId="39" fillId="37" borderId="51" xfId="0" applyFont="1" applyFill="1" applyBorder="1" applyNumberFormat="1">
      <alignment horizontal="left" vertical="center" indent="1"/>
    </xf>
    <xf numFmtId="49" fontId="22" fillId="34" borderId="12" xfId="0" applyFont="1" applyFill="1" applyBorder="1" applyNumberFormat="1">
      <alignment horizontal="center" vertical="center" wrapText="1"/>
    </xf>
    <xf numFmtId="49" fontId="22" fillId="34" borderId="74" xfId="0" applyFont="1" applyFill="1" applyBorder="1" applyNumberFormat="1">
      <alignment horizontal="center" vertical="center" wrapText="1"/>
    </xf>
    <xf numFmtId="3" fontId="46" fillId="0" borderId="12" xfId="0" applyFont="1" applyBorder="1" applyNumberFormat="1">
      <alignment horizontal="center" vertical="center" wrapText="1"/>
    </xf>
    <xf numFmtId="49" fontId="46" fillId="0" borderId="12" xfId="0" applyFont="1" applyBorder="1" applyNumberFormat="1">
      <alignment horizontal="left" vertical="center" wrapText="1"/>
    </xf>
    <xf numFmtId="49" fontId="46" fillId="0" borderId="13" xfId="0" applyFont="1" applyBorder="1" applyNumberFormat="1">
      <alignment horizontal="center" vertical="center" wrapText="1"/>
    </xf>
    <xf numFmtId="49" fontId="46" fillId="0" borderId="13" xfId="0" applyFont="1" applyBorder="1" applyNumberFormat="1">
      <alignment horizontal="left" vertical="center" wrapText="1"/>
    </xf>
    <xf numFmtId="49" fontId="46" fillId="0" borderId="12" xfId="0" applyFont="1" applyBorder="1" applyNumberFormat="1">
      <alignment horizontal="left" vertical="center" wrapText="1"/>
    </xf>
    <xf numFmtId="49" fontId="125" fillId="0" borderId="13" xfId="0" applyFont="1" applyBorder="1" applyNumberFormat="1">
      <alignment horizontal="center" vertical="center" wrapText="1"/>
    </xf>
    <xf numFmtId="0" fontId="94" fillId="0" borderId="12" xfId="0" applyFont="1" applyBorder="1">
      <alignment horizontal="center" vertical="center"/>
    </xf>
    <xf numFmtId="49" fontId="22" fillId="40" borderId="12" xfId="0" applyFont="1" applyFill="1" applyBorder="1" applyNumberFormat="1">
      <alignment horizontal="center" vertical="top" wrapText="1"/>
    </xf>
    <xf numFmtId="49" fontId="22" fillId="40" borderId="14" xfId="0" applyFont="1" applyFill="1" applyBorder="1" applyNumberFormat="1">
      <alignment horizontal="center" vertical="top" wrapText="1"/>
    </xf>
    <xf numFmtId="0" fontId="22" fillId="36" borderId="12" xfId="0" applyFont="1" applyFill="1" applyBorder="1">
      <alignment horizontal="left" vertical="top" wrapText="1"/>
      <protection locked="0"/>
    </xf>
    <xf numFmtId="212" fontId="0" fillId="36" borderId="12" xfId="0" applyFont="1" applyFill="1" applyBorder="1" applyNumberFormat="1">
      <alignment horizontal="center" vertical="top" wrapText="1"/>
      <protection locked="0"/>
    </xf>
    <xf numFmtId="49" fontId="0" fillId="36" borderId="12" xfId="0" applyFont="1" applyFill="1" applyBorder="1" applyNumberFormat="1">
      <alignment horizontal="center" vertical="top" wrapText="1"/>
      <protection locked="0"/>
    </xf>
    <xf numFmtId="49" fontId="22" fillId="39" borderId="12" xfId="0" applyFont="1" applyFill="1" applyBorder="1" applyNumberFormat="1">
      <alignment horizontal="left" vertical="top" wrapText="1"/>
      <protection locked="0"/>
    </xf>
    <xf numFmtId="49" fontId="0" fillId="34" borderId="12" xfId="0" applyFont="1" applyFill="1" applyBorder="1" applyNumberFormat="1">
      <alignment horizontal="center" vertical="top" wrapText="1"/>
    </xf>
    <xf numFmtId="0" fontId="22" fillId="34" borderId="12" xfId="0" applyFont="1" applyFill="1" applyBorder="1">
      <alignment horizontal="center" vertical="top" wrapText="1"/>
    </xf>
    <xf numFmtId="0" fontId="0" fillId="0" borderId="12" xfId="0" applyFont="1" applyBorder="1">
      <alignment horizontal="center" vertical="center"/>
    </xf>
    <xf numFmtId="0" fontId="0" fillId="0" borderId="37" xfId="0" applyFont="1" applyBorder="1">
      <alignment horizontal="center" vertical="center"/>
    </xf>
    <xf numFmtId="0" fontId="0" fillId="0" borderId="22" xfId="0" applyFont="1" applyBorder="1">
      <alignment horizontal="center" vertical="center"/>
    </xf>
    <xf numFmtId="49" fontId="0" fillId="0" borderId="0" xfId="0" applyFont="1" applyNumberFormat="1">
      <alignment horizontal="left" vertical="top"/>
    </xf>
    <xf numFmtId="14" fontId="81" fillId="0" borderId="17" xfId="0" applyFont="1" applyBorder="1" applyNumberFormat="1">
      <alignment horizontal="center" vertical="center" wrapText="1"/>
    </xf>
    <xf numFmtId="14" fontId="81" fillId="0" borderId="36" xfId="0" applyFont="1" applyBorder="1" applyNumberFormat="1">
      <alignment horizontal="center" vertical="center" wrapText="1"/>
    </xf>
    <xf numFmtId="0" fontId="75" fillId="0" borderId="12" xfId="0" applyFont="1" applyBorder="1">
      <alignment horizontal="left" vertical="center" wrapText="1" indent="1"/>
    </xf>
    <xf numFmtId="0" fontId="75" fillId="0" borderId="12" xfId="0" applyFont="1" applyBorder="1">
      <alignment horizontal="left" vertical="top" indent="1"/>
    </xf>
    <xf numFmtId="0" fontId="35" fillId="0" borderId="12" xfId="0" applyFont="1" applyBorder="1">
      <alignment horizontal="center" vertical="center" wrapText="1"/>
    </xf>
    <xf numFmtId="0" fontId="22" fillId="40" borderId="12" xfId="0" applyFont="1" applyFill="1" applyBorder="1">
      <alignment horizontal="left" vertical="center" wrapText="1" indent="1"/>
    </xf>
    <xf numFmtId="49" fontId="0" fillId="0" borderId="19" xfId="0" applyFont="1" applyBorder="1" applyNumberFormat="1">
      <alignment horizontal="left" vertical="center" wrapText="1"/>
    </xf>
    <xf numFmtId="49" fontId="0" fillId="0" borderId="0" xfId="0" applyFont="1" applyNumberFormat="1">
      <alignment horizontal="left" vertical="center" wrapText="1"/>
    </xf>
    <xf numFmtId="0" fontId="0" fillId="0" borderId="19" xfId="0" applyFont="1" applyBorder="1">
      <alignment horizontal="left" vertical="center" wrapText="1"/>
    </xf>
    <xf numFmtId="0" fontId="0" fillId="0" borderId="0" xfId="0" applyFont="1">
      <alignment horizontal="left" vertical="center" wrapText="1"/>
    </xf>
    <xf numFmtId="0" fontId="0" fillId="0" borderId="19" xfId="0" applyFont="1" applyBorder="1">
      <alignment horizontal="center" vertical="center"/>
    </xf>
    <xf numFmtId="0" fontId="0" fillId="0" borderId="0" xfId="0" applyFont="1">
      <alignment horizontal="center" vertical="center"/>
    </xf>
    <xf numFmtId="0" fontId="0" fillId="39" borderId="12" xfId="0" applyFont="1" applyFill="1" applyBorder="1">
      <alignment horizontal="left" vertical="center" wrapText="1"/>
      <protection locked="0"/>
    </xf>
    <xf numFmtId="49" fontId="0" fillId="39" borderId="14" xfId="0" applyFont="1" applyFill="1" applyBorder="1" applyNumberFormat="1">
      <alignment horizontal="left" vertical="center" wrapText="1"/>
      <protection locked="0"/>
    </xf>
    <xf numFmtId="49" fontId="0" fillId="39" borderId="12" xfId="0" applyFont="1" applyFill="1" applyBorder="1" applyNumberFormat="1">
      <alignment horizontal="left" vertical="center" wrapText="1"/>
      <protection locked="0"/>
    </xf>
    <xf numFmtId="49" fontId="36" fillId="0" borderId="17" xfId="0" applyFont="1" applyBorder="1" applyNumberFormat="1">
      <alignment horizontal="center" vertical="top" wrapText="1"/>
    </xf>
    <xf numFmtId="49" fontId="22" fillId="0" borderId="36" xfId="0" applyFont="1" applyBorder="1" applyNumberFormat="1">
      <alignment horizontal="center" vertical="top" wrapText="1"/>
    </xf>
    <xf numFmtId="49" fontId="22" fillId="0" borderId="23" xfId="0" applyFont="1" applyBorder="1" applyNumberFormat="1">
      <alignment horizontal="center" vertical="top" wrapText="1"/>
    </xf>
    <xf numFmtId="49" fontId="22" fillId="39" borderId="14" xfId="0" applyFont="1" applyFill="1" applyBorder="1" applyNumberFormat="1">
      <alignment horizontal="left" vertical="center" wrapText="1" indent="1"/>
      <protection locked="0"/>
    </xf>
    <xf numFmtId="49" fontId="22" fillId="39" borderId="12" xfId="0" applyFont="1" applyFill="1" applyBorder="1" applyNumberFormat="1">
      <alignment horizontal="left" vertical="center" wrapText="1" indent="1"/>
      <protection locked="0"/>
    </xf>
    <xf numFmtId="0" fontId="0" fillId="0" borderId="12" xfId="0" applyFont="1" applyBorder="1">
      <alignment horizontal="center" vertical="center" wrapText="1"/>
    </xf>
    <xf numFmtId="49" fontId="22" fillId="0" borderId="17" xfId="0" applyFont="1" applyBorder="1" applyNumberFormat="1">
      <alignment horizontal="center" vertical="center" wrapText="1"/>
    </xf>
    <xf numFmtId="49" fontId="22" fillId="0" borderId="36" xfId="0" applyFont="1" applyBorder="1" applyNumberFormat="1">
      <alignment horizontal="center" vertical="center" wrapText="1"/>
    </xf>
    <xf numFmtId="49" fontId="22" fillId="0" borderId="23" xfId="0" applyFont="1" applyBorder="1" applyNumberFormat="1">
      <alignment horizontal="center" vertical="center" wrapText="1"/>
    </xf>
    <xf numFmtId="49" fontId="22" fillId="0" borderId="12" xfId="0" applyFont="1" applyBorder="1" applyNumberFormat="1">
      <alignment horizontal="center" vertical="top" wrapText="1"/>
    </xf>
    <xf numFmtId="0" fontId="0" fillId="34" borderId="12" xfId="0" applyFont="1" applyFill="1" applyBorder="1">
      <alignment horizontal="left" vertical="top" wrapText="1" indent="1"/>
    </xf>
    <xf numFmtId="49" fontId="22" fillId="40" borderId="17" xfId="0" applyFont="1" applyFill="1" applyBorder="1" applyNumberFormat="1">
      <alignment horizontal="center" vertical="top" wrapText="1"/>
    </xf>
    <xf numFmtId="49" fontId="22" fillId="40" borderId="23" xfId="0" applyFont="1" applyFill="1" applyBorder="1" applyNumberFormat="1">
      <alignment horizontal="center" vertical="top" wrapText="1"/>
    </xf>
    <xf numFmtId="212" fontId="0" fillId="39" borderId="12" xfId="0" applyFont="1" applyFill="1" applyBorder="1" applyNumberFormat="1">
      <alignment horizontal="center" vertical="top" wrapText="1"/>
      <protection locked="0"/>
    </xf>
    <xf numFmtId="49" fontId="0" fillId="39" borderId="12" xfId="0" applyFont="1" applyFill="1" applyBorder="1" applyNumberFormat="1">
      <alignment horizontal="center" vertical="top" wrapText="1"/>
      <protection locked="0"/>
    </xf>
    <xf numFmtId="49" fontId="22" fillId="40" borderId="12" xfId="0" applyFont="1" applyFill="1" applyBorder="1" applyNumberFormat="1">
      <alignment horizontal="left" vertical="top" wrapText="1"/>
    </xf>
    <xf numFmtId="49" fontId="46" fillId="0" borderId="17" xfId="0" applyFont="1" applyBorder="1" applyNumberFormat="1">
      <alignment horizontal="left" vertical="center" wrapText="1" indent="1"/>
    </xf>
    <xf numFmtId="49" fontId="46" fillId="0" borderId="36" xfId="0" applyFont="1" applyBorder="1" applyNumberFormat="1">
      <alignment horizontal="left" vertical="center" wrapText="1" indent="1"/>
    </xf>
    <xf numFmtId="49" fontId="46" fillId="0" borderId="23" xfId="0" applyFont="1" applyBorder="1" applyNumberFormat="1">
      <alignment horizontal="left" vertical="center" wrapText="1" indent="1"/>
    </xf>
    <xf numFmtId="0" fontId="44" fillId="0" borderId="12" xfId="0" applyFont="1" applyBorder="1">
      <alignment horizontal="center" vertical="center"/>
    </xf>
    <xf numFmtId="49" fontId="95" fillId="0" borderId="12" xfId="0" applyFont="1" applyBorder="1" applyNumberFormat="1">
      <alignment horizontal="center" vertical="top" wrapText="1"/>
    </xf>
    <xf numFmtId="0" fontId="95" fillId="41" borderId="12" xfId="0" applyFont="1" applyFill="1" applyBorder="1">
      <alignment horizontal="center" vertical="center" wrapText="1"/>
    </xf>
    <xf numFmtId="49" fontId="95" fillId="0" borderId="37" xfId="0" applyFont="1" applyBorder="1" applyNumberFormat="1">
      <alignment horizontal="center" vertical="top" wrapText="1"/>
    </xf>
    <xf numFmtId="49" fontId="95" fillId="0" borderId="30" xfId="0" applyFont="1" applyBorder="1" applyNumberFormat="1">
      <alignment horizontal="center" vertical="top" wrapText="1"/>
    </xf>
    <xf numFmtId="49" fontId="95" fillId="0" borderId="14" xfId="0" applyFont="1" applyBorder="1" applyNumberFormat="1">
      <alignment horizontal="center" vertical="top" wrapText="1"/>
    </xf>
    <xf numFmtId="49" fontId="95" fillId="0" borderId="15" xfId="0" applyFont="1" applyBorder="1" applyNumberFormat="1">
      <alignment horizontal="center" vertical="top" wrapText="1"/>
    </xf>
    <xf numFmtId="49" fontId="95" fillId="0" borderId="13" xfId="0" applyFont="1" applyBorder="1" applyNumberFormat="1">
      <alignment horizontal="center" vertical="top" wrapText="1"/>
    </xf>
    <xf numFmtId="49" fontId="95" fillId="0" borderId="17" xfId="0" applyFont="1" applyBorder="1" applyNumberFormat="1">
      <alignment horizontal="center" vertical="top" wrapText="1"/>
    </xf>
    <xf numFmtId="49" fontId="95" fillId="0" borderId="36" xfId="0" applyFont="1" applyBorder="1" applyNumberFormat="1">
      <alignment horizontal="center" vertical="top" wrapText="1"/>
    </xf>
    <xf numFmtId="49" fontId="95" fillId="0" borderId="23" xfId="0" applyFont="1" applyBorder="1" applyNumberFormat="1">
      <alignment horizontal="center" vertical="top" wrapText="1"/>
    </xf>
    <xf numFmtId="212" fontId="0" fillId="39" borderId="12" xfId="0" applyFont="1" applyFill="1" applyBorder="1" applyNumberFormat="1">
      <alignment horizontal="center" vertical="center" wrapText="1"/>
      <protection locked="0"/>
    </xf>
    <xf numFmtId="0" fontId="45" fillId="0" borderId="19" xfId="0" applyFont="1" applyBorder="1">
      <alignment horizontal="left" vertical="center" wrapText="1" indent="1"/>
    </xf>
    <xf numFmtId="0" fontId="45" fillId="0" borderId="27" xfId="0" applyFont="1" applyBorder="1">
      <alignment horizontal="left" vertical="center" wrapText="1" indent="1"/>
    </xf>
    <xf numFmtId="0" fontId="22" fillId="0" borderId="0" xfId="0" applyFont="1">
      <alignment horizontal="right" vertical="center" wrapText="1"/>
    </xf>
    <xf numFmtId="4" fontId="22" fillId="34" borderId="12" xfId="0" applyFont="1" applyFill="1" applyBorder="1" applyNumberFormat="1">
      <alignment horizontal="left" vertical="center" wrapText="1"/>
    </xf>
    <xf numFmtId="0" fontId="46" fillId="0" borderId="0" xfId="0" applyFont="1">
      <alignment horizontal="center" vertical="center" wrapText="1"/>
    </xf>
    <xf numFmtId="49" fontId="0" fillId="0" borderId="12" xfId="0" applyFont="1" applyBorder="1" applyNumberFormat="1">
      <alignment horizontal="center" vertical="top"/>
    </xf>
    <xf numFmtId="49" fontId="0" fillId="0" borderId="14" xfId="0" applyFont="1" applyBorder="1" applyNumberFormat="1">
      <alignment horizontal="center" vertical="top"/>
    </xf>
    <xf numFmtId="0" fontId="46" fillId="0" borderId="17" xfId="0" applyFont="1" applyBorder="1">
      <alignment horizontal="center" vertical="center" wrapText="1"/>
    </xf>
    <xf numFmtId="0" fontId="22" fillId="0" borderId="19" xfId="0" applyFont="1" applyBorder="1">
      <alignment horizontal="center" vertical="center" wrapText="1"/>
    </xf>
    <xf numFmtId="0" fontId="22" fillId="0" borderId="27" xfId="0" applyFont="1" applyBorder="1">
      <alignment horizontal="center" vertical="center" wrapText="1"/>
    </xf>
    <xf numFmtId="49" fontId="0" fillId="0" borderId="15" xfId="0" applyFont="1" applyBorder="1" applyNumberFormat="1">
      <alignment horizontal="left" vertical="center" indent="1"/>
    </xf>
    <xf numFmtId="49" fontId="0" fillId="0" borderId="25" xfId="0" applyFont="1" applyBorder="1" applyNumberFormat="1">
      <alignment horizontal="center" vertical="center"/>
    </xf>
    <xf numFmtId="49" fontId="0" fillId="0" borderId="12" xfId="61" applyFont="1" applyBorder="1" applyNumberFormat="1">
      <alignment vertical="top"/>
    </xf>
    <xf numFmtId="49" fontId="0" fillId="0" borderId="14" xfId="61" applyFont="1" applyBorder="1" applyNumberFormat="1">
      <alignment vertical="top"/>
    </xf>
    <xf numFmtId="49" fontId="0" fillId="0" borderId="12" xfId="61" applyFont="1" applyBorder="1" applyNumberFormat="1">
      <alignment horizontal="center" vertical="top"/>
    </xf>
    <xf numFmtId="49" fontId="0" fillId="0" borderId="14" xfId="61" applyFont="1" applyBorder="1" applyNumberFormat="1">
      <alignment horizontal="center" vertical="top"/>
    </xf>
    <xf numFmtId="49" fontId="0" fillId="43" borderId="17" xfId="61" applyFont="1" applyFill="1" applyBorder="1" applyNumberFormat="1">
      <alignment vertical="top"/>
    </xf>
    <xf numFmtId="49" fontId="0" fillId="44" borderId="12" xfId="61" applyFont="1" applyFill="1" applyBorder="1" applyNumberFormat="1">
      <alignment vertical="top"/>
    </xf>
    <xf numFmtId="49" fontId="0" fillId="0" borderId="15" xfId="61" applyFont="1" applyBorder="1" applyNumberFormat="1">
      <alignment horizontal="center" vertical="top"/>
    </xf>
    <xf numFmtId="49" fontId="0" fillId="3" borderId="12" xfId="61" applyFont="1" applyFill="1" applyBorder="1" applyNumberFormat="1">
      <alignment vertical="top"/>
    </xf>
    <xf numFmtId="49" fontId="0" fillId="45" borderId="12" xfId="61" applyFont="1" applyFill="1" applyBorder="1" applyNumberFormat="1">
      <alignment vertical="top"/>
    </xf>
    <xf numFmtId="49" fontId="0" fillId="16" borderId="17" xfId="61" applyFont="1" applyFill="1" applyBorder="1" applyNumberFormat="1">
      <alignment vertical="top"/>
    </xf>
    <xf numFmtId="49" fontId="0" fillId="5" borderId="14" xfId="61" applyFont="1" applyFill="1" applyBorder="1" applyNumberFormat="1">
      <alignment vertical="top"/>
    </xf>
    <xf numFmtId="49" fontId="0" fillId="5" borderId="12" xfId="61" applyFont="1" applyFill="1" applyBorder="1" applyNumberFormat="1">
      <alignment vertical="top"/>
    </xf>
    <xf numFmtId="49" fontId="0" fillId="16" borderId="12" xfId="61" applyFont="1" applyFill="1" applyBorder="1" applyNumberFormat="1">
      <alignment vertical="top"/>
    </xf>
    <xf numFmtId="0" fontId="29" fillId="0" borderId="0" xfId="0" applyFont="1"/>
    <xf numFmtId="212" fontId="0" fillId="39" borderId="12" xfId="0" applyFont="1" applyFill="1" applyBorder="1" applyNumberFormat="1">
      <alignment horizontal="left" vertical="center" wrapText="1" indent="1"/>
      <protection locked="0"/>
    </xf>
    <xf numFmtId="49" fontId="22" fillId="39" borderId="12" xfId="0" applyFont="1" applyFill="1" applyBorder="1" applyNumberFormat="1">
      <alignment horizontal="left" vertical="center" wrapText="1" indent="1"/>
      <protection locked="0"/>
    </xf>
    <xf numFmtId="49" fontId="27" fillId="39" borderId="12" xfId="0" applyFont="1" applyFill="1" applyBorder="1" applyNumberFormat="1">
      <alignment horizontal="left" vertical="center" wrapText="1" indent="1"/>
      <protection locked="0"/>
    </xf>
    <xf numFmtId="0" fontId="22" fillId="40" borderId="12" xfId="0" applyFont="1" applyFill="1" applyBorder="1">
      <alignment horizontal="left" vertical="top" wrapText="1"/>
    </xf>
    <xf numFmtId="0" fontId="0" fillId="40" borderId="12" xfId="0" applyFont="1" applyFill="1" applyBorder="1">
      <alignment horizontal="left" vertical="center" wrapText="1"/>
      <protection locked="0"/>
    </xf>
    <xf numFmtId="0" fontId="39" fillId="37" borderId="14"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39" fillId="37" borderId="13" xfId="0" applyFont="1" applyFill="1" applyBorder="1">
      <alignment horizontal="left" vertical="center"/>
    </xf>
    <xf numFmtId="49" fontId="0" fillId="40" borderId="12" xfId="0" applyFont="1" applyFill="1" applyBorder="1" applyNumberFormat="1">
      <alignment horizontal="left" vertical="center" wrapText="1"/>
      <protection locked="0"/>
    </xf>
    <xf numFmtId="0" fontId="39" fillId="37" borderId="14"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0" fillId="37" borderId="15" xfId="0" applyFont="1" applyFill="1" applyBorder="1">
      <alignment vertical="center"/>
    </xf>
    <xf numFmtId="0" fontId="0" fillId="37" borderId="15" xfId="0" applyFont="1" applyFill="1" applyBorder="1">
      <alignment vertical="center"/>
    </xf>
    <xf numFmtId="0" fontId="0" fillId="37" borderId="15" xfId="0" applyFont="1" applyFill="1" applyBorder="1">
      <alignment vertical="center"/>
    </xf>
    <xf numFmtId="0" fontId="0" fillId="37" borderId="15" xfId="0" applyFont="1" applyFill="1" applyBorder="1">
      <alignment vertical="center"/>
    </xf>
    <xf numFmtId="0" fontId="39" fillId="37" borderId="13" xfId="0" applyFont="1" applyFill="1" applyBorder="1">
      <alignment horizontal="left" vertical="center"/>
    </xf>
    <xf numFmtId="0" fontId="39" fillId="37" borderId="14"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0" fillId="37" borderId="15" xfId="0" applyFont="1" applyFill="1" applyBorder="1">
      <alignment vertical="center"/>
    </xf>
    <xf numFmtId="0" fontId="0" fillId="37" borderId="15" xfId="0" applyFont="1" applyFill="1" applyBorder="1">
      <alignment vertical="center"/>
    </xf>
    <xf numFmtId="0" fontId="0" fillId="37" borderId="15" xfId="0" applyFont="1" applyFill="1" applyBorder="1">
      <alignment vertical="center"/>
    </xf>
    <xf numFmtId="0" fontId="0" fillId="37" borderId="15" xfId="0" applyFont="1" applyFill="1" applyBorder="1">
      <alignment vertical="center"/>
    </xf>
    <xf numFmtId="0" fontId="39" fillId="37" borderId="13" xfId="0" applyFont="1" applyFill="1" applyBorder="1">
      <alignment horizontal="left" vertical="center"/>
    </xf>
    <xf numFmtId="49" fontId="0" fillId="40" borderId="12" xfId="0" applyFont="1" applyFill="1" applyBorder="1" applyNumberFormat="1">
      <alignment horizontal="left" vertical="top"/>
    </xf>
    <xf numFmtId="0" fontId="39" fillId="37" borderId="14"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0" fillId="37" borderId="15" xfId="0" applyFont="1" applyFill="1" applyBorder="1">
      <alignment vertical="center"/>
    </xf>
    <xf numFmtId="0" fontId="0" fillId="37" borderId="15" xfId="0" applyFont="1" applyFill="1" applyBorder="1">
      <alignment vertical="center"/>
    </xf>
    <xf numFmtId="0" fontId="0" fillId="37" borderId="15" xfId="0" applyFont="1" applyFill="1" applyBorder="1">
      <alignment vertical="center"/>
    </xf>
    <xf numFmtId="0" fontId="0" fillId="37" borderId="15" xfId="0" applyFont="1" applyFill="1" applyBorder="1">
      <alignment vertical="center"/>
    </xf>
    <xf numFmtId="0" fontId="39" fillId="37" borderId="13" xfId="0" applyFont="1" applyFill="1" applyBorder="1">
      <alignment horizontal="left" vertical="center"/>
    </xf>
    <xf numFmtId="0" fontId="39" fillId="37" borderId="14"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39" fillId="37" borderId="13" xfId="0" applyFont="1" applyFill="1" applyBorder="1">
      <alignment horizontal="left" vertical="center"/>
    </xf>
    <xf numFmtId="0" fontId="39" fillId="37" borderId="14"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0" fillId="37" borderId="15" xfId="0" applyFont="1" applyFill="1" applyBorder="1">
      <alignment vertical="center"/>
    </xf>
    <xf numFmtId="0" fontId="0" fillId="37" borderId="15" xfId="0" applyFont="1" applyFill="1" applyBorder="1">
      <alignment vertical="center"/>
    </xf>
    <xf numFmtId="0" fontId="0" fillId="37" borderId="15" xfId="0" applyFont="1" applyFill="1" applyBorder="1">
      <alignment vertical="center"/>
    </xf>
    <xf numFmtId="0" fontId="0" fillId="37" borderId="15" xfId="0" applyFont="1" applyFill="1" applyBorder="1">
      <alignment vertical="center"/>
    </xf>
    <xf numFmtId="0" fontId="39" fillId="37" borderId="13" xfId="0" applyFont="1" applyFill="1" applyBorder="1">
      <alignment horizontal="left" vertical="center"/>
    </xf>
    <xf numFmtId="0" fontId="39" fillId="37" borderId="14"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0" fillId="37" borderId="15" xfId="0" applyFont="1" applyFill="1" applyBorder="1">
      <alignment vertical="center"/>
    </xf>
    <xf numFmtId="0" fontId="0" fillId="37" borderId="15" xfId="0" applyFont="1" applyFill="1" applyBorder="1">
      <alignment vertical="center"/>
    </xf>
    <xf numFmtId="0" fontId="0" fillId="37" borderId="15" xfId="0" applyFont="1" applyFill="1" applyBorder="1">
      <alignment vertical="center"/>
    </xf>
    <xf numFmtId="0" fontId="0" fillId="37" borderId="15" xfId="0" applyFont="1" applyFill="1" applyBorder="1">
      <alignment vertical="center"/>
    </xf>
    <xf numFmtId="0" fontId="39" fillId="37" borderId="13" xfId="0" applyFont="1" applyFill="1" applyBorder="1">
      <alignment horizontal="left" vertical="center"/>
    </xf>
    <xf numFmtId="0" fontId="39" fillId="37" borderId="14"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0" fillId="37" borderId="15" xfId="0" applyFont="1" applyFill="1" applyBorder="1">
      <alignment vertical="center"/>
    </xf>
    <xf numFmtId="0" fontId="0" fillId="37" borderId="15" xfId="0" applyFont="1" applyFill="1" applyBorder="1">
      <alignment vertical="center"/>
    </xf>
    <xf numFmtId="0" fontId="0" fillId="37" borderId="15" xfId="0" applyFont="1" applyFill="1" applyBorder="1">
      <alignment vertical="center"/>
    </xf>
    <xf numFmtId="0" fontId="0" fillId="37" borderId="15" xfId="0" applyFont="1" applyFill="1" applyBorder="1">
      <alignment vertical="center"/>
    </xf>
    <xf numFmtId="0" fontId="39" fillId="37" borderId="13" xfId="0" applyFont="1" applyFill="1" applyBorder="1">
      <alignment horizontal="left" vertical="center"/>
    </xf>
    <xf numFmtId="0" fontId="39" fillId="37" borderId="14"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39" fillId="37" borderId="13" xfId="0" applyFont="1" applyFill="1" applyBorder="1">
      <alignment horizontal="left" vertical="center"/>
    </xf>
    <xf numFmtId="0" fontId="39" fillId="37" borderId="14"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0" fillId="37" borderId="15" xfId="0" applyFont="1" applyFill="1" applyBorder="1">
      <alignment vertical="center"/>
    </xf>
    <xf numFmtId="0" fontId="0" fillId="37" borderId="15" xfId="0" applyFont="1" applyFill="1" applyBorder="1">
      <alignment vertical="center"/>
    </xf>
    <xf numFmtId="0" fontId="0" fillId="37" borderId="15" xfId="0" applyFont="1" applyFill="1" applyBorder="1">
      <alignment vertical="center"/>
    </xf>
    <xf numFmtId="0" fontId="0" fillId="37" borderId="15" xfId="0" applyFont="1" applyFill="1" applyBorder="1">
      <alignment vertical="center"/>
    </xf>
    <xf numFmtId="0" fontId="39" fillId="37" borderId="13" xfId="0" applyFont="1" applyFill="1" applyBorder="1">
      <alignment horizontal="left" vertical="center"/>
    </xf>
    <xf numFmtId="0" fontId="39" fillId="37" borderId="14"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0" fillId="37" borderId="15" xfId="0" applyFont="1" applyFill="1" applyBorder="1">
      <alignment vertical="center"/>
    </xf>
    <xf numFmtId="0" fontId="0" fillId="37" borderId="15" xfId="0" applyFont="1" applyFill="1" applyBorder="1">
      <alignment vertical="center"/>
    </xf>
    <xf numFmtId="0" fontId="0" fillId="37" borderId="15" xfId="0" applyFont="1" applyFill="1" applyBorder="1">
      <alignment vertical="center"/>
    </xf>
    <xf numFmtId="0" fontId="0" fillId="37" borderId="15" xfId="0" applyFont="1" applyFill="1" applyBorder="1">
      <alignment vertical="center"/>
    </xf>
    <xf numFmtId="0" fontId="39" fillId="37" borderId="13" xfId="0" applyFont="1" applyFill="1" applyBorder="1">
      <alignment horizontal="left" vertical="center"/>
    </xf>
    <xf numFmtId="0" fontId="39" fillId="37" borderId="14"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0" fillId="37" borderId="15" xfId="0" applyFont="1" applyFill="1" applyBorder="1">
      <alignment vertical="center"/>
    </xf>
    <xf numFmtId="0" fontId="0" fillId="37" borderId="15" xfId="0" applyFont="1" applyFill="1" applyBorder="1">
      <alignment vertical="center"/>
    </xf>
    <xf numFmtId="0" fontId="0" fillId="37" borderId="15" xfId="0" applyFont="1" applyFill="1" applyBorder="1">
      <alignment vertical="center"/>
    </xf>
    <xf numFmtId="0" fontId="0" fillId="37" borderId="15" xfId="0" applyFont="1" applyFill="1" applyBorder="1">
      <alignment vertical="center"/>
    </xf>
    <xf numFmtId="0" fontId="39" fillId="37" borderId="13" xfId="0" applyFont="1" applyFill="1" applyBorder="1">
      <alignment horizontal="left" vertical="center"/>
    </xf>
    <xf numFmtId="0" fontId="39" fillId="37" borderId="14"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39" fillId="37" borderId="13" xfId="0" applyFont="1" applyFill="1" applyBorder="1">
      <alignment horizontal="left" vertical="center"/>
    </xf>
    <xf numFmtId="0" fontId="39" fillId="37" borderId="14"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0" fillId="37" borderId="15" xfId="0" applyFont="1" applyFill="1" applyBorder="1">
      <alignment vertical="center"/>
    </xf>
    <xf numFmtId="0" fontId="0" fillId="37" borderId="15" xfId="0" applyFont="1" applyFill="1" applyBorder="1">
      <alignment vertical="center"/>
    </xf>
    <xf numFmtId="0" fontId="0" fillId="37" borderId="15" xfId="0" applyFont="1" applyFill="1" applyBorder="1">
      <alignment vertical="center"/>
    </xf>
    <xf numFmtId="0" fontId="0" fillId="37" borderId="15" xfId="0" applyFont="1" applyFill="1" applyBorder="1">
      <alignment vertical="center"/>
    </xf>
    <xf numFmtId="0" fontId="39" fillId="37" borderId="13" xfId="0" applyFont="1" applyFill="1" applyBorder="1">
      <alignment horizontal="left" vertical="center"/>
    </xf>
    <xf numFmtId="0" fontId="39" fillId="37" borderId="14"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0" fillId="37" borderId="15" xfId="0" applyFont="1" applyFill="1" applyBorder="1">
      <alignment vertical="center"/>
    </xf>
    <xf numFmtId="0" fontId="0" fillId="37" borderId="15" xfId="0" applyFont="1" applyFill="1" applyBorder="1">
      <alignment vertical="center"/>
    </xf>
    <xf numFmtId="0" fontId="0" fillId="37" borderId="15" xfId="0" applyFont="1" applyFill="1" applyBorder="1">
      <alignment vertical="center"/>
    </xf>
    <xf numFmtId="0" fontId="0" fillId="37" borderId="15" xfId="0" applyFont="1" applyFill="1" applyBorder="1">
      <alignment vertical="center"/>
    </xf>
    <xf numFmtId="0" fontId="39" fillId="37" borderId="13" xfId="0" applyFont="1" applyFill="1" applyBorder="1">
      <alignment horizontal="left" vertical="center"/>
    </xf>
    <xf numFmtId="0" fontId="39" fillId="37" borderId="14"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0" fillId="37" borderId="15" xfId="0" applyFont="1" applyFill="1" applyBorder="1">
      <alignment vertical="center"/>
    </xf>
    <xf numFmtId="0" fontId="0" fillId="37" borderId="15" xfId="0" applyFont="1" applyFill="1" applyBorder="1">
      <alignment vertical="center"/>
    </xf>
    <xf numFmtId="0" fontId="0" fillId="37" borderId="15" xfId="0" applyFont="1" applyFill="1" applyBorder="1">
      <alignment vertical="center"/>
    </xf>
    <xf numFmtId="0" fontId="0" fillId="37" borderId="15" xfId="0" applyFont="1" applyFill="1" applyBorder="1">
      <alignment vertical="center"/>
    </xf>
    <xf numFmtId="0" fontId="39" fillId="37" borderId="13" xfId="0" applyFont="1" applyFill="1" applyBorder="1">
      <alignment horizontal="left" vertical="center"/>
    </xf>
    <xf numFmtId="0" fontId="22" fillId="40" borderId="17" xfId="0" applyFont="1" applyFill="1" applyBorder="1">
      <alignment horizontal="left" vertical="top" wrapText="1"/>
    </xf>
    <xf numFmtId="0" fontId="22" fillId="40" borderId="36" xfId="0" applyFont="1" applyFill="1" applyBorder="1">
      <alignment horizontal="left" vertical="top" wrapText="1"/>
    </xf>
    <xf numFmtId="0" fontId="39" fillId="37" borderId="14"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39" fillId="37" borderId="13" xfId="0" applyFont="1" applyFill="1" applyBorder="1">
      <alignment horizontal="left" vertical="center"/>
    </xf>
    <xf numFmtId="0" fontId="39" fillId="37" borderId="14"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0" fillId="37" borderId="15" xfId="0" applyFont="1" applyFill="1" applyBorder="1">
      <alignment vertical="center"/>
    </xf>
    <xf numFmtId="0" fontId="0" fillId="37" borderId="15" xfId="0" applyFont="1" applyFill="1" applyBorder="1">
      <alignment vertical="center"/>
    </xf>
    <xf numFmtId="0" fontId="0" fillId="37" borderId="15" xfId="0" applyFont="1" applyFill="1" applyBorder="1">
      <alignment vertical="center"/>
    </xf>
    <xf numFmtId="0" fontId="0" fillId="37" borderId="15" xfId="0" applyFont="1" applyFill="1" applyBorder="1">
      <alignment vertical="center"/>
    </xf>
    <xf numFmtId="0" fontId="39" fillId="37" borderId="13" xfId="0" applyFont="1" applyFill="1" applyBorder="1">
      <alignment horizontal="left" vertical="center"/>
    </xf>
    <xf numFmtId="0" fontId="39" fillId="37" borderId="14"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0" fillId="37" borderId="15" xfId="0" applyFont="1" applyFill="1" applyBorder="1">
      <alignment vertical="center"/>
    </xf>
    <xf numFmtId="0" fontId="0" fillId="37" borderId="15" xfId="0" applyFont="1" applyFill="1" applyBorder="1">
      <alignment vertical="center"/>
    </xf>
    <xf numFmtId="0" fontId="0" fillId="37" borderId="15" xfId="0" applyFont="1" applyFill="1" applyBorder="1">
      <alignment vertical="center"/>
    </xf>
    <xf numFmtId="0" fontId="0" fillId="37" borderId="15" xfId="0" applyFont="1" applyFill="1" applyBorder="1">
      <alignment vertical="center"/>
    </xf>
    <xf numFmtId="0" fontId="39" fillId="37" borderId="13" xfId="0" applyFont="1" applyFill="1" applyBorder="1">
      <alignment horizontal="left" vertical="center"/>
    </xf>
    <xf numFmtId="0" fontId="22" fillId="40" borderId="23" xfId="0" applyFont="1" applyFill="1" applyBorder="1">
      <alignment horizontal="left" vertical="top" wrapText="1"/>
    </xf>
    <xf numFmtId="0" fontId="39" fillId="37" borderId="14"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0" fillId="37" borderId="15" xfId="0" applyFont="1" applyFill="1" applyBorder="1">
      <alignment vertical="center"/>
    </xf>
    <xf numFmtId="0" fontId="0" fillId="37" borderId="15" xfId="0" applyFont="1" applyFill="1" applyBorder="1">
      <alignment vertical="center"/>
    </xf>
    <xf numFmtId="0" fontId="0" fillId="37" borderId="15" xfId="0" applyFont="1" applyFill="1" applyBorder="1">
      <alignment vertical="center"/>
    </xf>
    <xf numFmtId="0" fontId="0" fillId="37" borderId="15" xfId="0" applyFont="1" applyFill="1" applyBorder="1">
      <alignment vertical="center"/>
    </xf>
    <xf numFmtId="0" fontId="39" fillId="37" borderId="13" xfId="0" applyFont="1" applyFill="1" applyBorder="1">
      <alignment horizontal="left" vertical="center"/>
    </xf>
    <xf numFmtId="49" fontId="0" fillId="39" borderId="12" xfId="0" applyFont="1" applyFill="1" applyBorder="1" applyNumberFormat="1">
      <alignment horizontal="left" vertical="center" wrapText="1"/>
      <protection locked="0"/>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73" fillId="37" borderId="14" xfId="0" applyFont="1" applyFill="1" applyBorder="1" applyNumberFormat="1">
      <alignment horizontal="left" vertical="center"/>
    </xf>
    <xf numFmtId="49" fontId="39" fillId="37" borderId="15" xfId="0" applyFont="1" applyFill="1" applyBorder="1" applyNumberFormat="1">
      <alignment horizontal="left" vertical="center" indent="6"/>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3" xfId="0" applyFont="1" applyFill="1" applyBorder="1" applyNumberFormat="1">
      <alignment horizontal="center" vertical="center" wrapText="1"/>
    </xf>
    <xf numFmtId="49" fontId="73" fillId="37" borderId="14" xfId="0" applyFont="1" applyFill="1" applyBorder="1" applyNumberFormat="1">
      <alignment horizontal="left" vertical="center"/>
    </xf>
    <xf numFmtId="49" fontId="39" fillId="37" borderId="15" xfId="0" applyFont="1" applyFill="1" applyBorder="1" applyNumberFormat="1">
      <alignment horizontal="left" vertical="center" indent="5"/>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3" xfId="0" applyFont="1" applyFill="1" applyBorder="1" applyNumberFormat="1">
      <alignment horizontal="center" vertical="center" wrapText="1"/>
    </xf>
    <xf numFmtId="49" fontId="73" fillId="37" borderId="14" xfId="0" applyFont="1" applyFill="1" applyBorder="1" applyNumberFormat="1">
      <alignment horizontal="left" vertical="center"/>
    </xf>
    <xf numFmtId="49" fontId="39" fillId="37" borderId="15" xfId="0" applyFont="1" applyFill="1" applyBorder="1" applyNumberFormat="1">
      <alignment horizontal="left" vertical="center" indent="4"/>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3" xfId="0" applyFont="1" applyFill="1" applyBorder="1" applyNumberFormat="1">
      <alignment horizontal="center" vertical="center" wrapText="1"/>
    </xf>
    <xf numFmtId="49" fontId="73" fillId="37" borderId="14" xfId="0" applyFont="1" applyFill="1" applyBorder="1" applyNumberFormat="1">
      <alignment horizontal="left" vertical="center"/>
    </xf>
    <xf numFmtId="49" fontId="39" fillId="37" borderId="15" xfId="0" applyFont="1" applyFill="1" applyBorder="1" applyNumberFormat="1">
      <alignment horizontal="left" vertical="center" indent="6"/>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3" xfId="0" applyFont="1" applyFill="1" applyBorder="1" applyNumberFormat="1">
      <alignment horizontal="center" vertical="center" wrapText="1"/>
    </xf>
    <xf numFmtId="49" fontId="73" fillId="37" borderId="14" xfId="0" applyFont="1" applyFill="1" applyBorder="1" applyNumberFormat="1">
      <alignment horizontal="left" vertical="center"/>
    </xf>
    <xf numFmtId="49" fontId="39" fillId="37" borderId="15" xfId="0" applyFont="1" applyFill="1" applyBorder="1" applyNumberFormat="1">
      <alignment horizontal="left" vertical="center" indent="5"/>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3" xfId="0" applyFont="1" applyFill="1" applyBorder="1" applyNumberFormat="1">
      <alignment horizontal="center" vertical="center" wrapText="1"/>
    </xf>
    <xf numFmtId="49" fontId="73" fillId="37" borderId="14" xfId="0" applyFont="1" applyFill="1" applyBorder="1" applyNumberFormat="1">
      <alignment horizontal="left" vertical="center"/>
    </xf>
    <xf numFmtId="49" fontId="39" fillId="37" borderId="15" xfId="0" applyFont="1" applyFill="1" applyBorder="1" applyNumberFormat="1">
      <alignment horizontal="left" vertical="center" indent="4"/>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3" xfId="0" applyFont="1" applyFill="1" applyBorder="1" applyNumberFormat="1">
      <alignment horizontal="center" vertical="center" wrapText="1"/>
    </xf>
    <xf numFmtId="49" fontId="73" fillId="37" borderId="14" xfId="0" applyFont="1" applyFill="1" applyBorder="1" applyNumberFormat="1">
      <alignment horizontal="left" vertical="center"/>
    </xf>
    <xf numFmtId="49" fontId="39" fillId="37" borderId="15" xfId="0" applyFont="1" applyFill="1" applyBorder="1" applyNumberFormat="1">
      <alignment horizontal="left" vertical="center" indent="6"/>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3" xfId="0" applyFont="1" applyFill="1" applyBorder="1" applyNumberFormat="1">
      <alignment horizontal="center" vertical="center" wrapText="1"/>
    </xf>
    <xf numFmtId="49" fontId="73" fillId="37" borderId="14" xfId="0" applyFont="1" applyFill="1" applyBorder="1" applyNumberFormat="1">
      <alignment horizontal="left" vertical="center"/>
    </xf>
    <xf numFmtId="49" fontId="39" fillId="37" borderId="15" xfId="0" applyFont="1" applyFill="1" applyBorder="1" applyNumberFormat="1">
      <alignment horizontal="left" vertical="center" indent="5"/>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3" xfId="0" applyFont="1" applyFill="1" applyBorder="1" applyNumberFormat="1">
      <alignment horizontal="center" vertical="center" wrapText="1"/>
    </xf>
    <xf numFmtId="49" fontId="73" fillId="37" borderId="14" xfId="0" applyFont="1" applyFill="1" applyBorder="1" applyNumberFormat="1">
      <alignment horizontal="left" vertical="center"/>
    </xf>
    <xf numFmtId="49" fontId="39" fillId="37" borderId="15" xfId="0" applyFont="1" applyFill="1" applyBorder="1" applyNumberFormat="1">
      <alignment horizontal="left" vertical="center" indent="4"/>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3" xfId="0" applyFont="1" applyFill="1" applyBorder="1" applyNumberFormat="1">
      <alignment horizontal="center" vertical="center" wrapText="1"/>
    </xf>
    <xf numFmtId="49" fontId="73" fillId="37" borderId="14" xfId="0" applyFont="1" applyFill="1" applyBorder="1" applyNumberFormat="1">
      <alignment horizontal="left" vertical="center"/>
    </xf>
    <xf numFmtId="49" fontId="39" fillId="37" borderId="15" xfId="0" applyFont="1" applyFill="1" applyBorder="1" applyNumberFormat="1">
      <alignment horizontal="left" vertical="center" indent="6"/>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3" xfId="0" applyFont="1" applyFill="1" applyBorder="1" applyNumberFormat="1">
      <alignment horizontal="center" vertical="center" wrapText="1"/>
    </xf>
    <xf numFmtId="49" fontId="73" fillId="37" borderId="14" xfId="0" applyFont="1" applyFill="1" applyBorder="1" applyNumberFormat="1">
      <alignment horizontal="left" vertical="center"/>
    </xf>
    <xf numFmtId="49" fontId="39" fillId="37" borderId="15" xfId="0" applyFont="1" applyFill="1" applyBorder="1" applyNumberFormat="1">
      <alignment horizontal="left" vertical="center" indent="5"/>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3" xfId="0" applyFont="1" applyFill="1" applyBorder="1" applyNumberFormat="1">
      <alignment horizontal="center" vertical="center" wrapText="1"/>
    </xf>
    <xf numFmtId="49" fontId="73" fillId="37" borderId="14" xfId="0" applyFont="1" applyFill="1" applyBorder="1" applyNumberFormat="1">
      <alignment horizontal="left" vertical="center"/>
    </xf>
    <xf numFmtId="49" fontId="39" fillId="37" borderId="15" xfId="0" applyFont="1" applyFill="1" applyBorder="1" applyNumberFormat="1">
      <alignment horizontal="left" vertical="center" indent="4"/>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3" xfId="0" applyFont="1" applyFill="1" applyBorder="1" applyNumberFormat="1">
      <alignment horizontal="center" vertical="center" wrapText="1"/>
    </xf>
    <xf numFmtId="49" fontId="73" fillId="37" borderId="14" xfId="0" applyFont="1" applyFill="1" applyBorder="1" applyNumberFormat="1">
      <alignment horizontal="left" vertical="center"/>
    </xf>
    <xf numFmtId="49" fontId="39" fillId="37" borderId="15" xfId="0" applyFont="1" applyFill="1" applyBorder="1" applyNumberFormat="1">
      <alignment horizontal="left" vertical="center" indent="6"/>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3" xfId="0" applyFont="1" applyFill="1" applyBorder="1" applyNumberFormat="1">
      <alignment horizontal="center" vertical="center" wrapText="1"/>
    </xf>
    <xf numFmtId="49" fontId="73" fillId="37" borderId="14" xfId="0" applyFont="1" applyFill="1" applyBorder="1" applyNumberFormat="1">
      <alignment horizontal="left" vertical="center"/>
    </xf>
    <xf numFmtId="49" fontId="39" fillId="37" borderId="15" xfId="0" applyFont="1" applyFill="1" applyBorder="1" applyNumberFormat="1">
      <alignment horizontal="left" vertical="center" indent="5"/>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3" xfId="0" applyFont="1" applyFill="1" applyBorder="1" applyNumberFormat="1">
      <alignment horizontal="center" vertical="center" wrapText="1"/>
    </xf>
    <xf numFmtId="49" fontId="73" fillId="37" borderId="14" xfId="0" applyFont="1" applyFill="1" applyBorder="1" applyNumberFormat="1">
      <alignment horizontal="left" vertical="center"/>
    </xf>
    <xf numFmtId="49" fontId="39" fillId="37" borderId="15" xfId="0" applyFont="1" applyFill="1" applyBorder="1" applyNumberFormat="1">
      <alignment horizontal="left" vertical="center" indent="4"/>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3" xfId="0" applyFont="1" applyFill="1" applyBorder="1" applyNumberFormat="1">
      <alignment horizontal="center" vertical="center" wrapText="1"/>
    </xf>
    <xf numFmtId="49" fontId="73" fillId="37" borderId="14" xfId="0" applyFont="1" applyFill="1" applyBorder="1" applyNumberFormat="1">
      <alignment horizontal="left" vertical="center"/>
    </xf>
    <xf numFmtId="49" fontId="39" fillId="37" borderId="15" xfId="0" applyFont="1" applyFill="1" applyBorder="1" applyNumberFormat="1">
      <alignment horizontal="left" vertical="center" indent="6"/>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3" xfId="0" applyFont="1" applyFill="1" applyBorder="1" applyNumberFormat="1">
      <alignment horizontal="center" vertical="center" wrapText="1"/>
    </xf>
    <xf numFmtId="49" fontId="73" fillId="37" borderId="14" xfId="0" applyFont="1" applyFill="1" applyBorder="1" applyNumberFormat="1">
      <alignment horizontal="left" vertical="center"/>
    </xf>
    <xf numFmtId="49" fontId="39" fillId="37" borderId="15" xfId="0" applyFont="1" applyFill="1" applyBorder="1" applyNumberFormat="1">
      <alignment horizontal="left" vertical="center" indent="5"/>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3" xfId="0" applyFont="1" applyFill="1" applyBorder="1" applyNumberFormat="1">
      <alignment horizontal="center" vertical="center" wrapText="1"/>
    </xf>
    <xf numFmtId="49" fontId="73" fillId="37" borderId="14" xfId="0" applyFont="1" applyFill="1" applyBorder="1" applyNumberFormat="1">
      <alignment horizontal="left" vertical="center"/>
    </xf>
    <xf numFmtId="49" fontId="39" fillId="37" borderId="15" xfId="0" applyFont="1" applyFill="1" applyBorder="1" applyNumberFormat="1">
      <alignment horizontal="left" vertical="center" indent="4"/>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3" xfId="0" applyFont="1" applyFill="1" applyBorder="1" applyNumberFormat="1">
      <alignment horizontal="center" vertical="center" wrapText="1"/>
    </xf>
    <xf numFmtId="49" fontId="73" fillId="37" borderId="14" xfId="0" applyFont="1" applyFill="1" applyBorder="1" applyNumberFormat="1">
      <alignment horizontal="left" vertical="center"/>
    </xf>
    <xf numFmtId="49" fontId="39" fillId="37" borderId="15" xfId="0" applyFont="1" applyFill="1" applyBorder="1" applyNumberFormat="1">
      <alignment horizontal="left" vertical="center" indent="6"/>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3" xfId="0" applyFont="1" applyFill="1" applyBorder="1" applyNumberFormat="1">
      <alignment horizontal="center" vertical="center" wrapText="1"/>
    </xf>
    <xf numFmtId="49" fontId="73" fillId="37" borderId="14" xfId="0" applyFont="1" applyFill="1" applyBorder="1" applyNumberFormat="1">
      <alignment horizontal="left" vertical="center"/>
    </xf>
    <xf numFmtId="49" fontId="39" fillId="37" borderId="15" xfId="0" applyFont="1" applyFill="1" applyBorder="1" applyNumberFormat="1">
      <alignment horizontal="left" vertical="center" indent="5"/>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3" xfId="0" applyFont="1" applyFill="1" applyBorder="1" applyNumberFormat="1">
      <alignment horizontal="center" vertical="center" wrapText="1"/>
    </xf>
    <xf numFmtId="49" fontId="73" fillId="37" borderId="14" xfId="0" applyFont="1" applyFill="1" applyBorder="1" applyNumberFormat="1">
      <alignment horizontal="left" vertical="center"/>
    </xf>
    <xf numFmtId="49" fontId="39" fillId="37" borderId="15" xfId="0" applyFont="1" applyFill="1" applyBorder="1" applyNumberFormat="1">
      <alignment horizontal="left" vertical="center" indent="4"/>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3" xfId="0" applyFont="1" applyFill="1" applyBorder="1" applyNumberFormat="1">
      <alignment horizontal="center" vertical="center" wrapText="1"/>
    </xf>
    <xf numFmtId="49" fontId="73" fillId="37" borderId="14" xfId="0" applyFont="1" applyFill="1" applyBorder="1" applyNumberFormat="1">
      <alignment horizontal="left" vertical="center"/>
    </xf>
    <xf numFmtId="49" fontId="39" fillId="37" borderId="15" xfId="0" applyFont="1" applyFill="1" applyBorder="1" applyNumberFormat="1">
      <alignment horizontal="left" vertical="center" indent="6"/>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3" xfId="0" applyFont="1" applyFill="1" applyBorder="1" applyNumberFormat="1">
      <alignment horizontal="center" vertical="center" wrapText="1"/>
    </xf>
    <xf numFmtId="49" fontId="73" fillId="37" borderId="14" xfId="0" applyFont="1" applyFill="1" applyBorder="1" applyNumberFormat="1">
      <alignment horizontal="left" vertical="center"/>
    </xf>
    <xf numFmtId="49" fontId="39" fillId="37" borderId="15" xfId="0" applyFont="1" applyFill="1" applyBorder="1" applyNumberFormat="1">
      <alignment horizontal="left" vertical="center" indent="5"/>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3" xfId="0" applyFont="1" applyFill="1" applyBorder="1" applyNumberFormat="1">
      <alignment horizontal="center" vertical="center" wrapText="1"/>
    </xf>
    <xf numFmtId="49" fontId="73" fillId="37" borderId="14" xfId="0" applyFont="1" applyFill="1" applyBorder="1" applyNumberFormat="1">
      <alignment horizontal="left" vertical="center"/>
    </xf>
    <xf numFmtId="49" fontId="39" fillId="37" borderId="15" xfId="0" applyFont="1" applyFill="1" applyBorder="1" applyNumberFormat="1">
      <alignment horizontal="left" vertical="center" indent="4"/>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3" xfId="0" applyFont="1" applyFill="1" applyBorder="1" applyNumberFormat="1">
      <alignment horizontal="center" vertical="center" wrapText="1"/>
    </xf>
    <xf numFmtId="49" fontId="73" fillId="37" borderId="14" xfId="0" applyFont="1" applyFill="1" applyBorder="1" applyNumberFormat="1">
      <alignment horizontal="left" vertical="center"/>
    </xf>
    <xf numFmtId="49" fontId="39" fillId="37" borderId="15" xfId="0" applyFont="1" applyFill="1" applyBorder="1" applyNumberFormat="1">
      <alignment horizontal="left" vertical="center" indent="6"/>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3" xfId="0" applyFont="1" applyFill="1" applyBorder="1" applyNumberFormat="1">
      <alignment horizontal="center" vertical="center" wrapText="1"/>
    </xf>
    <xf numFmtId="49" fontId="73" fillId="37" borderId="14" xfId="0" applyFont="1" applyFill="1" applyBorder="1" applyNumberFormat="1">
      <alignment horizontal="left" vertical="center"/>
    </xf>
    <xf numFmtId="49" fontId="39" fillId="37" borderId="15" xfId="0" applyFont="1" applyFill="1" applyBorder="1" applyNumberFormat="1">
      <alignment horizontal="left" vertical="center" indent="5"/>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3" xfId="0" applyFont="1" applyFill="1" applyBorder="1" applyNumberFormat="1">
      <alignment horizontal="center" vertical="center" wrapText="1"/>
    </xf>
    <xf numFmtId="49" fontId="73" fillId="37" borderId="14" xfId="0" applyFont="1" applyFill="1" applyBorder="1" applyNumberFormat="1">
      <alignment horizontal="left" vertical="center"/>
    </xf>
    <xf numFmtId="49" fontId="39" fillId="37" borderId="15" xfId="0" applyFont="1" applyFill="1" applyBorder="1" applyNumberFormat="1">
      <alignment horizontal="left" vertical="center" indent="4"/>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3"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73" fillId="37" borderId="14" xfId="0" applyFont="1" applyFill="1" applyBorder="1" applyNumberFormat="1">
      <alignment horizontal="left" vertical="center"/>
    </xf>
    <xf numFmtId="49" fontId="39" fillId="37" borderId="15" xfId="0" applyFont="1" applyFill="1" applyBorder="1" applyNumberFormat="1">
      <alignment horizontal="left" vertical="center" indent="6"/>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3" xfId="0" applyFont="1" applyFill="1" applyBorder="1" applyNumberFormat="1">
      <alignment horizontal="center" vertical="center" wrapText="1"/>
    </xf>
    <xf numFmtId="49" fontId="73" fillId="37" borderId="14" xfId="0" applyFont="1" applyFill="1" applyBorder="1" applyNumberFormat="1">
      <alignment horizontal="left" vertical="center"/>
    </xf>
    <xf numFmtId="49" fontId="39" fillId="37" borderId="15" xfId="0" applyFont="1" applyFill="1" applyBorder="1" applyNumberFormat="1">
      <alignment horizontal="left" vertical="center" indent="5"/>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3" xfId="0" applyFont="1" applyFill="1" applyBorder="1" applyNumberFormat="1">
      <alignment horizontal="center" vertical="center" wrapText="1"/>
    </xf>
    <xf numFmtId="49" fontId="73" fillId="37" borderId="14" xfId="0" applyFont="1" applyFill="1" applyBorder="1" applyNumberFormat="1">
      <alignment horizontal="left" vertical="center"/>
    </xf>
    <xf numFmtId="49" fontId="39" fillId="37" borderId="15" xfId="0" applyFont="1" applyFill="1" applyBorder="1" applyNumberFormat="1">
      <alignment horizontal="left" vertical="center" indent="4"/>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3" xfId="0" applyFont="1" applyFill="1" applyBorder="1" applyNumberFormat="1">
      <alignment horizontal="center" vertical="center" wrapText="1"/>
    </xf>
    <xf numFmtId="49" fontId="73" fillId="37" borderId="14" xfId="0" applyFont="1" applyFill="1" applyBorder="1" applyNumberFormat="1">
      <alignment horizontal="left" vertical="center"/>
    </xf>
    <xf numFmtId="49" fontId="39" fillId="37" borderId="15" xfId="0" applyFont="1" applyFill="1" applyBorder="1" applyNumberFormat="1">
      <alignment horizontal="left" vertical="center" indent="6"/>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3" xfId="0" applyFont="1" applyFill="1" applyBorder="1" applyNumberFormat="1">
      <alignment horizontal="center" vertical="center" wrapText="1"/>
    </xf>
    <xf numFmtId="49" fontId="73" fillId="37" borderId="14" xfId="0" applyFont="1" applyFill="1" applyBorder="1" applyNumberFormat="1">
      <alignment horizontal="left" vertical="center"/>
    </xf>
    <xf numFmtId="49" fontId="39" fillId="37" borderId="15" xfId="0" applyFont="1" applyFill="1" applyBorder="1" applyNumberFormat="1">
      <alignment horizontal="left" vertical="center" indent="5"/>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3" xfId="0" applyFont="1" applyFill="1" applyBorder="1" applyNumberFormat="1">
      <alignment horizontal="center" vertical="center" wrapText="1"/>
    </xf>
    <xf numFmtId="49" fontId="73" fillId="37" borderId="14" xfId="0" applyFont="1" applyFill="1" applyBorder="1" applyNumberFormat="1">
      <alignment horizontal="left" vertical="center"/>
    </xf>
    <xf numFmtId="49" fontId="39" fillId="37" borderId="15" xfId="0" applyFont="1" applyFill="1" applyBorder="1" applyNumberFormat="1">
      <alignment horizontal="left" vertical="center" indent="4"/>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3" xfId="0" applyFont="1" applyFill="1" applyBorder="1" applyNumberFormat="1">
      <alignment horizontal="center" vertical="center" wrapText="1"/>
    </xf>
    <xf numFmtId="49" fontId="73" fillId="37" borderId="14" xfId="0" applyFont="1" applyFill="1" applyBorder="1" applyNumberFormat="1">
      <alignment horizontal="left" vertical="center"/>
    </xf>
    <xf numFmtId="49" fontId="39" fillId="37" borderId="15" xfId="0" applyFont="1" applyFill="1" applyBorder="1" applyNumberFormat="1">
      <alignment horizontal="left" vertical="center" indent="6"/>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3" xfId="0" applyFont="1" applyFill="1" applyBorder="1" applyNumberFormat="1">
      <alignment horizontal="center" vertical="center" wrapText="1"/>
    </xf>
    <xf numFmtId="49" fontId="73" fillId="37" borderId="14" xfId="0" applyFont="1" applyFill="1" applyBorder="1" applyNumberFormat="1">
      <alignment horizontal="left" vertical="center"/>
    </xf>
    <xf numFmtId="49" fontId="39" fillId="37" borderId="15" xfId="0" applyFont="1" applyFill="1" applyBorder="1" applyNumberFormat="1">
      <alignment horizontal="left" vertical="center" indent="5"/>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3" xfId="0" applyFont="1" applyFill="1" applyBorder="1" applyNumberFormat="1">
      <alignment horizontal="center" vertical="center" wrapText="1"/>
    </xf>
    <xf numFmtId="49" fontId="73" fillId="37" borderId="14" xfId="0" applyFont="1" applyFill="1" applyBorder="1" applyNumberFormat="1">
      <alignment horizontal="left" vertical="center"/>
    </xf>
    <xf numFmtId="49" fontId="39" fillId="37" borderId="15" xfId="0" applyFont="1" applyFill="1" applyBorder="1" applyNumberFormat="1">
      <alignment horizontal="left" vertical="center" indent="4"/>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3" xfId="0" applyFont="1" applyFill="1" applyBorder="1" applyNumberFormat="1">
      <alignment horizontal="center" vertical="center" wrapText="1"/>
    </xf>
    <xf numFmtId="49" fontId="73" fillId="37" borderId="14" xfId="0" applyFont="1" applyFill="1" applyBorder="1" applyNumberFormat="1">
      <alignment horizontal="left" vertical="center"/>
    </xf>
    <xf numFmtId="49" fontId="39" fillId="37" borderId="15" xfId="0" applyFont="1" applyFill="1" applyBorder="1" applyNumberFormat="1">
      <alignment horizontal="left" vertical="center" indent="6"/>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3" xfId="0" applyFont="1" applyFill="1" applyBorder="1" applyNumberFormat="1">
      <alignment horizontal="center" vertical="center" wrapText="1"/>
    </xf>
    <xf numFmtId="49" fontId="73" fillId="37" borderId="14" xfId="0" applyFont="1" applyFill="1" applyBorder="1" applyNumberFormat="1">
      <alignment horizontal="left" vertical="center"/>
    </xf>
    <xf numFmtId="49" fontId="39" fillId="37" borderId="15" xfId="0" applyFont="1" applyFill="1" applyBorder="1" applyNumberFormat="1">
      <alignment horizontal="left" vertical="center" indent="5"/>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3" xfId="0" applyFont="1" applyFill="1" applyBorder="1" applyNumberFormat="1">
      <alignment horizontal="center" vertical="center" wrapText="1"/>
    </xf>
    <xf numFmtId="49" fontId="73" fillId="37" borderId="14" xfId="0" applyFont="1" applyFill="1" applyBorder="1" applyNumberFormat="1">
      <alignment horizontal="left" vertical="center"/>
    </xf>
    <xf numFmtId="49" fontId="39" fillId="37" borderId="15" xfId="0" applyFont="1" applyFill="1" applyBorder="1" applyNumberFormat="1">
      <alignment horizontal="left" vertical="center" indent="4"/>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3" xfId="0" applyFont="1" applyFill="1" applyBorder="1" applyNumberFormat="1">
      <alignment horizontal="center" vertical="center" wrapText="1"/>
    </xf>
    <xf numFmtId="49" fontId="73" fillId="37" borderId="14" xfId="0" applyFont="1" applyFill="1" applyBorder="1" applyNumberFormat="1">
      <alignment horizontal="left" vertical="center"/>
    </xf>
    <xf numFmtId="49" fontId="39" fillId="37" borderId="15" xfId="0" applyFont="1" applyFill="1" applyBorder="1" applyNumberFormat="1">
      <alignment horizontal="left" vertical="center" indent="6"/>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3" xfId="0" applyFont="1" applyFill="1" applyBorder="1" applyNumberFormat="1">
      <alignment horizontal="center" vertical="center" wrapText="1"/>
    </xf>
    <xf numFmtId="49" fontId="73" fillId="37" borderId="14" xfId="0" applyFont="1" applyFill="1" applyBorder="1" applyNumberFormat="1">
      <alignment horizontal="left" vertical="center"/>
    </xf>
    <xf numFmtId="49" fontId="39" fillId="37" borderId="15" xfId="0" applyFont="1" applyFill="1" applyBorder="1" applyNumberFormat="1">
      <alignment horizontal="left" vertical="center" indent="5"/>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3" xfId="0" applyFont="1" applyFill="1" applyBorder="1" applyNumberFormat="1">
      <alignment horizontal="center" vertical="center" wrapText="1"/>
    </xf>
    <xf numFmtId="49" fontId="73" fillId="37" borderId="14" xfId="0" applyFont="1" applyFill="1" applyBorder="1" applyNumberFormat="1">
      <alignment horizontal="left" vertical="center"/>
    </xf>
    <xf numFmtId="49" fontId="39" fillId="37" borderId="15" xfId="0" applyFont="1" applyFill="1" applyBorder="1" applyNumberFormat="1">
      <alignment horizontal="left" vertical="center" indent="4"/>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3" xfId="0" applyFont="1" applyFill="1" applyBorder="1" applyNumberFormat="1">
      <alignment horizontal="center" vertical="center" wrapText="1"/>
    </xf>
    <xf numFmtId="49" fontId="73" fillId="37" borderId="14" xfId="0" applyFont="1" applyFill="1" applyBorder="1" applyNumberFormat="1">
      <alignment horizontal="left" vertical="center"/>
    </xf>
    <xf numFmtId="49" fontId="39" fillId="37" borderId="15" xfId="0" applyFont="1" applyFill="1" applyBorder="1" applyNumberFormat="1">
      <alignment horizontal="left" vertical="center" indent="6"/>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3" xfId="0" applyFont="1" applyFill="1" applyBorder="1" applyNumberFormat="1">
      <alignment horizontal="center" vertical="center" wrapText="1"/>
    </xf>
    <xf numFmtId="49" fontId="73" fillId="37" borderId="14" xfId="0" applyFont="1" applyFill="1" applyBorder="1" applyNumberFormat="1">
      <alignment horizontal="left" vertical="center"/>
    </xf>
    <xf numFmtId="49" fontId="39" fillId="37" borderId="15" xfId="0" applyFont="1" applyFill="1" applyBorder="1" applyNumberFormat="1">
      <alignment horizontal="left" vertical="center" indent="5"/>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3" xfId="0" applyFont="1" applyFill="1" applyBorder="1" applyNumberFormat="1">
      <alignment horizontal="center" vertical="center" wrapText="1"/>
    </xf>
    <xf numFmtId="49" fontId="73" fillId="37" borderId="14" xfId="0" applyFont="1" applyFill="1" applyBorder="1" applyNumberFormat="1">
      <alignment horizontal="left" vertical="center"/>
    </xf>
    <xf numFmtId="49" fontId="39" fillId="37" borderId="15" xfId="0" applyFont="1" applyFill="1" applyBorder="1" applyNumberFormat="1">
      <alignment horizontal="left" vertical="center" indent="4"/>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3"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73" fillId="37" borderId="14" xfId="0" applyFont="1" applyFill="1" applyBorder="1" applyNumberFormat="1">
      <alignment horizontal="left" vertical="center"/>
    </xf>
    <xf numFmtId="49" fontId="39" fillId="37" borderId="15" xfId="0" applyFont="1" applyFill="1" applyBorder="1" applyNumberFormat="1">
      <alignment horizontal="left" vertical="center" indent="5"/>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3" xfId="0" applyFont="1" applyFill="1" applyBorder="1" applyNumberFormat="1">
      <alignment horizontal="center" vertical="center" wrapText="1"/>
    </xf>
    <xf numFmtId="49" fontId="73" fillId="37" borderId="14" xfId="0" applyFont="1" applyFill="1" applyBorder="1" applyNumberFormat="1">
      <alignment horizontal="left" vertical="center"/>
    </xf>
    <xf numFmtId="49" fontId="39" fillId="37" borderId="15" xfId="0" applyFont="1" applyFill="1" applyBorder="1" applyNumberFormat="1">
      <alignment horizontal="left" vertical="center" indent="4"/>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3" xfId="0" applyFont="1" applyFill="1" applyBorder="1" applyNumberFormat="1">
      <alignment horizontal="center" vertical="center" wrapText="1"/>
    </xf>
    <xf numFmtId="49" fontId="73" fillId="37" borderId="14" xfId="0" applyFont="1" applyFill="1" applyBorder="1" applyNumberFormat="1">
      <alignment horizontal="left" vertical="center"/>
    </xf>
    <xf numFmtId="49" fontId="39" fillId="37" borderId="15" xfId="0" applyFont="1" applyFill="1" applyBorder="1" applyNumberFormat="1">
      <alignment horizontal="left" vertical="center" indent="5"/>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3" xfId="0" applyFont="1" applyFill="1" applyBorder="1" applyNumberFormat="1">
      <alignment horizontal="center" vertical="center" wrapText="1"/>
    </xf>
    <xf numFmtId="49" fontId="73" fillId="37" borderId="14" xfId="0" applyFont="1" applyFill="1" applyBorder="1" applyNumberFormat="1">
      <alignment horizontal="left" vertical="center"/>
    </xf>
    <xf numFmtId="49" fontId="39" fillId="37" borderId="15" xfId="0" applyFont="1" applyFill="1" applyBorder="1" applyNumberFormat="1">
      <alignment horizontal="left" vertical="center" indent="4"/>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3" xfId="0" applyFont="1" applyFill="1" applyBorder="1" applyNumberFormat="1">
      <alignment horizontal="center" vertical="center" wrapText="1"/>
    </xf>
    <xf numFmtId="49" fontId="73" fillId="37" borderId="14" xfId="0" applyFont="1" applyFill="1" applyBorder="1" applyNumberFormat="1">
      <alignment horizontal="left" vertical="center"/>
    </xf>
    <xf numFmtId="49" fontId="39" fillId="37" borderId="15" xfId="0" applyFont="1" applyFill="1" applyBorder="1" applyNumberFormat="1">
      <alignment horizontal="left" vertical="center" indent="5"/>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3" xfId="0" applyFont="1" applyFill="1" applyBorder="1" applyNumberFormat="1">
      <alignment horizontal="center" vertical="center" wrapText="1"/>
    </xf>
    <xf numFmtId="49" fontId="73" fillId="37" borderId="14" xfId="0" applyFont="1" applyFill="1" applyBorder="1" applyNumberFormat="1">
      <alignment horizontal="left" vertical="center"/>
    </xf>
    <xf numFmtId="49" fontId="39" fillId="37" borderId="15" xfId="0" applyFont="1" applyFill="1" applyBorder="1" applyNumberFormat="1">
      <alignment horizontal="left" vertical="center" indent="4"/>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3" xfId="0" applyFont="1" applyFill="1" applyBorder="1" applyNumberFormat="1">
      <alignment horizontal="center" vertical="center" wrapTex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 fontId="47"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27" xfId="0" applyFont="1" applyFill="1" applyBorder="1" applyNumberFormat="1">
      <alignment horizontal="center" vertical="center" wrapText="1"/>
    </xf>
    <xf numFmtId="49" fontId="22" fillId="37" borderId="27" xfId="0" applyFont="1" applyFill="1" applyBorder="1" applyNumberFormat="1">
      <alignment horizontal="center" vertical="center" wrapText="1"/>
    </xf>
    <xf numFmtId="49" fontId="22" fillId="37" borderId="27" xfId="0" applyFont="1" applyFill="1" applyBorder="1" applyNumberFormat="1">
      <alignment horizontal="center" vertical="center" wrapText="1"/>
    </xf>
    <xf numFmtId="49" fontId="22" fillId="37" borderId="27"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27" xfId="0" applyFont="1" applyFill="1" applyBorder="1" applyNumberFormat="1">
      <alignment horizontal="center" vertical="center" wrapText="1"/>
    </xf>
    <xf numFmtId="49" fontId="22" fillId="37" borderId="27" xfId="0" applyFont="1" applyFill="1" applyBorder="1" applyNumberFormat="1">
      <alignment horizontal="center" vertical="center" wrapText="1"/>
    </xf>
    <xf numFmtId="49" fontId="22" fillId="37" borderId="27" xfId="0" applyFont="1" applyFill="1" applyBorder="1" applyNumberFormat="1">
      <alignment horizontal="center" vertical="center" wrapText="1"/>
    </xf>
    <xf numFmtId="49" fontId="22" fillId="37" borderId="27"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73" fillId="37" borderId="14" xfId="0" applyFont="1" applyFill="1" applyBorder="1" applyNumberFormat="1">
      <alignment horizontal="left" vertical="center"/>
    </xf>
    <xf numFmtId="49" fontId="39" fillId="37" borderId="15" xfId="0" applyFont="1" applyFill="1" applyBorder="1" applyNumberFormat="1">
      <alignment horizontal="left" vertical="center" indent="6"/>
    </xf>
    <xf numFmtId="0" fontId="22" fillId="37" borderId="15" xfId="0" applyFont="1" applyFill="1" applyBorder="1">
      <alignment horizontal="left" vertical="center" wrapText="1" indent="6"/>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 fontId="47" fillId="37" borderId="15" xfId="0" applyFont="1" applyFill="1" applyBorder="1" applyNumberFormat="1">
      <alignment horizontal="center" vertical="center" wrapTex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 fontId="47" fillId="37" borderId="15" xfId="0" applyFont="1" applyFill="1" applyBorder="1" applyNumberFormat="1">
      <alignment horizontal="center" vertical="center" wrapTex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 fontId="47" fillId="37" borderId="15" xfId="0" applyFont="1" applyFill="1" applyBorder="1" applyNumberFormat="1">
      <alignment horizontal="center" vertical="center" wrapText="1"/>
    </xf>
    <xf numFmtId="4" fontId="22" fillId="37" borderId="13" xfId="0" applyFont="1" applyFill="1" applyBorder="1" applyNumberFormat="1">
      <alignment horizontal="right" vertical="center" wrapText="1"/>
    </xf>
    <xf numFmtId="49" fontId="73" fillId="37" borderId="14" xfId="0" applyFont="1" applyFill="1" applyBorder="1" applyNumberFormat="1">
      <alignment horizontal="left" vertical="center"/>
    </xf>
    <xf numFmtId="49" fontId="39" fillId="37" borderId="15" xfId="0" applyFont="1" applyFill="1" applyBorder="1" applyNumberFormat="1">
      <alignment horizontal="left" vertical="center" indent="5"/>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27" xfId="0" applyFont="1" applyFill="1" applyBorder="1" applyNumberFormat="1">
      <alignment horizontal="center" vertical="center" wrapText="1"/>
    </xf>
    <xf numFmtId="49" fontId="22" fillId="37" borderId="27" xfId="0" applyFont="1" applyFill="1" applyBorder="1" applyNumberFormat="1">
      <alignment horizontal="center" vertical="center" wrapText="1"/>
    </xf>
    <xf numFmtId="49" fontId="22" fillId="37" borderId="27" xfId="0" applyFont="1" applyFill="1" applyBorder="1" applyNumberFormat="1">
      <alignment horizontal="center" vertical="center" wrapText="1"/>
    </xf>
    <xf numFmtId="49" fontId="22" fillId="37" borderId="27"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27" xfId="0" applyFont="1" applyFill="1" applyBorder="1" applyNumberFormat="1">
      <alignment horizontal="center" vertical="center" wrapText="1"/>
    </xf>
    <xf numFmtId="49" fontId="22" fillId="37" borderId="27" xfId="0" applyFont="1" applyFill="1" applyBorder="1" applyNumberFormat="1">
      <alignment horizontal="center" vertical="center" wrapText="1"/>
    </xf>
    <xf numFmtId="49" fontId="22" fillId="37" borderId="27" xfId="0" applyFont="1" applyFill="1" applyBorder="1" applyNumberFormat="1">
      <alignment horizontal="center" vertical="center" wrapText="1"/>
    </xf>
    <xf numFmtId="49" fontId="22" fillId="37" borderId="27" xfId="0" applyFont="1" applyFill="1" applyBorder="1" applyNumberFormat="1">
      <alignment horizontal="center" vertical="center" wrapText="1"/>
    </xf>
    <xf numFmtId="49" fontId="22" fillId="37" borderId="13" xfId="0" applyFont="1" applyFill="1" applyBorder="1" applyNumberFormat="1">
      <alignment horizontal="center" vertical="center" wrapText="1"/>
    </xf>
    <xf numFmtId="49" fontId="73" fillId="37" borderId="14" xfId="0" applyFont="1" applyFill="1" applyBorder="1" applyNumberFormat="1">
      <alignment horizontal="left" vertical="center"/>
    </xf>
    <xf numFmtId="49" fontId="39" fillId="37" borderId="15" xfId="0" applyFont="1" applyFill="1" applyBorder="1" applyNumberFormat="1">
      <alignment horizontal="left" vertical="center" indent="4"/>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3" xfId="0" applyFont="1" applyFill="1" applyBorder="1" applyNumberFormat="1">
      <alignment horizontal="center" vertical="center" wrapText="1"/>
    </xf>
    <xf numFmtId="49" fontId="73" fillId="37" borderId="14" xfId="0" applyFont="1" applyFill="1" applyBorder="1" applyNumberFormat="1">
      <alignment horizontal="left" vertical="center"/>
    </xf>
    <xf numFmtId="49" fontId="39" fillId="37" borderId="15" xfId="0" applyFont="1" applyFill="1" applyBorder="1" applyNumberFormat="1">
      <alignment horizontal="left" vertical="center" indent="6"/>
    </xf>
    <xf numFmtId="0" fontId="22" fillId="37" borderId="15" xfId="0" applyFont="1" applyFill="1" applyBorder="1">
      <alignment horizontal="left" vertical="center" wrapText="1" indent="6"/>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 fontId="47" fillId="37" borderId="15" xfId="0" applyFont="1" applyFill="1" applyBorder="1" applyNumberFormat="1">
      <alignment horizontal="center" vertical="center" wrapTex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 fontId="47" fillId="37" borderId="15" xfId="0" applyFont="1" applyFill="1" applyBorder="1" applyNumberFormat="1">
      <alignment horizontal="center" vertical="center" wrapTex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 fontId="47" fillId="37" borderId="15" xfId="0" applyFont="1" applyFill="1" applyBorder="1" applyNumberFormat="1">
      <alignment horizontal="center" vertical="center" wrapText="1"/>
    </xf>
    <xf numFmtId="4" fontId="22" fillId="37" borderId="13" xfId="0" applyFont="1" applyFill="1" applyBorder="1" applyNumberFormat="1">
      <alignment horizontal="right" vertical="center" wrapText="1"/>
    </xf>
    <xf numFmtId="49" fontId="73" fillId="37" borderId="14" xfId="0" applyFont="1" applyFill="1" applyBorder="1" applyNumberFormat="1">
      <alignment horizontal="left" vertical="center"/>
    </xf>
    <xf numFmtId="49" fontId="39" fillId="37" borderId="15" xfId="0" applyFont="1" applyFill="1" applyBorder="1" applyNumberFormat="1">
      <alignment horizontal="left" vertical="center" indent="5"/>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27" xfId="0" applyFont="1" applyFill="1" applyBorder="1" applyNumberFormat="1">
      <alignment horizontal="center" vertical="center" wrapText="1"/>
    </xf>
    <xf numFmtId="49" fontId="22" fillId="37" borderId="27" xfId="0" applyFont="1" applyFill="1" applyBorder="1" applyNumberFormat="1">
      <alignment horizontal="center" vertical="center" wrapText="1"/>
    </xf>
    <xf numFmtId="49" fontId="22" fillId="37" borderId="27" xfId="0" applyFont="1" applyFill="1" applyBorder="1" applyNumberFormat="1">
      <alignment horizontal="center" vertical="center" wrapText="1"/>
    </xf>
    <xf numFmtId="49" fontId="22" fillId="37" borderId="27"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27" xfId="0" applyFont="1" applyFill="1" applyBorder="1" applyNumberFormat="1">
      <alignment horizontal="center" vertical="center" wrapText="1"/>
    </xf>
    <xf numFmtId="49" fontId="22" fillId="37" borderId="27" xfId="0" applyFont="1" applyFill="1" applyBorder="1" applyNumberFormat="1">
      <alignment horizontal="center" vertical="center" wrapText="1"/>
    </xf>
    <xf numFmtId="49" fontId="22" fillId="37" borderId="27" xfId="0" applyFont="1" applyFill="1" applyBorder="1" applyNumberFormat="1">
      <alignment horizontal="center" vertical="center" wrapText="1"/>
    </xf>
    <xf numFmtId="49" fontId="22" fillId="37" borderId="27" xfId="0" applyFont="1" applyFill="1" applyBorder="1" applyNumberFormat="1">
      <alignment horizontal="center" vertical="center" wrapText="1"/>
    </xf>
    <xf numFmtId="49" fontId="22" fillId="37" borderId="13" xfId="0" applyFont="1" applyFill="1" applyBorder="1" applyNumberFormat="1">
      <alignment horizontal="center" vertical="center" wrapText="1"/>
    </xf>
    <xf numFmtId="49" fontId="73" fillId="37" borderId="14" xfId="0" applyFont="1" applyFill="1" applyBorder="1" applyNumberFormat="1">
      <alignment horizontal="left" vertical="center"/>
    </xf>
    <xf numFmtId="49" fontId="39" fillId="37" borderId="15" xfId="0" applyFont="1" applyFill="1" applyBorder="1" applyNumberFormat="1">
      <alignment horizontal="left" vertical="center" indent="4"/>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3" xfId="0" applyFont="1" applyFill="1" applyBorder="1" applyNumberFormat="1">
      <alignment horizontal="center" vertical="center" wrapText="1"/>
    </xf>
    <xf numFmtId="49" fontId="73" fillId="37" borderId="14" xfId="0" applyFont="1" applyFill="1" applyBorder="1" applyNumberFormat="1">
      <alignment horizontal="left" vertical="center"/>
    </xf>
    <xf numFmtId="49" fontId="39" fillId="37" borderId="15" xfId="0" applyFont="1" applyFill="1" applyBorder="1" applyNumberFormat="1">
      <alignment horizontal="left" vertical="center" indent="6"/>
    </xf>
    <xf numFmtId="0" fontId="22" fillId="37" borderId="15" xfId="0" applyFont="1" applyFill="1" applyBorder="1">
      <alignment horizontal="left" vertical="center" wrapText="1" indent="6"/>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 fontId="47" fillId="37" borderId="15" xfId="0" applyFont="1" applyFill="1" applyBorder="1" applyNumberFormat="1">
      <alignment horizontal="center" vertical="center" wrapTex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 fontId="47" fillId="37" borderId="15" xfId="0" applyFont="1" applyFill="1" applyBorder="1" applyNumberFormat="1">
      <alignment horizontal="center" vertical="center" wrapTex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 fontId="47" fillId="37" borderId="15" xfId="0" applyFont="1" applyFill="1" applyBorder="1" applyNumberFormat="1">
      <alignment horizontal="center" vertical="center" wrapText="1"/>
    </xf>
    <xf numFmtId="4" fontId="22" fillId="37" borderId="13" xfId="0" applyFont="1" applyFill="1" applyBorder="1" applyNumberFormat="1">
      <alignment horizontal="right" vertical="center" wrapText="1"/>
    </xf>
    <xf numFmtId="49" fontId="73" fillId="37" borderId="14" xfId="0" applyFont="1" applyFill="1" applyBorder="1" applyNumberFormat="1">
      <alignment horizontal="left" vertical="center"/>
    </xf>
    <xf numFmtId="49" fontId="39" fillId="37" borderId="15" xfId="0" applyFont="1" applyFill="1" applyBorder="1" applyNumberFormat="1">
      <alignment horizontal="left" vertical="center" indent="5"/>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27" xfId="0" applyFont="1" applyFill="1" applyBorder="1" applyNumberFormat="1">
      <alignment horizontal="center" vertical="center" wrapText="1"/>
    </xf>
    <xf numFmtId="49" fontId="22" fillId="37" borderId="27" xfId="0" applyFont="1" applyFill="1" applyBorder="1" applyNumberFormat="1">
      <alignment horizontal="center" vertical="center" wrapText="1"/>
    </xf>
    <xf numFmtId="49" fontId="22" fillId="37" borderId="27" xfId="0" applyFont="1" applyFill="1" applyBorder="1" applyNumberFormat="1">
      <alignment horizontal="center" vertical="center" wrapText="1"/>
    </xf>
    <xf numFmtId="49" fontId="22" fillId="37" borderId="27"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27" xfId="0" applyFont="1" applyFill="1" applyBorder="1" applyNumberFormat="1">
      <alignment horizontal="center" vertical="center" wrapText="1"/>
    </xf>
    <xf numFmtId="49" fontId="22" fillId="37" borderId="27" xfId="0" applyFont="1" applyFill="1" applyBorder="1" applyNumberFormat="1">
      <alignment horizontal="center" vertical="center" wrapText="1"/>
    </xf>
    <xf numFmtId="49" fontId="22" fillId="37" borderId="27" xfId="0" applyFont="1" applyFill="1" applyBorder="1" applyNumberFormat="1">
      <alignment horizontal="center" vertical="center" wrapText="1"/>
    </xf>
    <xf numFmtId="49" fontId="22" fillId="37" borderId="27" xfId="0" applyFont="1" applyFill="1" applyBorder="1" applyNumberFormat="1">
      <alignment horizontal="center" vertical="center" wrapText="1"/>
    </xf>
    <xf numFmtId="49" fontId="22" fillId="37" borderId="13" xfId="0" applyFont="1" applyFill="1" applyBorder="1" applyNumberFormat="1">
      <alignment horizontal="center" vertical="center" wrapText="1"/>
    </xf>
    <xf numFmtId="49" fontId="73" fillId="37" borderId="14" xfId="0" applyFont="1" applyFill="1" applyBorder="1" applyNumberFormat="1">
      <alignment horizontal="left" vertical="center"/>
    </xf>
    <xf numFmtId="49" fontId="39" fillId="37" borderId="15" xfId="0" applyFont="1" applyFill="1" applyBorder="1" applyNumberFormat="1">
      <alignment horizontal="left" vertical="center" indent="4"/>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3" xfId="0" applyFont="1" applyFill="1" applyBorder="1" applyNumberFormat="1">
      <alignment horizontal="center" vertical="center" wrapText="1"/>
    </xf>
    <xf numFmtId="49" fontId="73" fillId="37" borderId="14" xfId="0" applyFont="1" applyFill="1" applyBorder="1" applyNumberFormat="1">
      <alignment horizontal="left" vertical="center"/>
    </xf>
    <xf numFmtId="49" fontId="39" fillId="37" borderId="15" xfId="0" applyFont="1" applyFill="1" applyBorder="1" applyNumberFormat="1">
      <alignment horizontal="left" vertical="center" indent="6"/>
    </xf>
    <xf numFmtId="0" fontId="22" fillId="37" borderId="15" xfId="0" applyFont="1" applyFill="1" applyBorder="1">
      <alignment horizontal="left" vertical="center" wrapText="1" indent="6"/>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 fontId="47" fillId="37" borderId="15" xfId="0" applyFont="1" applyFill="1" applyBorder="1" applyNumberFormat="1">
      <alignment horizontal="center" vertical="center" wrapTex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 fontId="47" fillId="37" borderId="15" xfId="0" applyFont="1" applyFill="1" applyBorder="1" applyNumberFormat="1">
      <alignment horizontal="center" vertical="center" wrapTex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 fontId="47" fillId="37" borderId="15" xfId="0" applyFont="1" applyFill="1" applyBorder="1" applyNumberFormat="1">
      <alignment horizontal="center" vertical="center" wrapText="1"/>
    </xf>
    <xf numFmtId="4" fontId="22" fillId="37" borderId="13" xfId="0" applyFont="1" applyFill="1" applyBorder="1" applyNumberFormat="1">
      <alignment horizontal="right" vertical="center" wrapText="1"/>
    </xf>
    <xf numFmtId="49" fontId="73" fillId="37" borderId="14" xfId="0" applyFont="1" applyFill="1" applyBorder="1" applyNumberFormat="1">
      <alignment horizontal="left" vertical="center"/>
    </xf>
    <xf numFmtId="49" fontId="39" fillId="37" borderId="15" xfId="0" applyFont="1" applyFill="1" applyBorder="1" applyNumberFormat="1">
      <alignment horizontal="left" vertical="center" indent="5"/>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27" xfId="0" applyFont="1" applyFill="1" applyBorder="1" applyNumberFormat="1">
      <alignment horizontal="center" vertical="center" wrapText="1"/>
    </xf>
    <xf numFmtId="49" fontId="22" fillId="37" borderId="27" xfId="0" applyFont="1" applyFill="1" applyBorder="1" applyNumberFormat="1">
      <alignment horizontal="center" vertical="center" wrapText="1"/>
    </xf>
    <xf numFmtId="49" fontId="22" fillId="37" borderId="27" xfId="0" applyFont="1" applyFill="1" applyBorder="1" applyNumberFormat="1">
      <alignment horizontal="center" vertical="center" wrapText="1"/>
    </xf>
    <xf numFmtId="49" fontId="22" fillId="37" borderId="27"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27" xfId="0" applyFont="1" applyFill="1" applyBorder="1" applyNumberFormat="1">
      <alignment horizontal="center" vertical="center" wrapText="1"/>
    </xf>
    <xf numFmtId="49" fontId="22" fillId="37" borderId="27" xfId="0" applyFont="1" applyFill="1" applyBorder="1" applyNumberFormat="1">
      <alignment horizontal="center" vertical="center" wrapText="1"/>
    </xf>
    <xf numFmtId="49" fontId="22" fillId="37" borderId="27" xfId="0" applyFont="1" applyFill="1" applyBorder="1" applyNumberFormat="1">
      <alignment horizontal="center" vertical="center" wrapText="1"/>
    </xf>
    <xf numFmtId="49" fontId="22" fillId="37" borderId="27" xfId="0" applyFont="1" applyFill="1" applyBorder="1" applyNumberFormat="1">
      <alignment horizontal="center" vertical="center" wrapText="1"/>
    </xf>
    <xf numFmtId="49" fontId="22" fillId="37" borderId="13" xfId="0" applyFont="1" applyFill="1" applyBorder="1" applyNumberFormat="1">
      <alignment horizontal="center" vertical="center" wrapText="1"/>
    </xf>
    <xf numFmtId="49" fontId="73" fillId="37" borderId="14" xfId="0" applyFont="1" applyFill="1" applyBorder="1" applyNumberFormat="1">
      <alignment horizontal="left" vertical="center"/>
    </xf>
    <xf numFmtId="49" fontId="39" fillId="37" borderId="15" xfId="0" applyFont="1" applyFill="1" applyBorder="1" applyNumberFormat="1">
      <alignment horizontal="left" vertical="center" indent="4"/>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3" xfId="0" applyFont="1" applyFill="1" applyBorder="1" applyNumberFormat="1">
      <alignment horizontal="center" vertical="center" wrapText="1"/>
    </xf>
    <xf numFmtId="49" fontId="73" fillId="37" borderId="14" xfId="0" applyFont="1" applyFill="1" applyBorder="1" applyNumberFormat="1">
      <alignment horizontal="left" vertical="center"/>
    </xf>
    <xf numFmtId="49" fontId="39" fillId="37" borderId="15" xfId="0" applyFont="1" applyFill="1" applyBorder="1" applyNumberFormat="1">
      <alignment horizontal="left" vertical="center" indent="6"/>
    </xf>
    <xf numFmtId="0" fontId="22" fillId="37" borderId="15" xfId="0" applyFont="1" applyFill="1" applyBorder="1">
      <alignment horizontal="left" vertical="center" wrapText="1" indent="6"/>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 fontId="47" fillId="37" borderId="15" xfId="0" applyFont="1" applyFill="1" applyBorder="1" applyNumberFormat="1">
      <alignment horizontal="center" vertical="center" wrapTex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 fontId="47" fillId="37" borderId="15" xfId="0" applyFont="1" applyFill="1" applyBorder="1" applyNumberFormat="1">
      <alignment horizontal="center" vertical="center" wrapTex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 fontId="47" fillId="37" borderId="15" xfId="0" applyFont="1" applyFill="1" applyBorder="1" applyNumberFormat="1">
      <alignment horizontal="center" vertical="center" wrapText="1"/>
    </xf>
    <xf numFmtId="4" fontId="22" fillId="37" borderId="13" xfId="0" applyFont="1" applyFill="1" applyBorder="1" applyNumberFormat="1">
      <alignment horizontal="right" vertical="center" wrapText="1"/>
    </xf>
    <xf numFmtId="49" fontId="73" fillId="37" borderId="14" xfId="0" applyFont="1" applyFill="1" applyBorder="1" applyNumberFormat="1">
      <alignment horizontal="left" vertical="center"/>
    </xf>
    <xf numFmtId="49" fontId="39" fillId="37" borderId="15" xfId="0" applyFont="1" applyFill="1" applyBorder="1" applyNumberFormat="1">
      <alignment horizontal="left" vertical="center" indent="5"/>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27" xfId="0" applyFont="1" applyFill="1" applyBorder="1" applyNumberFormat="1">
      <alignment horizontal="center" vertical="center" wrapText="1"/>
    </xf>
    <xf numFmtId="49" fontId="22" fillId="37" borderId="27" xfId="0" applyFont="1" applyFill="1" applyBorder="1" applyNumberFormat="1">
      <alignment horizontal="center" vertical="center" wrapText="1"/>
    </xf>
    <xf numFmtId="49" fontId="22" fillId="37" borderId="27" xfId="0" applyFont="1" applyFill="1" applyBorder="1" applyNumberFormat="1">
      <alignment horizontal="center" vertical="center" wrapText="1"/>
    </xf>
    <xf numFmtId="49" fontId="22" fillId="37" borderId="27"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27" xfId="0" applyFont="1" applyFill="1" applyBorder="1" applyNumberFormat="1">
      <alignment horizontal="center" vertical="center" wrapText="1"/>
    </xf>
    <xf numFmtId="49" fontId="22" fillId="37" borderId="27" xfId="0" applyFont="1" applyFill="1" applyBorder="1" applyNumberFormat="1">
      <alignment horizontal="center" vertical="center" wrapText="1"/>
    </xf>
    <xf numFmtId="49" fontId="22" fillId="37" borderId="27" xfId="0" applyFont="1" applyFill="1" applyBorder="1" applyNumberFormat="1">
      <alignment horizontal="center" vertical="center" wrapText="1"/>
    </xf>
    <xf numFmtId="49" fontId="22" fillId="37" borderId="27" xfId="0" applyFont="1" applyFill="1" applyBorder="1" applyNumberFormat="1">
      <alignment horizontal="center" vertical="center" wrapText="1"/>
    </xf>
    <xf numFmtId="49" fontId="22" fillId="37" borderId="13" xfId="0" applyFont="1" applyFill="1" applyBorder="1" applyNumberFormat="1">
      <alignment horizontal="center" vertical="center" wrapText="1"/>
    </xf>
    <xf numFmtId="49" fontId="73" fillId="37" borderId="14" xfId="0" applyFont="1" applyFill="1" applyBorder="1" applyNumberFormat="1">
      <alignment horizontal="left" vertical="center"/>
    </xf>
    <xf numFmtId="49" fontId="39" fillId="37" borderId="15" xfId="0" applyFont="1" applyFill="1" applyBorder="1" applyNumberFormat="1">
      <alignment horizontal="left" vertical="center" indent="4"/>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3" xfId="0" applyFont="1" applyFill="1" applyBorder="1" applyNumberFormat="1">
      <alignment horizontal="center" vertical="center" wrapText="1"/>
    </xf>
    <xf numFmtId="49" fontId="39" fillId="37" borderId="27" xfId="0" applyFont="1" applyFill="1" applyBorder="1" applyNumberFormat="1">
      <alignment horizontal="left" vertical="center"/>
    </xf>
    <xf numFmtId="49" fontId="39" fillId="37" borderId="15" xfId="0" applyFont="1" applyFill="1" applyBorder="1" applyNumberFormat="1">
      <alignment horizontal="left" vertical="center"/>
    </xf>
    <xf numFmtId="49" fontId="39" fillId="37" borderId="15" xfId="0" applyFont="1" applyFill="1" applyBorder="1" applyNumberFormat="1">
      <alignment horizontal="left" vertical="center" indent="2"/>
    </xf>
    <xf numFmtId="49" fontId="39" fillId="37" borderId="27" xfId="0" applyFont="1" applyFill="1" applyBorder="1" applyNumberFormat="1">
      <alignment horizontal="left" vertical="center"/>
    </xf>
    <xf numFmtId="49" fontId="43" fillId="37" borderId="13" xfId="0" applyFont="1" applyFill="1" applyBorder="1" applyNumberFormat="1">
      <alignment horizontal="center" vertical="top"/>
    </xf>
    <xf numFmtId="49" fontId="39" fillId="37" borderId="27" xfId="0" applyFont="1" applyFill="1" applyBorder="1" applyNumberFormat="1">
      <alignment horizontal="left" vertical="center"/>
    </xf>
    <xf numFmtId="49" fontId="39" fillId="37" borderId="15" xfId="0" applyFont="1" applyFill="1" applyBorder="1" applyNumberFormat="1">
      <alignment horizontal="left" vertical="center"/>
    </xf>
    <xf numFmtId="49" fontId="39" fillId="37" borderId="15" xfId="0" applyFont="1" applyFill="1" applyBorder="1" applyNumberFormat="1">
      <alignment horizontal="left" vertical="center" indent="2"/>
    </xf>
    <xf numFmtId="49" fontId="39" fillId="37" borderId="27" xfId="0" applyFont="1" applyFill="1" applyBorder="1" applyNumberFormat="1">
      <alignment horizontal="left" vertical="center"/>
    </xf>
    <xf numFmtId="49" fontId="43" fillId="37" borderId="13" xfId="0" applyFont="1" applyFill="1" applyBorder="1" applyNumberFormat="1">
      <alignment horizontal="center" vertical="top"/>
    </xf>
    <xf numFmtId="49" fontId="39" fillId="37" borderId="27" xfId="0" applyFont="1" applyFill="1" applyBorder="1" applyNumberFormat="1">
      <alignment horizontal="left" vertical="center"/>
    </xf>
    <xf numFmtId="49" fontId="39" fillId="37" borderId="15" xfId="0" applyFont="1" applyFill="1" applyBorder="1" applyNumberFormat="1">
      <alignment horizontal="left" vertical="center"/>
    </xf>
    <xf numFmtId="49" fontId="39" fillId="37" borderId="15" xfId="0" applyFont="1" applyFill="1" applyBorder="1" applyNumberFormat="1">
      <alignment horizontal="left" vertical="center" indent="2"/>
    </xf>
    <xf numFmtId="49" fontId="39" fillId="37" borderId="27" xfId="0" applyFont="1" applyFill="1" applyBorder="1" applyNumberFormat="1">
      <alignment horizontal="left" vertical="center"/>
    </xf>
    <xf numFmtId="49" fontId="43" fillId="37" borderId="13" xfId="0" applyFont="1" applyFill="1" applyBorder="1" applyNumberFormat="1">
      <alignment horizontal="center" vertical="top"/>
    </xf>
    <xf numFmtId="49" fontId="39" fillId="37" borderId="27" xfId="0" applyFont="1" applyFill="1" applyBorder="1" applyNumberFormat="1">
      <alignment horizontal="left" vertical="center"/>
    </xf>
    <xf numFmtId="49" fontId="39" fillId="37" borderId="15" xfId="0" applyFont="1" applyFill="1" applyBorder="1" applyNumberFormat="1">
      <alignment horizontal="left" vertical="center"/>
    </xf>
    <xf numFmtId="49" fontId="39" fillId="37" borderId="15" xfId="0" applyFont="1" applyFill="1" applyBorder="1" applyNumberFormat="1">
      <alignment horizontal="left" vertical="center" indent="2"/>
    </xf>
    <xf numFmtId="49" fontId="39" fillId="37" borderId="27" xfId="0" applyFont="1" applyFill="1" applyBorder="1" applyNumberFormat="1">
      <alignment horizontal="left" vertical="center"/>
    </xf>
    <xf numFmtId="49" fontId="43" fillId="37" borderId="13" xfId="0" applyFont="1" applyFill="1" applyBorder="1" applyNumberFormat="1">
      <alignment horizontal="center" vertical="top"/>
    </xf>
    <xf numFmtId="49" fontId="39" fillId="37" borderId="27" xfId="0" applyFont="1" applyFill="1" applyBorder="1" applyNumberFormat="1">
      <alignment horizontal="left" vertical="center"/>
    </xf>
    <xf numFmtId="49" fontId="39" fillId="37" borderId="15" xfId="0" applyFont="1" applyFill="1" applyBorder="1" applyNumberFormat="1">
      <alignment horizontal="left" vertical="center"/>
    </xf>
    <xf numFmtId="49" fontId="39" fillId="37" borderId="15" xfId="0" applyFont="1" applyFill="1" applyBorder="1" applyNumberFormat="1">
      <alignment horizontal="left" vertical="center" indent="2"/>
    </xf>
    <xf numFmtId="49" fontId="39" fillId="37" borderId="27" xfId="0" applyFont="1" applyFill="1" applyBorder="1" applyNumberFormat="1">
      <alignment horizontal="left" vertical="center"/>
    </xf>
    <xf numFmtId="49" fontId="43" fillId="37" borderId="13" xfId="0" applyFont="1" applyFill="1" applyBorder="1" applyNumberFormat="1">
      <alignment horizontal="center" vertical="top"/>
    </xf>
    <xf numFmtId="49" fontId="39" fillId="37" borderId="27" xfId="0" applyFont="1" applyFill="1" applyBorder="1" applyNumberFormat="1">
      <alignment horizontal="left" vertical="center"/>
    </xf>
    <xf numFmtId="49" fontId="39" fillId="37" borderId="15" xfId="0" applyFont="1" applyFill="1" applyBorder="1" applyNumberFormat="1">
      <alignment horizontal="left" vertical="center"/>
    </xf>
    <xf numFmtId="49" fontId="39" fillId="37" borderId="15" xfId="0" applyFont="1" applyFill="1" applyBorder="1" applyNumberFormat="1">
      <alignment horizontal="left" vertical="center" indent="2"/>
    </xf>
    <xf numFmtId="49" fontId="39" fillId="37" borderId="27" xfId="0" applyFont="1" applyFill="1" applyBorder="1" applyNumberFormat="1">
      <alignment horizontal="left" vertical="center"/>
    </xf>
    <xf numFmtId="49" fontId="43" fillId="37" borderId="13" xfId="0" applyFont="1" applyFill="1" applyBorder="1" applyNumberFormat="1">
      <alignment horizontal="center" vertical="top"/>
    </xf>
    <xf numFmtId="49" fontId="39" fillId="37" borderId="27" xfId="0" applyFont="1" applyFill="1" applyBorder="1" applyNumberFormat="1">
      <alignment horizontal="left" vertical="center"/>
    </xf>
    <xf numFmtId="49" fontId="39" fillId="37" borderId="15" xfId="0" applyFont="1" applyFill="1" applyBorder="1" applyNumberFormat="1">
      <alignment horizontal="left" vertical="center"/>
    </xf>
    <xf numFmtId="49" fontId="39" fillId="37" borderId="15" xfId="0" applyFont="1" applyFill="1" applyBorder="1" applyNumberFormat="1">
      <alignment horizontal="left" vertical="center" indent="2"/>
    </xf>
    <xf numFmtId="49" fontId="39" fillId="37" borderId="27" xfId="0" applyFont="1" applyFill="1" applyBorder="1" applyNumberFormat="1">
      <alignment horizontal="left" vertical="center"/>
    </xf>
    <xf numFmtId="49" fontId="43" fillId="37" borderId="13" xfId="0" applyFont="1" applyFill="1" applyBorder="1" applyNumberFormat="1">
      <alignment horizontal="center" vertical="top"/>
    </xf>
    <xf numFmtId="49" fontId="39" fillId="37" borderId="27" xfId="0" applyFont="1" applyFill="1" applyBorder="1" applyNumberFormat="1">
      <alignment horizontal="left" vertical="center"/>
    </xf>
    <xf numFmtId="49" fontId="39" fillId="37" borderId="15" xfId="0" applyFont="1" applyFill="1" applyBorder="1" applyNumberFormat="1">
      <alignment horizontal="left" vertical="center"/>
    </xf>
    <xf numFmtId="49" fontId="39" fillId="37" borderId="15" xfId="0" applyFont="1" applyFill="1" applyBorder="1" applyNumberFormat="1">
      <alignment horizontal="left" vertical="center" indent="2"/>
    </xf>
    <xf numFmtId="49" fontId="39" fillId="37" borderId="27" xfId="0" applyFont="1" applyFill="1" applyBorder="1" applyNumberFormat="1">
      <alignment horizontal="left" vertical="center"/>
    </xf>
    <xf numFmtId="49" fontId="43" fillId="37" borderId="13" xfId="0" applyFont="1" applyFill="1" applyBorder="1" applyNumberFormat="1">
      <alignment horizontal="center" vertical="top"/>
    </xf>
    <xf numFmtId="49" fontId="39" fillId="37" borderId="27" xfId="0" applyFont="1" applyFill="1" applyBorder="1" applyNumberFormat="1">
      <alignment horizontal="left" vertical="center"/>
    </xf>
    <xf numFmtId="49" fontId="39" fillId="37" borderId="15" xfId="0" applyFont="1" applyFill="1" applyBorder="1" applyNumberFormat="1">
      <alignment horizontal="left" vertical="center"/>
    </xf>
    <xf numFmtId="49" fontId="39" fillId="37" borderId="15" xfId="0" applyFont="1" applyFill="1" applyBorder="1" applyNumberFormat="1">
      <alignment horizontal="left" vertical="center" indent="2"/>
    </xf>
    <xf numFmtId="49" fontId="39" fillId="37" borderId="27" xfId="0" applyFont="1" applyFill="1" applyBorder="1" applyNumberFormat="1">
      <alignment horizontal="left" vertical="center"/>
    </xf>
    <xf numFmtId="49" fontId="43" fillId="37" borderId="13" xfId="0" applyFont="1" applyFill="1" applyBorder="1" applyNumberFormat="1">
      <alignment horizontal="center" vertical="top"/>
    </xf>
    <xf numFmtId="49" fontId="39" fillId="37" borderId="27" xfId="0" applyFont="1" applyFill="1" applyBorder="1" applyNumberFormat="1">
      <alignment horizontal="left" vertical="center"/>
    </xf>
    <xf numFmtId="49" fontId="39" fillId="37" borderId="15" xfId="0" applyFont="1" applyFill="1" applyBorder="1" applyNumberFormat="1">
      <alignment horizontal="left" vertical="center"/>
    </xf>
    <xf numFmtId="49" fontId="39" fillId="37" borderId="15" xfId="0" applyFont="1" applyFill="1" applyBorder="1" applyNumberFormat="1">
      <alignment horizontal="left" vertical="center" indent="2"/>
    </xf>
    <xf numFmtId="49" fontId="39" fillId="37" borderId="27" xfId="0" applyFont="1" applyFill="1" applyBorder="1" applyNumberFormat="1">
      <alignment horizontal="left" vertical="center"/>
    </xf>
    <xf numFmtId="49" fontId="43" fillId="37" borderId="13" xfId="0" applyFont="1" applyFill="1" applyBorder="1" applyNumberFormat="1">
      <alignment horizontal="center" vertical="top"/>
    </xf>
    <xf numFmtId="49" fontId="39" fillId="37" borderId="27" xfId="0" applyFont="1" applyFill="1" applyBorder="1" applyNumberFormat="1">
      <alignment horizontal="left" vertical="center"/>
    </xf>
    <xf numFmtId="49" fontId="39" fillId="37" borderId="15" xfId="0" applyFont="1" applyFill="1" applyBorder="1" applyNumberFormat="1">
      <alignment horizontal="left" vertical="center"/>
    </xf>
    <xf numFmtId="49" fontId="39" fillId="37" borderId="15" xfId="0" applyFont="1" applyFill="1" applyBorder="1" applyNumberFormat="1">
      <alignment horizontal="left" vertical="center" indent="2"/>
    </xf>
    <xf numFmtId="49" fontId="39" fillId="37" borderId="27" xfId="0" applyFont="1" applyFill="1" applyBorder="1" applyNumberFormat="1">
      <alignment horizontal="left" vertical="center"/>
    </xf>
    <xf numFmtId="49" fontId="43" fillId="37" borderId="13" xfId="0" applyFont="1" applyFill="1" applyBorder="1" applyNumberFormat="1">
      <alignment horizontal="center" vertical="top"/>
    </xf>
    <xf numFmtId="49" fontId="39" fillId="37" borderId="27" xfId="0" applyFont="1" applyFill="1" applyBorder="1" applyNumberFormat="1">
      <alignment horizontal="left" vertical="center"/>
    </xf>
    <xf numFmtId="49" fontId="39" fillId="37" borderId="15" xfId="0" applyFont="1" applyFill="1" applyBorder="1" applyNumberFormat="1">
      <alignment horizontal="left" vertical="center"/>
    </xf>
    <xf numFmtId="49" fontId="39" fillId="37" borderId="15" xfId="0" applyFont="1" applyFill="1" applyBorder="1" applyNumberFormat="1">
      <alignment horizontal="left" vertical="center" indent="2"/>
    </xf>
    <xf numFmtId="49" fontId="39" fillId="37" borderId="27" xfId="0" applyFont="1" applyFill="1" applyBorder="1" applyNumberFormat="1">
      <alignment horizontal="left" vertical="center"/>
    </xf>
    <xf numFmtId="49" fontId="43" fillId="37" borderId="13" xfId="0" applyFont="1" applyFill="1" applyBorder="1" applyNumberFormat="1">
      <alignment horizontal="center" vertical="top"/>
    </xf>
    <xf numFmtId="49" fontId="39" fillId="37" borderId="27" xfId="0" applyFont="1" applyFill="1" applyBorder="1" applyNumberFormat="1">
      <alignment horizontal="left" vertical="center"/>
    </xf>
    <xf numFmtId="49" fontId="39" fillId="37" borderId="15" xfId="0" applyFont="1" applyFill="1" applyBorder="1" applyNumberFormat="1">
      <alignment horizontal="left" vertical="center"/>
    </xf>
    <xf numFmtId="49" fontId="39" fillId="37" borderId="15" xfId="0" applyFont="1" applyFill="1" applyBorder="1" applyNumberFormat="1">
      <alignment horizontal="left" vertical="center" indent="2"/>
    </xf>
    <xf numFmtId="49" fontId="39" fillId="37" borderId="27" xfId="0" applyFont="1" applyFill="1" applyBorder="1" applyNumberFormat="1">
      <alignment horizontal="left" vertical="center"/>
    </xf>
    <xf numFmtId="49" fontId="43" fillId="37" borderId="13" xfId="0" applyFont="1" applyFill="1" applyBorder="1" applyNumberFormat="1">
      <alignment horizontal="center" vertical="top"/>
    </xf>
    <xf numFmtId="49" fontId="39" fillId="37" borderId="27" xfId="0" applyFont="1" applyFill="1" applyBorder="1" applyNumberFormat="1">
      <alignment horizontal="left" vertical="center"/>
    </xf>
    <xf numFmtId="49" fontId="39" fillId="37" borderId="15" xfId="0" applyFont="1" applyFill="1" applyBorder="1" applyNumberFormat="1">
      <alignment horizontal="left" vertical="center"/>
    </xf>
    <xf numFmtId="49" fontId="39" fillId="37" borderId="15" xfId="0" applyFont="1" applyFill="1" applyBorder="1" applyNumberFormat="1">
      <alignment horizontal="left" vertical="center" indent="2"/>
    </xf>
    <xf numFmtId="49" fontId="39" fillId="37" borderId="27" xfId="0" applyFont="1" applyFill="1" applyBorder="1" applyNumberFormat="1">
      <alignment horizontal="left" vertical="center"/>
    </xf>
    <xf numFmtId="49" fontId="43" fillId="37" borderId="13" xfId="0" applyFont="1" applyFill="1" applyBorder="1" applyNumberFormat="1">
      <alignment horizontal="center" vertical="top"/>
    </xf>
    <xf numFmtId="49" fontId="39" fillId="37" borderId="27" xfId="0" applyFont="1" applyFill="1" applyBorder="1" applyNumberFormat="1">
      <alignment horizontal="left" vertical="center"/>
    </xf>
    <xf numFmtId="49" fontId="39" fillId="37" borderId="15" xfId="0" applyFont="1" applyFill="1" applyBorder="1" applyNumberFormat="1">
      <alignment horizontal="left" vertical="center"/>
    </xf>
    <xf numFmtId="49" fontId="39" fillId="37" borderId="15" xfId="0" applyFont="1" applyFill="1" applyBorder="1" applyNumberFormat="1">
      <alignment horizontal="left" vertical="center" indent="2"/>
    </xf>
    <xf numFmtId="49" fontId="39" fillId="37" borderId="27" xfId="0" applyFont="1" applyFill="1" applyBorder="1" applyNumberFormat="1">
      <alignment horizontal="left" vertical="center"/>
    </xf>
    <xf numFmtId="49" fontId="43" fillId="37" borderId="13" xfId="0" applyFont="1" applyFill="1" applyBorder="1" applyNumberFormat="1">
      <alignment horizontal="center" vertical="top"/>
    </xf>
    <xf numFmtId="49" fontId="39" fillId="37" borderId="27" xfId="0" applyFont="1" applyFill="1" applyBorder="1" applyNumberFormat="1">
      <alignment horizontal="left" vertical="center"/>
    </xf>
    <xf numFmtId="49" fontId="39" fillId="37" borderId="15" xfId="0" applyFont="1" applyFill="1" applyBorder="1" applyNumberFormat="1">
      <alignment horizontal="left" vertical="center"/>
    </xf>
    <xf numFmtId="49" fontId="39" fillId="37" borderId="15" xfId="0" applyFont="1" applyFill="1" applyBorder="1" applyNumberFormat="1">
      <alignment horizontal="left" vertical="center" indent="2"/>
    </xf>
    <xf numFmtId="49" fontId="39" fillId="37" borderId="27" xfId="0" applyFont="1" applyFill="1" applyBorder="1" applyNumberFormat="1">
      <alignment horizontal="left" vertical="center"/>
    </xf>
    <xf numFmtId="49" fontId="43" fillId="37" borderId="13" xfId="0" applyFont="1" applyFill="1" applyBorder="1" applyNumberFormat="1">
      <alignment horizontal="center" vertical="top"/>
    </xf>
    <xf numFmtId="49" fontId="39" fillId="37" borderId="27" xfId="0" applyFont="1" applyFill="1" applyBorder="1" applyNumberFormat="1">
      <alignment horizontal="left" vertical="center"/>
    </xf>
    <xf numFmtId="49" fontId="39" fillId="37" borderId="15" xfId="0" applyFont="1" applyFill="1" applyBorder="1" applyNumberFormat="1">
      <alignment horizontal="left" vertical="center"/>
    </xf>
    <xf numFmtId="49" fontId="39" fillId="37" borderId="15" xfId="0" applyFont="1" applyFill="1" applyBorder="1" applyNumberFormat="1">
      <alignment horizontal="left" vertical="center" indent="2"/>
    </xf>
    <xf numFmtId="49" fontId="39" fillId="37" borderId="27" xfId="0" applyFont="1" applyFill="1" applyBorder="1" applyNumberFormat="1">
      <alignment horizontal="left" vertical="center"/>
    </xf>
    <xf numFmtId="49" fontId="43" fillId="37" borderId="13" xfId="0" applyFont="1" applyFill="1" applyBorder="1" applyNumberFormat="1">
      <alignment horizontal="center" vertical="top"/>
    </xf>
    <xf numFmtId="49" fontId="39" fillId="37" borderId="27" xfId="0" applyFont="1" applyFill="1" applyBorder="1" applyNumberFormat="1">
      <alignment horizontal="left" vertical="center"/>
    </xf>
    <xf numFmtId="49" fontId="39" fillId="37" borderId="15" xfId="0" applyFont="1" applyFill="1" applyBorder="1" applyNumberFormat="1">
      <alignment horizontal="left" vertical="center"/>
    </xf>
    <xf numFmtId="49" fontId="39" fillId="37" borderId="15" xfId="0" applyFont="1" applyFill="1" applyBorder="1" applyNumberFormat="1">
      <alignment horizontal="left" vertical="center" indent="2"/>
    </xf>
    <xf numFmtId="49" fontId="39" fillId="37" borderId="27" xfId="0" applyFont="1" applyFill="1" applyBorder="1" applyNumberFormat="1">
      <alignment horizontal="left" vertical="center"/>
    </xf>
    <xf numFmtId="49" fontId="43" fillId="37" borderId="13" xfId="0" applyFont="1" applyFill="1" applyBorder="1" applyNumberFormat="1">
      <alignment horizontal="center" vertical="top"/>
    </xf>
    <xf numFmtId="49" fontId="39" fillId="37" borderId="27" xfId="0" applyFont="1" applyFill="1" applyBorder="1" applyNumberFormat="1">
      <alignment horizontal="left" vertical="center"/>
    </xf>
    <xf numFmtId="49" fontId="39" fillId="37" borderId="15" xfId="0" applyFont="1" applyFill="1" applyBorder="1" applyNumberFormat="1">
      <alignment horizontal="left" vertical="center"/>
    </xf>
    <xf numFmtId="49" fontId="39" fillId="37" borderId="15" xfId="0" applyFont="1" applyFill="1" applyBorder="1" applyNumberFormat="1">
      <alignment horizontal="left" vertical="center" indent="2"/>
    </xf>
    <xf numFmtId="49" fontId="39" fillId="37" borderId="27" xfId="0" applyFont="1" applyFill="1" applyBorder="1" applyNumberFormat="1">
      <alignment horizontal="left" vertical="center"/>
    </xf>
    <xf numFmtId="49" fontId="43" fillId="37" borderId="13" xfId="0" applyFont="1" applyFill="1" applyBorder="1" applyNumberFormat="1">
      <alignment horizontal="center" vertical="top"/>
    </xf>
    <xf numFmtId="49" fontId="39" fillId="37" borderId="27" xfId="0" applyFont="1" applyFill="1" applyBorder="1" applyNumberFormat="1">
      <alignment horizontal="left" vertical="center"/>
    </xf>
    <xf numFmtId="49" fontId="39" fillId="37" borderId="15" xfId="0" applyFont="1" applyFill="1" applyBorder="1" applyNumberFormat="1">
      <alignment horizontal="left" vertical="center"/>
    </xf>
    <xf numFmtId="49" fontId="39" fillId="37" borderId="15" xfId="0" applyFont="1" applyFill="1" applyBorder="1" applyNumberFormat="1">
      <alignment horizontal="left" vertical="center" indent="2"/>
    </xf>
    <xf numFmtId="49" fontId="39" fillId="37" borderId="27" xfId="0" applyFont="1" applyFill="1" applyBorder="1" applyNumberFormat="1">
      <alignment horizontal="left" vertical="center"/>
    </xf>
    <xf numFmtId="49" fontId="43" fillId="37" borderId="13" xfId="0" applyFont="1" applyFill="1" applyBorder="1" applyNumberFormat="1">
      <alignment horizontal="center" vertical="top"/>
    </xf>
    <xf numFmtId="49" fontId="39" fillId="37" borderId="27" xfId="0" applyFont="1" applyFill="1" applyBorder="1" applyNumberFormat="1">
      <alignment horizontal="left" vertical="center"/>
    </xf>
    <xf numFmtId="49" fontId="39" fillId="37" borderId="15" xfId="0" applyFont="1" applyFill="1" applyBorder="1" applyNumberFormat="1">
      <alignment horizontal="left" vertical="center"/>
    </xf>
    <xf numFmtId="49" fontId="39" fillId="37" borderId="15" xfId="0" applyFont="1" applyFill="1" applyBorder="1" applyNumberFormat="1">
      <alignment horizontal="left" vertical="center" indent="2"/>
    </xf>
    <xf numFmtId="49" fontId="39" fillId="37" borderId="27" xfId="0" applyFont="1" applyFill="1" applyBorder="1" applyNumberFormat="1">
      <alignment horizontal="left" vertical="center"/>
    </xf>
    <xf numFmtId="49" fontId="43" fillId="37" borderId="13" xfId="0" applyFont="1" applyFill="1" applyBorder="1" applyNumberFormat="1">
      <alignment horizontal="center" vertical="top"/>
    </xf>
    <xf numFmtId="49" fontId="39" fillId="37" borderId="27" xfId="0" applyFont="1" applyFill="1" applyBorder="1" applyNumberFormat="1">
      <alignment horizontal="left" vertical="center"/>
    </xf>
    <xf numFmtId="49" fontId="39" fillId="37" borderId="15" xfId="0" applyFont="1" applyFill="1" applyBorder="1" applyNumberFormat="1">
      <alignment horizontal="left" vertical="center"/>
    </xf>
    <xf numFmtId="49" fontId="39" fillId="37" borderId="15" xfId="0" applyFont="1" applyFill="1" applyBorder="1" applyNumberFormat="1">
      <alignment horizontal="left" vertical="center" indent="2"/>
    </xf>
    <xf numFmtId="49" fontId="39" fillId="37" borderId="27" xfId="0" applyFont="1" applyFill="1" applyBorder="1" applyNumberFormat="1">
      <alignment horizontal="left" vertical="center"/>
    </xf>
    <xf numFmtId="49" fontId="43" fillId="37" borderId="13" xfId="0" applyFont="1" applyFill="1" applyBorder="1" applyNumberFormat="1">
      <alignment horizontal="center" vertical="top"/>
    </xf>
    <xf numFmtId="49" fontId="39" fillId="37" borderId="27" xfId="0" applyFont="1" applyFill="1" applyBorder="1" applyNumberFormat="1">
      <alignment horizontal="left" vertical="center"/>
    </xf>
    <xf numFmtId="49" fontId="39" fillId="37" borderId="15" xfId="0" applyFont="1" applyFill="1" applyBorder="1" applyNumberFormat="1">
      <alignment horizontal="left" vertical="center"/>
    </xf>
    <xf numFmtId="49" fontId="39" fillId="37" borderId="15" xfId="0" applyFont="1" applyFill="1" applyBorder="1" applyNumberFormat="1">
      <alignment horizontal="left" vertical="center" indent="2"/>
    </xf>
    <xf numFmtId="49" fontId="39" fillId="37" borderId="27" xfId="0" applyFont="1" applyFill="1" applyBorder="1" applyNumberFormat="1">
      <alignment horizontal="left" vertical="center"/>
    </xf>
    <xf numFmtId="49" fontId="43" fillId="37" borderId="13" xfId="0" applyFont="1" applyFill="1" applyBorder="1" applyNumberFormat="1">
      <alignment horizontal="center" vertical="top"/>
    </xf>
    <xf numFmtId="49" fontId="39" fillId="37" borderId="27" xfId="0" applyFont="1" applyFill="1" applyBorder="1" applyNumberFormat="1">
      <alignment horizontal="left" vertical="center"/>
    </xf>
    <xf numFmtId="49" fontId="39" fillId="37" borderId="15" xfId="0" applyFont="1" applyFill="1" applyBorder="1" applyNumberFormat="1">
      <alignment horizontal="left" vertical="center"/>
    </xf>
    <xf numFmtId="49" fontId="39" fillId="37" borderId="15" xfId="0" applyFont="1" applyFill="1" applyBorder="1" applyNumberFormat="1">
      <alignment horizontal="left" vertical="center" indent="2"/>
    </xf>
    <xf numFmtId="49" fontId="39" fillId="37" borderId="27" xfId="0" applyFont="1" applyFill="1" applyBorder="1" applyNumberFormat="1">
      <alignment horizontal="left" vertical="center"/>
    </xf>
    <xf numFmtId="49" fontId="43" fillId="37" borderId="13" xfId="0" applyFont="1" applyFill="1" applyBorder="1" applyNumberFormat="1">
      <alignment horizontal="center" vertical="top"/>
    </xf>
    <xf numFmtId="49" fontId="39" fillId="37" borderId="27" xfId="0" applyFont="1" applyFill="1" applyBorder="1" applyNumberFormat="1">
      <alignment horizontal="left" vertical="center"/>
    </xf>
    <xf numFmtId="49" fontId="39" fillId="37" borderId="15" xfId="0" applyFont="1" applyFill="1" applyBorder="1" applyNumberFormat="1">
      <alignment horizontal="left" vertical="center"/>
    </xf>
    <xf numFmtId="49" fontId="39" fillId="37" borderId="15" xfId="0" applyFont="1" applyFill="1" applyBorder="1" applyNumberFormat="1">
      <alignment horizontal="left" vertical="center" indent="2"/>
    </xf>
    <xf numFmtId="49" fontId="39" fillId="37" borderId="27" xfId="0" applyFont="1" applyFill="1" applyBorder="1" applyNumberFormat="1">
      <alignment horizontal="left" vertical="center"/>
    </xf>
    <xf numFmtId="49" fontId="43" fillId="37" borderId="13" xfId="0" applyFont="1" applyFill="1" applyBorder="1" applyNumberFormat="1">
      <alignment horizontal="center" vertical="top"/>
    </xf>
    <xf numFmtId="49" fontId="39" fillId="37" borderId="27" xfId="0" applyFont="1" applyFill="1" applyBorder="1" applyNumberFormat="1">
      <alignment horizontal="left" vertical="center"/>
    </xf>
    <xf numFmtId="49" fontId="39" fillId="37" borderId="15" xfId="0" applyFont="1" applyFill="1" applyBorder="1" applyNumberFormat="1">
      <alignment horizontal="left" vertical="center"/>
    </xf>
    <xf numFmtId="49" fontId="39" fillId="37" borderId="15" xfId="0" applyFont="1" applyFill="1" applyBorder="1" applyNumberFormat="1">
      <alignment horizontal="left" vertical="center" indent="2"/>
    </xf>
    <xf numFmtId="49" fontId="39" fillId="37" borderId="27" xfId="0" applyFont="1" applyFill="1" applyBorder="1" applyNumberFormat="1">
      <alignment horizontal="left" vertical="center"/>
    </xf>
    <xf numFmtId="49" fontId="43" fillId="37" borderId="13" xfId="0" applyFont="1" applyFill="1" applyBorder="1" applyNumberFormat="1">
      <alignment horizontal="center" vertical="top"/>
    </xf>
    <xf numFmtId="49" fontId="39" fillId="37" borderId="27" xfId="0" applyFont="1" applyFill="1" applyBorder="1" applyNumberFormat="1">
      <alignment horizontal="left" vertical="center"/>
    </xf>
    <xf numFmtId="49" fontId="39" fillId="37" borderId="15" xfId="0" applyFont="1" applyFill="1" applyBorder="1" applyNumberFormat="1">
      <alignment horizontal="left" vertical="center"/>
    </xf>
    <xf numFmtId="49" fontId="39" fillId="37" borderId="15" xfId="0" applyFont="1" applyFill="1" applyBorder="1" applyNumberFormat="1">
      <alignment horizontal="left" vertical="center" indent="2"/>
    </xf>
    <xf numFmtId="49" fontId="39" fillId="37" borderId="27" xfId="0" applyFont="1" applyFill="1" applyBorder="1" applyNumberFormat="1">
      <alignment horizontal="left" vertical="center"/>
    </xf>
    <xf numFmtId="49" fontId="43" fillId="37" borderId="13" xfId="0" applyFont="1" applyFill="1" applyBorder="1" applyNumberFormat="1">
      <alignment horizontal="center" vertical="top"/>
    </xf>
    <xf numFmtId="49" fontId="39" fillId="37" borderId="27" xfId="0" applyFont="1" applyFill="1" applyBorder="1" applyNumberFormat="1">
      <alignment horizontal="left" vertical="center"/>
    </xf>
    <xf numFmtId="49" fontId="39" fillId="37" borderId="15" xfId="0" applyFont="1" applyFill="1" applyBorder="1" applyNumberFormat="1">
      <alignment horizontal="left" vertical="center"/>
    </xf>
    <xf numFmtId="49" fontId="39" fillId="37" borderId="15" xfId="0" applyFont="1" applyFill="1" applyBorder="1" applyNumberFormat="1">
      <alignment horizontal="left" vertical="center" indent="2"/>
    </xf>
    <xf numFmtId="49" fontId="39" fillId="37" borderId="27" xfId="0" applyFont="1" applyFill="1" applyBorder="1" applyNumberFormat="1">
      <alignment horizontal="left" vertical="center"/>
    </xf>
    <xf numFmtId="49" fontId="43" fillId="37" borderId="13" xfId="0" applyFont="1" applyFill="1" applyBorder="1" applyNumberFormat="1">
      <alignment horizontal="center" vertical="top"/>
    </xf>
    <xf numFmtId="49" fontId="39" fillId="37" borderId="27" xfId="0" applyFont="1" applyFill="1" applyBorder="1" applyNumberFormat="1">
      <alignment horizontal="left" vertical="center"/>
    </xf>
    <xf numFmtId="49" fontId="39" fillId="37" borderId="15" xfId="0" applyFont="1" applyFill="1" applyBorder="1" applyNumberFormat="1">
      <alignment horizontal="left" vertical="center"/>
    </xf>
    <xf numFmtId="49" fontId="39" fillId="37" borderId="15" xfId="0" applyFont="1" applyFill="1" applyBorder="1" applyNumberFormat="1">
      <alignment horizontal="left" vertical="center" indent="2"/>
    </xf>
    <xf numFmtId="49" fontId="39" fillId="37" borderId="27" xfId="0" applyFont="1" applyFill="1" applyBorder="1" applyNumberFormat="1">
      <alignment horizontal="left" vertical="center"/>
    </xf>
    <xf numFmtId="49" fontId="43" fillId="37" borderId="13" xfId="0" applyFont="1" applyFill="1" applyBorder="1" applyNumberFormat="1">
      <alignment horizontal="center" vertical="top"/>
    </xf>
    <xf numFmtId="49" fontId="39" fillId="37" borderId="27" xfId="0" applyFont="1" applyFill="1" applyBorder="1" applyNumberFormat="1">
      <alignment horizontal="left" vertical="center"/>
    </xf>
    <xf numFmtId="49" fontId="39" fillId="37" borderId="15" xfId="0" applyFont="1" applyFill="1" applyBorder="1" applyNumberFormat="1">
      <alignment horizontal="left" vertical="center"/>
    </xf>
    <xf numFmtId="49" fontId="39" fillId="37" borderId="15" xfId="0" applyFont="1" applyFill="1" applyBorder="1" applyNumberFormat="1">
      <alignment horizontal="left" vertical="center" indent="2"/>
    </xf>
    <xf numFmtId="49" fontId="39" fillId="37" borderId="27" xfId="0" applyFont="1" applyFill="1" applyBorder="1" applyNumberFormat="1">
      <alignment horizontal="left" vertical="center"/>
    </xf>
    <xf numFmtId="49" fontId="43" fillId="37" borderId="13" xfId="0" applyFont="1" applyFill="1" applyBorder="1" applyNumberFormat="1">
      <alignment horizontal="center" vertical="top"/>
    </xf>
    <xf numFmtId="49" fontId="39" fillId="37" borderId="27" xfId="0" applyFont="1" applyFill="1" applyBorder="1" applyNumberFormat="1">
      <alignment horizontal="left" vertical="center"/>
    </xf>
    <xf numFmtId="49" fontId="39" fillId="37" borderId="15" xfId="0" applyFont="1" applyFill="1" applyBorder="1" applyNumberFormat="1">
      <alignment horizontal="left" vertical="center"/>
    </xf>
    <xf numFmtId="49" fontId="39" fillId="37" borderId="15" xfId="0" applyFont="1" applyFill="1" applyBorder="1" applyNumberFormat="1">
      <alignment horizontal="left" vertical="center" indent="2"/>
    </xf>
    <xf numFmtId="49" fontId="39" fillId="37" borderId="27" xfId="0" applyFont="1" applyFill="1" applyBorder="1" applyNumberFormat="1">
      <alignment horizontal="left" vertical="center"/>
    </xf>
    <xf numFmtId="49" fontId="43" fillId="37" borderId="13" xfId="0" applyFont="1" applyFill="1" applyBorder="1" applyNumberFormat="1">
      <alignment horizontal="center" vertical="top"/>
    </xf>
    <xf numFmtId="49" fontId="39" fillId="37" borderId="27" xfId="0" applyFont="1" applyFill="1" applyBorder="1" applyNumberFormat="1">
      <alignment horizontal="left" vertical="center"/>
    </xf>
    <xf numFmtId="49" fontId="39" fillId="37" borderId="15" xfId="0" applyFont="1" applyFill="1" applyBorder="1" applyNumberFormat="1">
      <alignment horizontal="left" vertical="center"/>
    </xf>
    <xf numFmtId="49" fontId="39" fillId="37" borderId="15" xfId="0" applyFont="1" applyFill="1" applyBorder="1" applyNumberFormat="1">
      <alignment horizontal="left" vertical="center" indent="2"/>
    </xf>
    <xf numFmtId="49" fontId="39" fillId="37" borderId="27" xfId="0" applyFont="1" applyFill="1" applyBorder="1" applyNumberFormat="1">
      <alignment horizontal="left" vertical="center"/>
    </xf>
    <xf numFmtId="49" fontId="43" fillId="37" borderId="13" xfId="0" applyFont="1" applyFill="1" applyBorder="1" applyNumberFormat="1">
      <alignment horizontal="center" vertical="top"/>
    </xf>
    <xf numFmtId="49" fontId="39" fillId="37" borderId="27" xfId="0" applyFont="1" applyFill="1" applyBorder="1" applyNumberFormat="1">
      <alignment horizontal="left" vertical="center"/>
    </xf>
    <xf numFmtId="49" fontId="39" fillId="37" borderId="15" xfId="0" applyFont="1" applyFill="1" applyBorder="1" applyNumberFormat="1">
      <alignment horizontal="left" vertical="center"/>
    </xf>
    <xf numFmtId="49" fontId="39" fillId="37" borderId="15" xfId="0" applyFont="1" applyFill="1" applyBorder="1" applyNumberFormat="1">
      <alignment horizontal="left" vertical="center" indent="2"/>
    </xf>
    <xf numFmtId="49" fontId="39" fillId="37" borderId="27" xfId="0" applyFont="1" applyFill="1" applyBorder="1" applyNumberFormat="1">
      <alignment horizontal="left" vertical="center"/>
    </xf>
    <xf numFmtId="49" fontId="43" fillId="37" borderId="13" xfId="0" applyFont="1" applyFill="1" applyBorder="1" applyNumberFormat="1">
      <alignment horizontal="center" vertical="top"/>
    </xf>
    <xf numFmtId="49" fontId="39" fillId="37" borderId="27" xfId="0" applyFont="1" applyFill="1" applyBorder="1" applyNumberFormat="1">
      <alignment horizontal="left" vertical="center"/>
    </xf>
    <xf numFmtId="49" fontId="39" fillId="37" borderId="15" xfId="0" applyFont="1" applyFill="1" applyBorder="1" applyNumberFormat="1">
      <alignment horizontal="left" vertical="center"/>
    </xf>
    <xf numFmtId="49" fontId="39" fillId="37" borderId="15" xfId="0" applyFont="1" applyFill="1" applyBorder="1" applyNumberFormat="1">
      <alignment horizontal="left" vertical="center" indent="2"/>
    </xf>
    <xf numFmtId="49" fontId="39" fillId="37" borderId="27" xfId="0" applyFont="1" applyFill="1" applyBorder="1" applyNumberFormat="1">
      <alignment horizontal="left" vertical="center"/>
    </xf>
    <xf numFmtId="49" fontId="43" fillId="37" borderId="13" xfId="0" applyFont="1" applyFill="1" applyBorder="1" applyNumberFormat="1">
      <alignment horizontal="center" vertical="top"/>
    </xf>
    <xf numFmtId="49" fontId="39" fillId="37" borderId="27" xfId="0" applyFont="1" applyFill="1" applyBorder="1" applyNumberFormat="1">
      <alignment horizontal="left" vertical="center"/>
    </xf>
    <xf numFmtId="49" fontId="39" fillId="37" borderId="15" xfId="0" applyFont="1" applyFill="1" applyBorder="1" applyNumberFormat="1">
      <alignment horizontal="left" vertical="center"/>
    </xf>
    <xf numFmtId="49" fontId="39" fillId="37" borderId="15" xfId="0" applyFont="1" applyFill="1" applyBorder="1" applyNumberFormat="1">
      <alignment horizontal="left" vertical="center" indent="2"/>
    </xf>
    <xf numFmtId="49" fontId="39" fillId="37" borderId="27" xfId="0" applyFont="1" applyFill="1" applyBorder="1" applyNumberFormat="1">
      <alignment horizontal="left" vertical="center"/>
    </xf>
    <xf numFmtId="49" fontId="43" fillId="37" borderId="13" xfId="0" applyFont="1" applyFill="1" applyBorder="1" applyNumberFormat="1">
      <alignment horizontal="center" vertical="top"/>
    </xf>
    <xf numFmtId="49" fontId="39" fillId="37" borderId="27" xfId="0" applyFont="1" applyFill="1" applyBorder="1" applyNumberFormat="1">
      <alignment horizontal="left" vertical="center"/>
    </xf>
    <xf numFmtId="49" fontId="39" fillId="37" borderId="15" xfId="0" applyFont="1" applyFill="1" applyBorder="1" applyNumberFormat="1">
      <alignment horizontal="left" vertical="center"/>
    </xf>
    <xf numFmtId="49" fontId="39" fillId="37" borderId="15" xfId="0" applyFont="1" applyFill="1" applyBorder="1" applyNumberFormat="1">
      <alignment horizontal="left" vertical="center" indent="2"/>
    </xf>
    <xf numFmtId="49" fontId="39" fillId="37" borderId="27" xfId="0" applyFont="1" applyFill="1" applyBorder="1" applyNumberFormat="1">
      <alignment horizontal="left" vertical="center"/>
    </xf>
    <xf numFmtId="49" fontId="43" fillId="37" borderId="13" xfId="0" applyFont="1" applyFill="1" applyBorder="1" applyNumberFormat="1">
      <alignment horizontal="center" vertical="top"/>
    </xf>
    <xf numFmtId="49" fontId="39" fillId="37" borderId="27" xfId="0" applyFont="1" applyFill="1" applyBorder="1" applyNumberFormat="1">
      <alignment horizontal="left" vertical="center"/>
    </xf>
    <xf numFmtId="49" fontId="39" fillId="37" borderId="15" xfId="0" applyFont="1" applyFill="1" applyBorder="1" applyNumberFormat="1">
      <alignment horizontal="left" vertical="center"/>
    </xf>
    <xf numFmtId="49" fontId="39" fillId="37" borderId="15" xfId="0" applyFont="1" applyFill="1" applyBorder="1" applyNumberFormat="1">
      <alignment horizontal="left" vertical="center" indent="2"/>
    </xf>
    <xf numFmtId="49" fontId="39" fillId="37" borderId="27" xfId="0" applyFont="1" applyFill="1" applyBorder="1" applyNumberFormat="1">
      <alignment horizontal="left" vertical="center"/>
    </xf>
    <xf numFmtId="49" fontId="43" fillId="37" borderId="13" xfId="0" applyFont="1" applyFill="1" applyBorder="1" applyNumberFormat="1">
      <alignment horizontal="center" vertical="top"/>
    </xf>
    <xf numFmtId="49" fontId="39" fillId="37" borderId="27" xfId="0" applyFont="1" applyFill="1" applyBorder="1" applyNumberFormat="1">
      <alignment horizontal="left" vertical="center"/>
    </xf>
    <xf numFmtId="49" fontId="39" fillId="37" borderId="15" xfId="0" applyFont="1" applyFill="1" applyBorder="1" applyNumberFormat="1">
      <alignment horizontal="left" vertical="center"/>
    </xf>
    <xf numFmtId="49" fontId="39" fillId="37" borderId="15" xfId="0" applyFont="1" applyFill="1" applyBorder="1" applyNumberFormat="1">
      <alignment horizontal="left" vertical="center" indent="2"/>
    </xf>
    <xf numFmtId="49" fontId="39" fillId="37" borderId="27" xfId="0" applyFont="1" applyFill="1" applyBorder="1" applyNumberFormat="1">
      <alignment horizontal="left" vertical="center"/>
    </xf>
    <xf numFmtId="49" fontId="43" fillId="37" borderId="13" xfId="0" applyFont="1" applyFill="1" applyBorder="1" applyNumberFormat="1">
      <alignment horizontal="center" vertical="top"/>
    </xf>
    <xf numFmtId="49" fontId="39" fillId="37" borderId="27" xfId="0" applyFont="1" applyFill="1" applyBorder="1" applyNumberFormat="1">
      <alignment horizontal="left" vertical="center"/>
    </xf>
    <xf numFmtId="49" fontId="39" fillId="37" borderId="15" xfId="0" applyFont="1" applyFill="1" applyBorder="1" applyNumberFormat="1">
      <alignment horizontal="left" vertical="center"/>
    </xf>
    <xf numFmtId="49" fontId="39" fillId="37" borderId="15" xfId="0" applyFont="1" applyFill="1" applyBorder="1" applyNumberFormat="1">
      <alignment horizontal="left" vertical="center" indent="2"/>
    </xf>
    <xf numFmtId="49" fontId="39" fillId="37" borderId="27" xfId="0" applyFont="1" applyFill="1" applyBorder="1" applyNumberFormat="1">
      <alignment horizontal="left" vertical="center"/>
    </xf>
    <xf numFmtId="49" fontId="43" fillId="37" borderId="13" xfId="0" applyFont="1" applyFill="1" applyBorder="1" applyNumberFormat="1">
      <alignment horizontal="center" vertical="top"/>
    </xf>
    <xf numFmtId="49" fontId="39" fillId="37" borderId="27" xfId="0" applyFont="1" applyFill="1" applyBorder="1" applyNumberFormat="1">
      <alignment horizontal="left" vertical="center"/>
    </xf>
    <xf numFmtId="49" fontId="39" fillId="37" borderId="15" xfId="0" applyFont="1" applyFill="1" applyBorder="1" applyNumberFormat="1">
      <alignment horizontal="left" vertical="center"/>
    </xf>
    <xf numFmtId="49" fontId="39" fillId="37" borderId="15" xfId="0" applyFont="1" applyFill="1" applyBorder="1" applyNumberFormat="1">
      <alignment horizontal="left" vertical="center" indent="2"/>
    </xf>
    <xf numFmtId="49" fontId="39" fillId="37" borderId="27" xfId="0" applyFont="1" applyFill="1" applyBorder="1" applyNumberFormat="1">
      <alignment horizontal="left" vertical="center"/>
    </xf>
    <xf numFmtId="49" fontId="43" fillId="37" borderId="13" xfId="0" applyFont="1" applyFill="1" applyBorder="1" applyNumberFormat="1">
      <alignment horizontal="center" vertical="top"/>
    </xf>
    <xf numFmtId="49" fontId="39" fillId="37" borderId="27" xfId="0" applyFont="1" applyFill="1" applyBorder="1" applyNumberFormat="1">
      <alignment horizontal="left" vertical="center"/>
    </xf>
    <xf numFmtId="49" fontId="39" fillId="37" borderId="15" xfId="0" applyFont="1" applyFill="1" applyBorder="1" applyNumberFormat="1">
      <alignment horizontal="left" vertical="center"/>
    </xf>
    <xf numFmtId="49" fontId="39" fillId="37" borderId="15" xfId="0" applyFont="1" applyFill="1" applyBorder="1" applyNumberFormat="1">
      <alignment horizontal="left" vertical="center" indent="2"/>
    </xf>
    <xf numFmtId="49" fontId="39" fillId="37" borderId="27" xfId="0" applyFont="1" applyFill="1" applyBorder="1" applyNumberFormat="1">
      <alignment horizontal="left" vertical="center"/>
    </xf>
    <xf numFmtId="49" fontId="43" fillId="37" borderId="13" xfId="0" applyFont="1" applyFill="1" applyBorder="1" applyNumberFormat="1">
      <alignment horizontal="center" vertical="top"/>
    </xf>
    <xf numFmtId="49" fontId="39" fillId="37" borderId="27" xfId="0" applyFont="1" applyFill="1" applyBorder="1" applyNumberFormat="1">
      <alignment horizontal="left" vertical="center"/>
    </xf>
    <xf numFmtId="49" fontId="39" fillId="37" borderId="15" xfId="0" applyFont="1" applyFill="1" applyBorder="1" applyNumberFormat="1">
      <alignment horizontal="left" vertical="center"/>
    </xf>
    <xf numFmtId="49" fontId="39" fillId="37" borderId="15" xfId="0" applyFont="1" applyFill="1" applyBorder="1" applyNumberFormat="1">
      <alignment horizontal="left" vertical="center" indent="2"/>
    </xf>
    <xf numFmtId="49" fontId="39" fillId="37" borderId="27" xfId="0" applyFont="1" applyFill="1" applyBorder="1" applyNumberFormat="1">
      <alignment horizontal="left" vertical="center"/>
    </xf>
    <xf numFmtId="49" fontId="43" fillId="37" borderId="13" xfId="0" applyFont="1" applyFill="1" applyBorder="1" applyNumberFormat="1">
      <alignment horizontal="center" vertical="top"/>
    </xf>
    <xf numFmtId="49" fontId="39" fillId="37" borderId="27" xfId="0" applyFont="1" applyFill="1" applyBorder="1" applyNumberFormat="1">
      <alignment horizontal="left" vertical="center"/>
    </xf>
    <xf numFmtId="49" fontId="39" fillId="37" borderId="15" xfId="0" applyFont="1" applyFill="1" applyBorder="1" applyNumberFormat="1">
      <alignment horizontal="left" vertical="center"/>
    </xf>
    <xf numFmtId="49" fontId="39" fillId="37" borderId="15" xfId="0" applyFont="1" applyFill="1" applyBorder="1" applyNumberFormat="1">
      <alignment horizontal="left" vertical="center" indent="2"/>
    </xf>
    <xf numFmtId="49" fontId="39" fillId="37" borderId="27" xfId="0" applyFont="1" applyFill="1" applyBorder="1" applyNumberFormat="1">
      <alignment horizontal="left" vertical="center"/>
    </xf>
    <xf numFmtId="49" fontId="43" fillId="37" borderId="13" xfId="0" applyFont="1" applyFill="1" applyBorder="1" applyNumberFormat="1">
      <alignment horizontal="center" vertical="top"/>
    </xf>
    <xf numFmtId="49" fontId="39" fillId="37" borderId="27" xfId="0" applyFont="1" applyFill="1" applyBorder="1" applyNumberFormat="1">
      <alignment horizontal="left" vertical="center"/>
    </xf>
    <xf numFmtId="49" fontId="39" fillId="37" borderId="15" xfId="0" applyFont="1" applyFill="1" applyBorder="1" applyNumberFormat="1">
      <alignment horizontal="left" vertical="center"/>
    </xf>
    <xf numFmtId="49" fontId="39" fillId="37" borderId="15" xfId="0" applyFont="1" applyFill="1" applyBorder="1" applyNumberFormat="1">
      <alignment horizontal="left" vertical="center" indent="2"/>
    </xf>
    <xf numFmtId="49" fontId="39" fillId="37" borderId="27" xfId="0" applyFont="1" applyFill="1" applyBorder="1" applyNumberFormat="1">
      <alignment horizontal="left" vertical="center"/>
    </xf>
    <xf numFmtId="49" fontId="43" fillId="37" borderId="13" xfId="0" applyFont="1" applyFill="1" applyBorder="1" applyNumberFormat="1">
      <alignment horizontal="center" vertical="top"/>
    </xf>
    <xf numFmtId="49" fontId="39" fillId="37" borderId="27" xfId="0" applyFont="1" applyFill="1" applyBorder="1" applyNumberFormat="1">
      <alignment horizontal="left" vertical="center"/>
    </xf>
    <xf numFmtId="49" fontId="39" fillId="37" borderId="15" xfId="0" applyFont="1" applyFill="1" applyBorder="1" applyNumberFormat="1">
      <alignment horizontal="left" vertical="center"/>
    </xf>
    <xf numFmtId="49" fontId="39" fillId="37" borderId="15" xfId="0" applyFont="1" applyFill="1" applyBorder="1" applyNumberFormat="1">
      <alignment horizontal="left" vertical="center" indent="2"/>
    </xf>
    <xf numFmtId="49" fontId="39" fillId="37" borderId="27" xfId="0" applyFont="1" applyFill="1" applyBorder="1" applyNumberFormat="1">
      <alignment horizontal="left" vertical="center"/>
    </xf>
    <xf numFmtId="49" fontId="43" fillId="37" borderId="13" xfId="0" applyFont="1" applyFill="1" applyBorder="1" applyNumberFormat="1">
      <alignment horizontal="center" vertical="top"/>
    </xf>
    <xf numFmtId="49" fontId="39" fillId="37" borderId="27" xfId="0" applyFont="1" applyFill="1" applyBorder="1" applyNumberFormat="1">
      <alignment horizontal="left" vertical="center"/>
    </xf>
    <xf numFmtId="49" fontId="39" fillId="37" borderId="15" xfId="0" applyFont="1" applyFill="1" applyBorder="1" applyNumberFormat="1">
      <alignment horizontal="left" vertical="center"/>
    </xf>
    <xf numFmtId="49" fontId="39" fillId="37" borderId="15" xfId="0" applyFont="1" applyFill="1" applyBorder="1" applyNumberFormat="1">
      <alignment horizontal="left" vertical="center" indent="2"/>
    </xf>
    <xf numFmtId="49" fontId="39" fillId="37" borderId="27" xfId="0" applyFont="1" applyFill="1" applyBorder="1" applyNumberFormat="1">
      <alignment horizontal="left" vertical="center"/>
    </xf>
    <xf numFmtId="49" fontId="43" fillId="37" borderId="13" xfId="0" applyFont="1" applyFill="1" applyBorder="1" applyNumberFormat="1">
      <alignment horizontal="center" vertical="top"/>
    </xf>
    <xf numFmtId="49" fontId="39" fillId="37" borderId="27" xfId="0" applyFont="1" applyFill="1" applyBorder="1" applyNumberFormat="1">
      <alignment horizontal="left" vertical="center"/>
    </xf>
    <xf numFmtId="49" fontId="39" fillId="37" borderId="15" xfId="0" applyFont="1" applyFill="1" applyBorder="1" applyNumberFormat="1">
      <alignment horizontal="left" vertical="center"/>
    </xf>
    <xf numFmtId="49" fontId="39" fillId="37" borderId="15" xfId="0" applyFont="1" applyFill="1" applyBorder="1" applyNumberFormat="1">
      <alignment horizontal="left" vertical="center" indent="2"/>
    </xf>
    <xf numFmtId="49" fontId="39" fillId="37" borderId="27" xfId="0" applyFont="1" applyFill="1" applyBorder="1" applyNumberFormat="1">
      <alignment horizontal="left" vertical="center"/>
    </xf>
    <xf numFmtId="49" fontId="43" fillId="37" borderId="13" xfId="0" applyFont="1" applyFill="1" applyBorder="1" applyNumberFormat="1">
      <alignment horizontal="center" vertical="top"/>
    </xf>
    <xf numFmtId="49" fontId="39" fillId="37" borderId="27" xfId="0" applyFont="1" applyFill="1" applyBorder="1" applyNumberFormat="1">
      <alignment horizontal="left" vertical="center"/>
    </xf>
    <xf numFmtId="49" fontId="39" fillId="37" borderId="15" xfId="0" applyFont="1" applyFill="1" applyBorder="1" applyNumberFormat="1">
      <alignment horizontal="left" vertical="center"/>
    </xf>
    <xf numFmtId="49" fontId="39" fillId="37" borderId="15" xfId="0" applyFont="1" applyFill="1" applyBorder="1" applyNumberFormat="1">
      <alignment horizontal="left" vertical="center" indent="2"/>
    </xf>
    <xf numFmtId="49" fontId="39" fillId="37" borderId="27" xfId="0" applyFont="1" applyFill="1" applyBorder="1" applyNumberFormat="1">
      <alignment horizontal="left" vertical="center"/>
    </xf>
    <xf numFmtId="49" fontId="43" fillId="37" borderId="13" xfId="0" applyFont="1" applyFill="1" applyBorder="1" applyNumberFormat="1">
      <alignment horizontal="center" vertical="top"/>
    </xf>
    <xf numFmtId="49" fontId="39" fillId="37" borderId="27" xfId="0" applyFont="1" applyFill="1" applyBorder="1" applyNumberFormat="1">
      <alignment horizontal="left" vertical="center"/>
    </xf>
    <xf numFmtId="49" fontId="39" fillId="37" borderId="15" xfId="0" applyFont="1" applyFill="1" applyBorder="1" applyNumberFormat="1">
      <alignment horizontal="left" vertical="center"/>
    </xf>
    <xf numFmtId="49" fontId="39" fillId="37" borderId="15" xfId="0" applyFont="1" applyFill="1" applyBorder="1" applyNumberFormat="1">
      <alignment horizontal="left" vertical="center" indent="2"/>
    </xf>
    <xf numFmtId="49" fontId="39" fillId="37" borderId="27" xfId="0" applyFont="1" applyFill="1" applyBorder="1" applyNumberFormat="1">
      <alignment horizontal="left" vertical="center"/>
    </xf>
    <xf numFmtId="49" fontId="43" fillId="37" borderId="13" xfId="0" applyFont="1" applyFill="1" applyBorder="1" applyNumberFormat="1">
      <alignment horizontal="center" vertical="top"/>
    </xf>
    <xf numFmtId="49" fontId="39" fillId="37" borderId="27" xfId="0" applyFont="1" applyFill="1" applyBorder="1" applyNumberFormat="1">
      <alignment horizontal="left" vertical="center"/>
    </xf>
    <xf numFmtId="49" fontId="39" fillId="37" borderId="15" xfId="0" applyFont="1" applyFill="1" applyBorder="1" applyNumberFormat="1">
      <alignment horizontal="left" vertical="center"/>
    </xf>
    <xf numFmtId="49" fontId="39" fillId="37" borderId="15" xfId="0" applyFont="1" applyFill="1" applyBorder="1" applyNumberFormat="1">
      <alignment horizontal="left" vertical="center" indent="2"/>
    </xf>
    <xf numFmtId="49" fontId="39" fillId="37" borderId="27" xfId="0" applyFont="1" applyFill="1" applyBorder="1" applyNumberFormat="1">
      <alignment horizontal="left" vertical="center"/>
    </xf>
    <xf numFmtId="49" fontId="43" fillId="37" borderId="13" xfId="0" applyFont="1" applyFill="1" applyBorder="1" applyNumberFormat="1">
      <alignment horizontal="center" vertical="top"/>
    </xf>
    <xf numFmtId="49" fontId="39" fillId="37" borderId="27" xfId="0" applyFont="1" applyFill="1" applyBorder="1" applyNumberFormat="1">
      <alignment horizontal="left" vertical="center"/>
    </xf>
    <xf numFmtId="49" fontId="39" fillId="37" borderId="15" xfId="0" applyFont="1" applyFill="1" applyBorder="1" applyNumberFormat="1">
      <alignment horizontal="left" vertical="center"/>
    </xf>
    <xf numFmtId="49" fontId="39" fillId="37" borderId="15" xfId="0" applyFont="1" applyFill="1" applyBorder="1" applyNumberFormat="1">
      <alignment horizontal="left" vertical="center" indent="2"/>
    </xf>
    <xf numFmtId="49" fontId="39" fillId="37" borderId="27" xfId="0" applyFont="1" applyFill="1" applyBorder="1" applyNumberFormat="1">
      <alignment horizontal="left" vertical="center"/>
    </xf>
    <xf numFmtId="49" fontId="43" fillId="37" borderId="13" xfId="0" applyFont="1" applyFill="1" applyBorder="1" applyNumberFormat="1">
      <alignment horizontal="center" vertical="top"/>
    </xf>
    <xf numFmtId="49" fontId="39" fillId="37" borderId="27" xfId="0" applyFont="1" applyFill="1" applyBorder="1" applyNumberFormat="1">
      <alignment horizontal="left" vertical="center"/>
    </xf>
    <xf numFmtId="49" fontId="39" fillId="37" borderId="15" xfId="0" applyFont="1" applyFill="1" applyBorder="1" applyNumberFormat="1">
      <alignment horizontal="left" vertical="center"/>
    </xf>
    <xf numFmtId="49" fontId="39" fillId="37" borderId="15" xfId="0" applyFont="1" applyFill="1" applyBorder="1" applyNumberFormat="1">
      <alignment horizontal="left" vertical="center" indent="2"/>
    </xf>
    <xf numFmtId="49" fontId="39" fillId="37" borderId="27" xfId="0" applyFont="1" applyFill="1" applyBorder="1" applyNumberFormat="1">
      <alignment horizontal="left" vertical="center"/>
    </xf>
    <xf numFmtId="49" fontId="43" fillId="37" borderId="13" xfId="0" applyFont="1" applyFill="1" applyBorder="1" applyNumberFormat="1">
      <alignment horizontal="center" vertical="top"/>
    </xf>
    <xf numFmtId="49" fontId="39" fillId="37" borderId="27" xfId="0" applyFont="1" applyFill="1" applyBorder="1" applyNumberFormat="1">
      <alignment horizontal="left" vertical="center"/>
    </xf>
    <xf numFmtId="49" fontId="39" fillId="37" borderId="15" xfId="0" applyFont="1" applyFill="1" applyBorder="1" applyNumberFormat="1">
      <alignment horizontal="left" vertical="center"/>
    </xf>
    <xf numFmtId="49" fontId="39" fillId="37" borderId="15" xfId="0" applyFont="1" applyFill="1" applyBorder="1" applyNumberFormat="1">
      <alignment horizontal="left" vertical="center" indent="2"/>
    </xf>
    <xf numFmtId="49" fontId="39" fillId="37" borderId="27" xfId="0" applyFont="1" applyFill="1" applyBorder="1" applyNumberFormat="1">
      <alignment horizontal="left" vertical="center"/>
    </xf>
    <xf numFmtId="49" fontId="43" fillId="37" borderId="13" xfId="0" applyFont="1" applyFill="1" applyBorder="1" applyNumberFormat="1">
      <alignment horizontal="center" vertical="top"/>
    </xf>
    <xf numFmtId="49" fontId="39" fillId="37" borderId="27" xfId="0" applyFont="1" applyFill="1" applyBorder="1" applyNumberFormat="1">
      <alignment horizontal="left" vertical="center"/>
    </xf>
    <xf numFmtId="49" fontId="39" fillId="37" borderId="15" xfId="0" applyFont="1" applyFill="1" applyBorder="1" applyNumberFormat="1">
      <alignment horizontal="left" vertical="center"/>
    </xf>
    <xf numFmtId="49" fontId="39" fillId="37" borderId="15" xfId="0" applyFont="1" applyFill="1" applyBorder="1" applyNumberFormat="1">
      <alignment horizontal="left" vertical="center" indent="2"/>
    </xf>
    <xf numFmtId="49" fontId="39" fillId="37" borderId="27" xfId="0" applyFont="1" applyFill="1" applyBorder="1" applyNumberFormat="1">
      <alignment horizontal="left" vertical="center"/>
    </xf>
    <xf numFmtId="49" fontId="43" fillId="37" borderId="13" xfId="0" applyFont="1" applyFill="1" applyBorder="1" applyNumberFormat="1">
      <alignment horizontal="center" vertical="top"/>
    </xf>
    <xf numFmtId="49" fontId="39" fillId="37" borderId="27" xfId="0" applyFont="1" applyFill="1" applyBorder="1" applyNumberFormat="1">
      <alignment horizontal="left" vertical="center"/>
    </xf>
    <xf numFmtId="49" fontId="39" fillId="37" borderId="15" xfId="0" applyFont="1" applyFill="1" applyBorder="1" applyNumberFormat="1">
      <alignment horizontal="left" vertical="center"/>
    </xf>
    <xf numFmtId="49" fontId="39" fillId="37" borderId="15" xfId="0" applyFont="1" applyFill="1" applyBorder="1" applyNumberFormat="1">
      <alignment horizontal="left" vertical="center" indent="2"/>
    </xf>
    <xf numFmtId="49" fontId="39" fillId="37" borderId="27" xfId="0" applyFont="1" applyFill="1" applyBorder="1" applyNumberFormat="1">
      <alignment horizontal="left" vertical="center"/>
    </xf>
    <xf numFmtId="49" fontId="43" fillId="37" borderId="13" xfId="0" applyFont="1" applyFill="1" applyBorder="1" applyNumberFormat="1">
      <alignment horizontal="center" vertical="top"/>
    </xf>
    <xf numFmtId="49" fontId="39" fillId="37" borderId="27" xfId="0" applyFont="1" applyFill="1" applyBorder="1" applyNumberFormat="1">
      <alignment horizontal="left" vertical="center"/>
    </xf>
    <xf numFmtId="49" fontId="39" fillId="37" borderId="15" xfId="0" applyFont="1" applyFill="1" applyBorder="1" applyNumberFormat="1">
      <alignment horizontal="left" vertical="center"/>
    </xf>
    <xf numFmtId="49" fontId="39" fillId="37" borderId="15" xfId="0" applyFont="1" applyFill="1" applyBorder="1" applyNumberFormat="1">
      <alignment horizontal="left" vertical="center" indent="2"/>
    </xf>
    <xf numFmtId="49" fontId="39" fillId="37" borderId="27" xfId="0" applyFont="1" applyFill="1" applyBorder="1" applyNumberFormat="1">
      <alignment horizontal="left" vertical="center"/>
    </xf>
    <xf numFmtId="49" fontId="43" fillId="37" borderId="13" xfId="0" applyFont="1" applyFill="1" applyBorder="1" applyNumberFormat="1">
      <alignment horizontal="center" vertical="top"/>
    </xf>
    <xf numFmtId="49" fontId="39" fillId="37" borderId="27" xfId="0" applyFont="1" applyFill="1" applyBorder="1" applyNumberFormat="1">
      <alignment horizontal="left" vertical="center"/>
    </xf>
    <xf numFmtId="49" fontId="39" fillId="37" borderId="15" xfId="0" applyFont="1" applyFill="1" applyBorder="1" applyNumberFormat="1">
      <alignment horizontal="left" vertical="center"/>
    </xf>
    <xf numFmtId="49" fontId="39" fillId="37" borderId="15" xfId="0" applyFont="1" applyFill="1" applyBorder="1" applyNumberFormat="1">
      <alignment horizontal="left" vertical="center" indent="2"/>
    </xf>
    <xf numFmtId="49" fontId="39" fillId="37" borderId="27" xfId="0" applyFont="1" applyFill="1" applyBorder="1" applyNumberFormat="1">
      <alignment horizontal="left" vertical="center"/>
    </xf>
    <xf numFmtId="49" fontId="43" fillId="37" borderId="13" xfId="0" applyFont="1" applyFill="1" applyBorder="1" applyNumberFormat="1">
      <alignment horizontal="center" vertical="top"/>
    </xf>
    <xf numFmtId="49" fontId="39" fillId="37" borderId="27" xfId="0" applyFont="1" applyFill="1" applyBorder="1" applyNumberFormat="1">
      <alignment horizontal="left" vertical="center"/>
    </xf>
    <xf numFmtId="49" fontId="39" fillId="37" borderId="15" xfId="0" applyFont="1" applyFill="1" applyBorder="1" applyNumberFormat="1">
      <alignment horizontal="left" vertical="center"/>
    </xf>
    <xf numFmtId="49" fontId="39" fillId="37" borderId="15" xfId="0" applyFont="1" applyFill="1" applyBorder="1" applyNumberFormat="1">
      <alignment horizontal="left" vertical="center" indent="2"/>
    </xf>
    <xf numFmtId="49" fontId="39" fillId="37" borderId="27" xfId="0" applyFont="1" applyFill="1" applyBorder="1" applyNumberFormat="1">
      <alignment horizontal="left" vertical="center"/>
    </xf>
    <xf numFmtId="49" fontId="43" fillId="37" borderId="13" xfId="0" applyFont="1" applyFill="1" applyBorder="1" applyNumberFormat="1">
      <alignment horizontal="center" vertical="top"/>
    </xf>
    <xf numFmtId="49" fontId="39" fillId="37" borderId="27" xfId="0" applyFont="1" applyFill="1" applyBorder="1" applyNumberFormat="1">
      <alignment horizontal="left" vertical="center"/>
    </xf>
    <xf numFmtId="49" fontId="39" fillId="37" borderId="15" xfId="0" applyFont="1" applyFill="1" applyBorder="1" applyNumberFormat="1">
      <alignment horizontal="left" vertical="center"/>
    </xf>
    <xf numFmtId="49" fontId="39" fillId="37" borderId="15" xfId="0" applyFont="1" applyFill="1" applyBorder="1" applyNumberFormat="1">
      <alignment horizontal="left" vertical="center" indent="2"/>
    </xf>
    <xf numFmtId="49" fontId="39" fillId="37" borderId="27" xfId="0" applyFont="1" applyFill="1" applyBorder="1" applyNumberFormat="1">
      <alignment horizontal="left" vertical="center"/>
    </xf>
    <xf numFmtId="49" fontId="43" fillId="37" borderId="13" xfId="0" applyFont="1" applyFill="1" applyBorder="1" applyNumberFormat="1">
      <alignment horizontal="center" vertical="top"/>
    </xf>
    <xf numFmtId="49" fontId="39" fillId="37" borderId="27" xfId="0" applyFont="1" applyFill="1" applyBorder="1" applyNumberFormat="1">
      <alignment horizontal="left" vertical="center"/>
    </xf>
    <xf numFmtId="49" fontId="39" fillId="37" borderId="15" xfId="0" applyFont="1" applyFill="1" applyBorder="1" applyNumberFormat="1">
      <alignment horizontal="left" vertical="center"/>
    </xf>
    <xf numFmtId="49" fontId="39" fillId="37" borderId="15" xfId="0" applyFont="1" applyFill="1" applyBorder="1" applyNumberFormat="1">
      <alignment horizontal="left" vertical="center" indent="2"/>
    </xf>
    <xf numFmtId="49" fontId="39" fillId="37" borderId="27" xfId="0" applyFont="1" applyFill="1" applyBorder="1" applyNumberFormat="1">
      <alignment horizontal="left" vertical="center"/>
    </xf>
    <xf numFmtId="49" fontId="43" fillId="37" borderId="13" xfId="0" applyFont="1" applyFill="1" applyBorder="1" applyNumberFormat="1">
      <alignment horizontal="center" vertical="top"/>
    </xf>
    <xf numFmtId="49" fontId="39" fillId="37" borderId="27" xfId="0" applyFont="1" applyFill="1" applyBorder="1" applyNumberFormat="1">
      <alignment horizontal="left" vertical="center"/>
    </xf>
    <xf numFmtId="49" fontId="39" fillId="37" borderId="15" xfId="0" applyFont="1" applyFill="1" applyBorder="1" applyNumberFormat="1">
      <alignment horizontal="left" vertical="center"/>
    </xf>
    <xf numFmtId="49" fontId="39" fillId="37" borderId="15" xfId="0" applyFont="1" applyFill="1" applyBorder="1" applyNumberFormat="1">
      <alignment horizontal="left" vertical="center" indent="2"/>
    </xf>
    <xf numFmtId="49" fontId="39" fillId="37" borderId="27" xfId="0" applyFont="1" applyFill="1" applyBorder="1" applyNumberFormat="1">
      <alignment horizontal="left" vertical="center"/>
    </xf>
    <xf numFmtId="49" fontId="43" fillId="37" borderId="13" xfId="0" applyFont="1" applyFill="1" applyBorder="1" applyNumberFormat="1">
      <alignment horizontal="center" vertical="top"/>
    </xf>
    <xf numFmtId="49" fontId="39" fillId="37" borderId="27" xfId="0" applyFont="1" applyFill="1" applyBorder="1" applyNumberFormat="1">
      <alignment horizontal="left" vertical="center"/>
    </xf>
    <xf numFmtId="49" fontId="39" fillId="37" borderId="15" xfId="0" applyFont="1" applyFill="1" applyBorder="1" applyNumberFormat="1">
      <alignment horizontal="left" vertical="center"/>
    </xf>
    <xf numFmtId="49" fontId="39" fillId="37" borderId="15" xfId="0" applyFont="1" applyFill="1" applyBorder="1" applyNumberFormat="1">
      <alignment horizontal="left" vertical="center" indent="2"/>
    </xf>
    <xf numFmtId="49" fontId="39" fillId="37" borderId="27" xfId="0" applyFont="1" applyFill="1" applyBorder="1" applyNumberFormat="1">
      <alignment horizontal="left" vertical="center"/>
    </xf>
    <xf numFmtId="49" fontId="43" fillId="37" borderId="13" xfId="0" applyFont="1" applyFill="1" applyBorder="1" applyNumberFormat="1">
      <alignment horizontal="center" vertical="top"/>
    </xf>
    <xf numFmtId="49" fontId="39" fillId="37" borderId="27" xfId="0" applyFont="1" applyFill="1" applyBorder="1" applyNumberFormat="1">
      <alignment horizontal="left" vertical="center"/>
    </xf>
    <xf numFmtId="49" fontId="39" fillId="37" borderId="15" xfId="0" applyFont="1" applyFill="1" applyBorder="1" applyNumberFormat="1">
      <alignment horizontal="left" vertical="center"/>
    </xf>
    <xf numFmtId="49" fontId="39" fillId="37" borderId="15" xfId="0" applyFont="1" applyFill="1" applyBorder="1" applyNumberFormat="1">
      <alignment horizontal="left" vertical="center" indent="2"/>
    </xf>
    <xf numFmtId="49" fontId="39" fillId="37" borderId="27" xfId="0" applyFont="1" applyFill="1" applyBorder="1" applyNumberFormat="1">
      <alignment horizontal="left" vertical="center"/>
    </xf>
    <xf numFmtId="49" fontId="43" fillId="37" borderId="13" xfId="0" applyFont="1" applyFill="1" applyBorder="1" applyNumberFormat="1">
      <alignment horizontal="center" vertical="top"/>
    </xf>
    <xf numFmtId="49" fontId="39" fillId="37" borderId="27" xfId="0" applyFont="1" applyFill="1" applyBorder="1" applyNumberFormat="1">
      <alignment horizontal="left" vertical="center"/>
    </xf>
    <xf numFmtId="49" fontId="39" fillId="37" borderId="15" xfId="0" applyFont="1" applyFill="1" applyBorder="1" applyNumberFormat="1">
      <alignment horizontal="left" vertical="center"/>
    </xf>
    <xf numFmtId="49" fontId="39" fillId="37" borderId="15" xfId="0" applyFont="1" applyFill="1" applyBorder="1" applyNumberFormat="1">
      <alignment horizontal="left" vertical="center" indent="2"/>
    </xf>
    <xf numFmtId="49" fontId="39" fillId="37" borderId="27" xfId="0" applyFont="1" applyFill="1" applyBorder="1" applyNumberFormat="1">
      <alignment horizontal="left" vertical="center"/>
    </xf>
    <xf numFmtId="49" fontId="43" fillId="37" borderId="13" xfId="0" applyFont="1" applyFill="1" applyBorder="1" applyNumberFormat="1">
      <alignment horizontal="center" vertical="top"/>
    </xf>
    <xf numFmtId="49" fontId="39" fillId="37" borderId="27" xfId="0" applyFont="1" applyFill="1" applyBorder="1" applyNumberFormat="1">
      <alignment horizontal="left" vertical="center"/>
    </xf>
    <xf numFmtId="49" fontId="39" fillId="37" borderId="15" xfId="0" applyFont="1" applyFill="1" applyBorder="1" applyNumberFormat="1">
      <alignment horizontal="left" vertical="center"/>
    </xf>
    <xf numFmtId="49" fontId="39" fillId="37" borderId="15" xfId="0" applyFont="1" applyFill="1" applyBorder="1" applyNumberFormat="1">
      <alignment horizontal="left" vertical="center" indent="2"/>
    </xf>
    <xf numFmtId="49" fontId="39" fillId="37" borderId="27" xfId="0" applyFont="1" applyFill="1" applyBorder="1" applyNumberFormat="1">
      <alignment horizontal="left" vertical="center"/>
    </xf>
    <xf numFmtId="49" fontId="43" fillId="37" borderId="13" xfId="0" applyFont="1" applyFill="1" applyBorder="1" applyNumberFormat="1">
      <alignment horizontal="center" vertical="top"/>
    </xf>
    <xf numFmtId="49" fontId="39" fillId="37" borderId="27" xfId="0" applyFont="1" applyFill="1" applyBorder="1" applyNumberFormat="1">
      <alignment horizontal="left" vertical="center"/>
    </xf>
    <xf numFmtId="49" fontId="39" fillId="37" borderId="15" xfId="0" applyFont="1" applyFill="1" applyBorder="1" applyNumberFormat="1">
      <alignment horizontal="left" vertical="center"/>
    </xf>
    <xf numFmtId="49" fontId="39" fillId="37" borderId="15" xfId="0" applyFont="1" applyFill="1" applyBorder="1" applyNumberFormat="1">
      <alignment horizontal="left" vertical="center" indent="2"/>
    </xf>
    <xf numFmtId="49" fontId="39" fillId="37" borderId="27" xfId="0" applyFont="1" applyFill="1" applyBorder="1" applyNumberFormat="1">
      <alignment horizontal="left" vertical="center"/>
    </xf>
    <xf numFmtId="49" fontId="43" fillId="37" borderId="13" xfId="0" applyFont="1" applyFill="1" applyBorder="1" applyNumberFormat="1">
      <alignment horizontal="center" vertical="top"/>
    </xf>
    <xf numFmtId="49" fontId="39" fillId="37" borderId="27" xfId="0" applyFont="1" applyFill="1" applyBorder="1" applyNumberFormat="1">
      <alignment horizontal="left" vertical="center"/>
    </xf>
    <xf numFmtId="49" fontId="39" fillId="37" borderId="15" xfId="0" applyFont="1" applyFill="1" applyBorder="1" applyNumberFormat="1">
      <alignment horizontal="left" vertical="center"/>
    </xf>
    <xf numFmtId="49" fontId="39" fillId="37" borderId="15" xfId="0" applyFont="1" applyFill="1" applyBorder="1" applyNumberFormat="1">
      <alignment horizontal="left" vertical="center" indent="2"/>
    </xf>
    <xf numFmtId="49" fontId="39" fillId="37" borderId="27" xfId="0" applyFont="1" applyFill="1" applyBorder="1" applyNumberFormat="1">
      <alignment horizontal="left" vertical="center"/>
    </xf>
    <xf numFmtId="49" fontId="43" fillId="37" borderId="13" xfId="0" applyFont="1" applyFill="1" applyBorder="1" applyNumberFormat="1">
      <alignment horizontal="center" vertical="top"/>
    </xf>
    <xf numFmtId="49" fontId="39" fillId="37" borderId="27" xfId="0" applyFont="1" applyFill="1" applyBorder="1" applyNumberFormat="1">
      <alignment horizontal="left" vertical="center"/>
    </xf>
    <xf numFmtId="49" fontId="39" fillId="37" borderId="15" xfId="0" applyFont="1" applyFill="1" applyBorder="1" applyNumberFormat="1">
      <alignment horizontal="left" vertical="center"/>
    </xf>
    <xf numFmtId="49" fontId="39" fillId="37" borderId="15" xfId="0" applyFont="1" applyFill="1" applyBorder="1" applyNumberFormat="1">
      <alignment horizontal="left" vertical="center" indent="2"/>
    </xf>
    <xf numFmtId="49" fontId="39" fillId="37" borderId="27" xfId="0" applyFont="1" applyFill="1" applyBorder="1" applyNumberFormat="1">
      <alignment horizontal="left" vertical="center"/>
    </xf>
    <xf numFmtId="49" fontId="43" fillId="37" borderId="13" xfId="0" applyFont="1" applyFill="1" applyBorder="1" applyNumberFormat="1">
      <alignment horizontal="center" vertical="top"/>
    </xf>
    <xf numFmtId="49" fontId="39" fillId="37" borderId="27" xfId="0" applyFont="1" applyFill="1" applyBorder="1" applyNumberFormat="1">
      <alignment horizontal="left" vertical="center"/>
    </xf>
    <xf numFmtId="49" fontId="39" fillId="37" borderId="15" xfId="0" applyFont="1" applyFill="1" applyBorder="1" applyNumberFormat="1">
      <alignment horizontal="left" vertical="center"/>
    </xf>
    <xf numFmtId="49" fontId="39" fillId="37" borderId="15" xfId="0" applyFont="1" applyFill="1" applyBorder="1" applyNumberFormat="1">
      <alignment horizontal="left" vertical="center" indent="2"/>
    </xf>
    <xf numFmtId="49" fontId="39" fillId="37" borderId="27" xfId="0" applyFont="1" applyFill="1" applyBorder="1" applyNumberFormat="1">
      <alignment horizontal="left" vertical="center"/>
    </xf>
    <xf numFmtId="49" fontId="43" fillId="37" borderId="13" xfId="0" applyFont="1" applyFill="1" applyBorder="1" applyNumberFormat="1">
      <alignment horizontal="center" vertical="top"/>
    </xf>
    <xf numFmtId="49" fontId="39" fillId="37" borderId="27" xfId="0" applyFont="1" applyFill="1" applyBorder="1" applyNumberFormat="1">
      <alignment horizontal="left" vertical="center"/>
    </xf>
    <xf numFmtId="49" fontId="39" fillId="37" borderId="15" xfId="0" applyFont="1" applyFill="1" applyBorder="1" applyNumberFormat="1">
      <alignment horizontal="left" vertical="center"/>
    </xf>
    <xf numFmtId="49" fontId="39" fillId="37" borderId="15" xfId="0" applyFont="1" applyFill="1" applyBorder="1" applyNumberFormat="1">
      <alignment horizontal="left" vertical="center" indent="2"/>
    </xf>
    <xf numFmtId="49" fontId="39" fillId="37" borderId="27" xfId="0" applyFont="1" applyFill="1" applyBorder="1" applyNumberFormat="1">
      <alignment horizontal="left" vertical="center"/>
    </xf>
    <xf numFmtId="49" fontId="43" fillId="37" borderId="13" xfId="0" applyFont="1" applyFill="1" applyBorder="1" applyNumberFormat="1">
      <alignment horizontal="center" vertical="top"/>
    </xf>
    <xf numFmtId="49" fontId="39" fillId="37" borderId="27" xfId="0" applyFont="1" applyFill="1" applyBorder="1" applyNumberFormat="1">
      <alignment horizontal="left" vertical="center"/>
    </xf>
    <xf numFmtId="49" fontId="39" fillId="37" borderId="15" xfId="0" applyFont="1" applyFill="1" applyBorder="1" applyNumberFormat="1">
      <alignment horizontal="left" vertical="center"/>
    </xf>
    <xf numFmtId="49" fontId="39" fillId="37" borderId="15" xfId="0" applyFont="1" applyFill="1" applyBorder="1" applyNumberFormat="1">
      <alignment horizontal="left" vertical="center" indent="2"/>
    </xf>
    <xf numFmtId="49" fontId="39" fillId="37" borderId="27" xfId="0" applyFont="1" applyFill="1" applyBorder="1" applyNumberFormat="1">
      <alignment horizontal="left" vertical="center"/>
    </xf>
    <xf numFmtId="49" fontId="43" fillId="37" borderId="13" xfId="0" applyFont="1" applyFill="1" applyBorder="1" applyNumberFormat="1">
      <alignment horizontal="center" vertical="top"/>
    </xf>
    <xf numFmtId="49" fontId="39" fillId="37" borderId="27" xfId="0" applyFont="1" applyFill="1" applyBorder="1" applyNumberFormat="1">
      <alignment horizontal="left" vertical="center"/>
    </xf>
    <xf numFmtId="49" fontId="39" fillId="37" borderId="15" xfId="0" applyFont="1" applyFill="1" applyBorder="1" applyNumberFormat="1">
      <alignment horizontal="left" vertical="center"/>
    </xf>
    <xf numFmtId="49" fontId="39" fillId="37" borderId="15" xfId="0" applyFont="1" applyFill="1" applyBorder="1" applyNumberFormat="1">
      <alignment horizontal="left" vertical="center" indent="2"/>
    </xf>
    <xf numFmtId="49" fontId="39" fillId="37" borderId="27" xfId="0" applyFont="1" applyFill="1" applyBorder="1" applyNumberFormat="1">
      <alignment horizontal="left" vertical="center"/>
    </xf>
    <xf numFmtId="49" fontId="43" fillId="37" borderId="13" xfId="0" applyFont="1" applyFill="1" applyBorder="1" applyNumberFormat="1">
      <alignment horizontal="center" vertical="top"/>
    </xf>
    <xf numFmtId="49" fontId="39" fillId="37" borderId="27" xfId="0" applyFont="1" applyFill="1" applyBorder="1" applyNumberFormat="1">
      <alignment horizontal="left" vertical="center"/>
    </xf>
    <xf numFmtId="49" fontId="39" fillId="37" borderId="15" xfId="0" applyFont="1" applyFill="1" applyBorder="1" applyNumberFormat="1">
      <alignment horizontal="left" vertical="center"/>
    </xf>
    <xf numFmtId="49" fontId="39" fillId="37" borderId="15" xfId="0" applyFont="1" applyFill="1" applyBorder="1" applyNumberFormat="1">
      <alignment horizontal="left" vertical="center" indent="2"/>
    </xf>
    <xf numFmtId="49" fontId="39" fillId="37" borderId="27" xfId="0" applyFont="1" applyFill="1" applyBorder="1" applyNumberFormat="1">
      <alignment horizontal="left" vertical="center"/>
    </xf>
    <xf numFmtId="49" fontId="43" fillId="37" borderId="13" xfId="0" applyFont="1" applyFill="1" applyBorder="1" applyNumberFormat="1">
      <alignment horizontal="center" vertical="top"/>
    </xf>
    <xf numFmtId="49" fontId="39" fillId="37" borderId="27" xfId="0" applyFont="1" applyFill="1" applyBorder="1" applyNumberFormat="1">
      <alignment horizontal="left" vertical="center"/>
    </xf>
    <xf numFmtId="49" fontId="39" fillId="37" borderId="15" xfId="0" applyFont="1" applyFill="1" applyBorder="1" applyNumberFormat="1">
      <alignment horizontal="left" vertical="center"/>
    </xf>
    <xf numFmtId="49" fontId="39" fillId="37" borderId="15" xfId="0" applyFont="1" applyFill="1" applyBorder="1" applyNumberFormat="1">
      <alignment horizontal="left" vertical="center" indent="2"/>
    </xf>
    <xf numFmtId="49" fontId="39" fillId="37" borderId="27" xfId="0" applyFont="1" applyFill="1" applyBorder="1" applyNumberFormat="1">
      <alignment horizontal="left" vertical="center"/>
    </xf>
    <xf numFmtId="49" fontId="43" fillId="37" borderId="13" xfId="0" applyFont="1" applyFill="1" applyBorder="1" applyNumberFormat="1">
      <alignment horizontal="center" vertical="top"/>
    </xf>
    <xf numFmtId="49" fontId="39" fillId="37" borderId="27" xfId="0" applyFont="1" applyFill="1" applyBorder="1" applyNumberFormat="1">
      <alignment horizontal="left" vertical="center"/>
    </xf>
    <xf numFmtId="49" fontId="39" fillId="37" borderId="15" xfId="0" applyFont="1" applyFill="1" applyBorder="1" applyNumberFormat="1">
      <alignment horizontal="left" vertical="center"/>
    </xf>
    <xf numFmtId="49" fontId="39" fillId="37" borderId="15" xfId="0" applyFont="1" applyFill="1" applyBorder="1" applyNumberFormat="1">
      <alignment horizontal="left" vertical="center" indent="2"/>
    </xf>
    <xf numFmtId="49" fontId="39" fillId="37" borderId="27" xfId="0" applyFont="1" applyFill="1" applyBorder="1" applyNumberFormat="1">
      <alignment horizontal="left" vertical="center"/>
    </xf>
    <xf numFmtId="49" fontId="43" fillId="37" borderId="13" xfId="0" applyFont="1" applyFill="1" applyBorder="1" applyNumberFormat="1">
      <alignment horizontal="center" vertical="top"/>
    </xf>
    <xf numFmtId="49" fontId="39" fillId="37" borderId="27" xfId="0" applyFont="1" applyFill="1" applyBorder="1" applyNumberFormat="1">
      <alignment horizontal="left" vertical="center"/>
    </xf>
    <xf numFmtId="49" fontId="39" fillId="37" borderId="15" xfId="0" applyFont="1" applyFill="1" applyBorder="1" applyNumberFormat="1">
      <alignment horizontal="left" vertical="center"/>
    </xf>
    <xf numFmtId="49" fontId="39" fillId="37" borderId="15" xfId="0" applyFont="1" applyFill="1" applyBorder="1" applyNumberFormat="1">
      <alignment horizontal="left" vertical="center" indent="2"/>
    </xf>
    <xf numFmtId="49" fontId="39" fillId="37" borderId="27" xfId="0" applyFont="1" applyFill="1" applyBorder="1" applyNumberFormat="1">
      <alignment horizontal="left" vertical="center"/>
    </xf>
    <xf numFmtId="49" fontId="43" fillId="37" borderId="13" xfId="0" applyFont="1" applyFill="1" applyBorder="1" applyNumberFormat="1">
      <alignment horizontal="center" vertical="top"/>
    </xf>
    <xf numFmtId="49" fontId="39" fillId="37" borderId="27" xfId="0" applyFont="1" applyFill="1" applyBorder="1" applyNumberFormat="1">
      <alignment horizontal="left" vertical="center"/>
    </xf>
    <xf numFmtId="49" fontId="39" fillId="37" borderId="15" xfId="0" applyFont="1" applyFill="1" applyBorder="1" applyNumberFormat="1">
      <alignment horizontal="left" vertical="center"/>
    </xf>
    <xf numFmtId="49" fontId="39" fillId="37" borderId="15" xfId="0" applyFont="1" applyFill="1" applyBorder="1" applyNumberFormat="1">
      <alignment horizontal="left" vertical="center" indent="2"/>
    </xf>
    <xf numFmtId="49" fontId="39" fillId="37" borderId="27" xfId="0" applyFont="1" applyFill="1" applyBorder="1" applyNumberFormat="1">
      <alignment horizontal="left" vertical="center"/>
    </xf>
    <xf numFmtId="49" fontId="43" fillId="37" borderId="13" xfId="0" applyFont="1" applyFill="1" applyBorder="1" applyNumberFormat="1">
      <alignment horizontal="center" vertical="top"/>
    </xf>
    <xf numFmtId="49" fontId="39" fillId="37" borderId="27" xfId="0" applyFont="1" applyFill="1" applyBorder="1" applyNumberFormat="1">
      <alignment horizontal="left" vertical="center"/>
    </xf>
    <xf numFmtId="49" fontId="39" fillId="37" borderId="15" xfId="0" applyFont="1" applyFill="1" applyBorder="1" applyNumberFormat="1">
      <alignment horizontal="left" vertical="center"/>
    </xf>
    <xf numFmtId="49" fontId="39" fillId="37" borderId="15" xfId="0" applyFont="1" applyFill="1" applyBorder="1" applyNumberFormat="1">
      <alignment horizontal="left" vertical="center" indent="2"/>
    </xf>
    <xf numFmtId="49" fontId="39" fillId="37" borderId="27" xfId="0" applyFont="1" applyFill="1" applyBorder="1" applyNumberFormat="1">
      <alignment horizontal="left" vertical="center"/>
    </xf>
    <xf numFmtId="49" fontId="43" fillId="37" borderId="13" xfId="0" applyFont="1" applyFill="1" applyBorder="1" applyNumberFormat="1">
      <alignment horizontal="center" vertical="top"/>
    </xf>
    <xf numFmtId="49" fontId="39" fillId="37" borderId="27" xfId="0" applyFont="1" applyFill="1" applyBorder="1" applyNumberFormat="1">
      <alignment horizontal="left" vertical="center"/>
    </xf>
    <xf numFmtId="49" fontId="39" fillId="37" borderId="15" xfId="0" applyFont="1" applyFill="1" applyBorder="1" applyNumberFormat="1">
      <alignment horizontal="left" vertical="center"/>
    </xf>
    <xf numFmtId="49" fontId="39" fillId="37" borderId="15" xfId="0" applyFont="1" applyFill="1" applyBorder="1" applyNumberFormat="1">
      <alignment horizontal="left" vertical="center" indent="2"/>
    </xf>
    <xf numFmtId="49" fontId="39" fillId="37" borderId="27" xfId="0" applyFont="1" applyFill="1" applyBorder="1" applyNumberFormat="1">
      <alignment horizontal="left" vertical="center"/>
    </xf>
    <xf numFmtId="49" fontId="43" fillId="37" borderId="13" xfId="0" applyFont="1" applyFill="1" applyBorder="1" applyNumberFormat="1">
      <alignment horizontal="center" vertical="top"/>
    </xf>
    <xf numFmtId="49" fontId="39" fillId="37" borderId="27" xfId="0" applyFont="1" applyFill="1" applyBorder="1" applyNumberFormat="1">
      <alignment horizontal="left" vertical="center"/>
    </xf>
    <xf numFmtId="49" fontId="39" fillId="37" borderId="15" xfId="0" applyFont="1" applyFill="1" applyBorder="1" applyNumberFormat="1">
      <alignment horizontal="left" vertical="center"/>
    </xf>
    <xf numFmtId="49" fontId="39" fillId="37" borderId="15" xfId="0" applyFont="1" applyFill="1" applyBorder="1" applyNumberFormat="1">
      <alignment horizontal="left" vertical="center" indent="2"/>
    </xf>
    <xf numFmtId="49" fontId="39" fillId="37" borderId="27" xfId="0" applyFont="1" applyFill="1" applyBorder="1" applyNumberFormat="1">
      <alignment horizontal="left" vertical="center"/>
    </xf>
    <xf numFmtId="49" fontId="43" fillId="37" borderId="13" xfId="0" applyFont="1" applyFill="1" applyBorder="1" applyNumberFormat="1">
      <alignment horizontal="center" vertical="top"/>
    </xf>
    <xf numFmtId="0" fontId="29" fillId="0" borderId="0" xfId="0" applyFont="1"/>
    <xf numFmtId="0" fontId="22" fillId="0" borderId="0" xfId="61" applyFont="1" applyNumberFormat="1">
      <alignment vertical="center" wrapText="1"/>
    </xf>
    <xf numFmtId="0" fontId="22" fillId="34" borderId="13" xfId="61" applyFont="1" applyFill="1" applyBorder="1" applyNumberFormat="1">
      <alignment horizontal="left" vertical="center" wrapText="1"/>
    </xf>
    <xf numFmtId="0" fontId="22" fillId="40" borderId="13" xfId="61" applyFont="1" applyFill="1" applyBorder="1" applyNumberFormat="1">
      <alignment horizontal="left" vertical="center" wrapText="1"/>
    </xf>
    <xf numFmtId="49" fontId="22" fillId="40" borderId="12"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0" fillId="37" borderId="15" xfId="61" applyFont="1" applyFill="1" applyBorder="1" applyNumberFormat="1">
      <alignment horizontal="center" vertical="center" wrapText="1"/>
    </xf>
    <xf numFmtId="49" fontId="0" fillId="37" borderId="15" xfId="61" applyFont="1" applyFill="1" applyBorder="1" applyNumberFormat="1">
      <alignment horizontal="center" vertical="center" wrapText="1"/>
    </xf>
    <xf numFmtId="49" fontId="47" fillId="0" borderId="19" xfId="61" applyFont="1" applyBorder="1" applyNumberFormat="1">
      <alignment horizontal="center" vertical="center" wrapText="1"/>
    </xf>
    <xf numFmtId="49" fontId="47" fillId="0" borderId="0" xfId="61" applyFont="1" applyNumberFormat="1">
      <alignment horizontal="center" vertical="center" wrapText="1"/>
    </xf>
    <xf numFmtId="0" fontId="46" fillId="0" borderId="0" xfId="61" applyFont="1" applyNumberFormat="1">
      <alignment vertical="center" wrapText="1"/>
    </xf>
    <xf numFmtId="0" fontId="46" fillId="0" borderId="0" xfId="61" applyFont="1" applyNumberFormat="1">
      <alignment vertical="center"/>
    </xf>
    <xf numFmtId="0" fontId="22" fillId="0" borderId="19" xfId="61" applyFont="1" applyBorder="1" applyNumberFormat="1">
      <alignment horizontal="left" vertical="top" wrapText="1" indent="1"/>
    </xf>
    <xf numFmtId="0" fontId="22" fillId="0" borderId="27" xfId="61" applyFont="1" applyBorder="1" applyNumberFormat="1">
      <alignment horizontal="left" vertical="center" wrapText="1" indent="1"/>
    </xf>
    <xf numFmtId="0" fontId="49" fillId="35" borderId="0" xfId="61" applyFont="1" applyFill="1" applyNumberFormat="1">
      <alignment horizontal="center" vertical="center" wrapText="1"/>
    </xf>
    <xf numFmtId="0" fontId="47" fillId="0" borderId="0" xfId="61" applyFont="1" applyNumberFormat="1">
      <alignment vertical="center" wrapText="1"/>
    </xf>
    <xf numFmtId="0" fontId="36" fillId="0" borderId="27" xfId="61" applyFont="1" applyBorder="1" applyNumberFormat="1">
      <alignment horizontal="center" vertical="center" wrapText="1"/>
    </xf>
    <xf numFmtId="0" fontId="22" fillId="0" borderId="12" xfId="61" applyFont="1" applyBorder="1" applyNumberFormat="1">
      <alignment horizontal="center" vertical="center" wrapText="1"/>
    </xf>
    <xf numFmtId="0" fontId="22" fillId="35" borderId="17" xfId="61" applyFont="1" applyFill="1" applyBorder="1" applyNumberFormat="1">
      <alignment horizontal="center" vertical="center" wrapText="1"/>
    </xf>
    <xf numFmtId="0" fontId="22" fillId="35" borderId="36" xfId="61" applyFont="1" applyFill="1" applyBorder="1" applyNumberFormat="1">
      <alignment horizontal="center" vertical="center" wrapText="1"/>
    </xf>
    <xf numFmtId="0" fontId="22" fillId="35" borderId="23" xfId="61" applyFont="1" applyFill="1" applyBorder="1" applyNumberFormat="1">
      <alignment horizontal="center" vertical="center" wrapText="1"/>
    </xf>
    <xf numFmtId="0" fontId="80" fillId="35" borderId="19"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0" fillId="37" borderId="15" xfId="61" applyFont="1" applyFill="1" applyBorder="1" applyNumberFormat="1">
      <alignment horizontal="center" vertical="center" wrapText="1"/>
    </xf>
    <xf numFmtId="49" fontId="0"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0" fillId="37" borderId="15" xfId="61" applyFont="1" applyFill="1" applyBorder="1" applyNumberFormat="1">
      <alignment horizontal="center" vertical="center" wrapText="1"/>
    </xf>
    <xf numFmtId="49" fontId="0"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0" fillId="37" borderId="15" xfId="61" applyFont="1" applyFill="1" applyBorder="1" applyNumberFormat="1">
      <alignment horizontal="center" vertical="center" wrapText="1"/>
    </xf>
    <xf numFmtId="49" fontId="0"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0" fillId="37" borderId="15" xfId="61" applyFont="1" applyFill="1" applyBorder="1" applyNumberFormat="1">
      <alignment horizontal="center" vertical="center" wrapText="1"/>
    </xf>
    <xf numFmtId="49" fontId="0"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0" fillId="37" borderId="15" xfId="61" applyFont="1" applyFill="1" applyBorder="1" applyNumberFormat="1">
      <alignment horizontal="center" vertical="center" wrapText="1"/>
    </xf>
    <xf numFmtId="49" fontId="0"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0" fillId="37" borderId="15" xfId="61" applyFont="1" applyFill="1" applyBorder="1" applyNumberFormat="1">
      <alignment horizontal="center" vertical="center" wrapText="1"/>
    </xf>
    <xf numFmtId="49" fontId="0"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0" fillId="37" borderId="15" xfId="61" applyFont="1" applyFill="1" applyBorder="1" applyNumberFormat="1">
      <alignment horizontal="center" vertical="center" wrapText="1"/>
    </xf>
    <xf numFmtId="49" fontId="0"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0" fillId="37" borderId="15" xfId="61" applyFont="1" applyFill="1" applyBorder="1" applyNumberFormat="1">
      <alignment horizontal="center" vertical="center" wrapText="1"/>
    </xf>
    <xf numFmtId="49" fontId="0"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0" fillId="37" borderId="15" xfId="61" applyFont="1" applyFill="1" applyBorder="1" applyNumberFormat="1">
      <alignment horizontal="center" vertical="center" wrapText="1"/>
    </xf>
    <xf numFmtId="49" fontId="0"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0" fillId="37" borderId="15" xfId="61" applyFont="1" applyFill="1" applyBorder="1" applyNumberFormat="1">
      <alignment horizontal="center" vertical="center" wrapText="1"/>
    </xf>
    <xf numFmtId="49" fontId="0" fillId="37" borderId="15" xfId="61" applyFont="1" applyFill="1" applyBorder="1" applyNumberFormat="1">
      <alignment horizontal="center" vertical="center" wrapText="1"/>
    </xf>
    <xf numFmtId="0" fontId="22" fillId="0" borderId="0" xfId="61" applyFont="1" applyNumberFormat="1">
      <alignment horizontal="left" vertical="top" wrapText="1"/>
    </xf>
    <xf numFmtId="49" fontId="22" fillId="37" borderId="15" xfId="61" applyFont="1" applyFill="1" applyBorder="1" applyNumberFormat="1">
      <alignment horizontal="center" vertical="center" wrapText="1"/>
    </xf>
    <xf numFmtId="49" fontId="0" fillId="37" borderId="15" xfId="61" applyFont="1" applyFill="1" applyBorder="1" applyNumberFormat="1">
      <alignment horizontal="center" vertical="center" wrapText="1"/>
    </xf>
    <xf numFmtId="49" fontId="0"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0" fillId="37" borderId="15" xfId="61" applyFont="1" applyFill="1" applyBorder="1" applyNumberFormat="1">
      <alignment horizontal="center" vertical="center" wrapText="1"/>
    </xf>
    <xf numFmtId="49" fontId="0"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0" fillId="37" borderId="15" xfId="61" applyFont="1" applyFill="1" applyBorder="1" applyNumberFormat="1">
      <alignment horizontal="center" vertical="center" wrapText="1"/>
    </xf>
    <xf numFmtId="49" fontId="0"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0" fillId="37" borderId="15" xfId="61" applyFont="1" applyFill="1" applyBorder="1" applyNumberFormat="1">
      <alignment horizontal="center" vertical="center" wrapText="1"/>
    </xf>
    <xf numFmtId="49" fontId="0"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0" fillId="37" borderId="15" xfId="61" applyFont="1" applyFill="1" applyBorder="1" applyNumberFormat="1">
      <alignment horizontal="center" vertical="center" wrapText="1"/>
    </xf>
    <xf numFmtId="49" fontId="0"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0" fillId="37" borderId="15" xfId="61" applyFont="1" applyFill="1" applyBorder="1" applyNumberFormat="1">
      <alignment horizontal="center" vertical="center" wrapText="1"/>
    </xf>
    <xf numFmtId="49" fontId="0" fillId="37" borderId="15" xfId="61" applyFont="1" applyFill="1" applyBorder="1" applyNumberFormat="1">
      <alignment horizontal="center" vertical="center" wrapText="1"/>
    </xf>
    <xf numFmtId="0" fontId="47" fillId="0" borderId="13" xfId="61" applyFont="1" applyBorder="1" applyNumberFormat="1">
      <alignment horizontal="left" vertical="center" wrapText="1"/>
    </xf>
    <xf numFmtId="49" fontId="22" fillId="37" borderId="15" xfId="61" applyFont="1" applyFill="1" applyBorder="1" applyNumberFormat="1">
      <alignment horizontal="center" vertical="center" wrapText="1"/>
    </xf>
    <xf numFmtId="49" fontId="0" fillId="37" borderId="15" xfId="61" applyFont="1" applyFill="1" applyBorder="1" applyNumberFormat="1">
      <alignment horizontal="center" vertical="center" wrapText="1"/>
    </xf>
    <xf numFmtId="49" fontId="47" fillId="0" borderId="15" xfId="61" applyFont="1" applyBorder="1" applyNumberFormat="1">
      <alignment horizontal="center" vertical="center" wrapText="1"/>
    </xf>
    <xf numFmtId="49" fontId="22" fillId="37" borderId="15" xfId="61" applyFont="1" applyFill="1" applyBorder="1" applyNumberFormat="1">
      <alignment horizontal="center" vertical="center" wrapText="1"/>
    </xf>
    <xf numFmtId="49" fontId="0"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0"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0"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0" fillId="37" borderId="15" xfId="61" applyFont="1" applyFill="1" applyBorder="1" applyNumberFormat="1">
      <alignment horizontal="center" vertical="center" wrapText="1"/>
    </xf>
    <xf numFmtId="0" fontId="22" fillId="40" borderId="20" xfId="61" applyFont="1" applyFill="1" applyBorder="1" applyNumberFormat="1">
      <alignment horizontal="left" vertical="center" wrapText="1"/>
    </xf>
    <xf numFmtId="49" fontId="22" fillId="37" borderId="27" xfId="61" applyFont="1" applyFill="1" applyBorder="1" applyNumberFormat="1">
      <alignment horizontal="center" vertical="center" wrapText="1"/>
    </xf>
    <xf numFmtId="49" fontId="0" fillId="37" borderId="15" xfId="61" applyFont="1" applyFill="1" applyBorder="1" applyNumberFormat="1">
      <alignment horizontal="center" vertical="center" wrapText="1"/>
    </xf>
    <xf numFmtId="49" fontId="22" fillId="37" borderId="27" xfId="61" applyFont="1" applyFill="1" applyBorder="1" applyNumberFormat="1">
      <alignment horizontal="center" vertical="center" wrapText="1"/>
    </xf>
    <xf numFmtId="49" fontId="0" fillId="37" borderId="15" xfId="61" applyFont="1" applyFill="1" applyBorder="1" applyNumberFormat="1">
      <alignment horizontal="center" vertical="center" wrapText="1"/>
    </xf>
    <xf numFmtId="49" fontId="22" fillId="37" borderId="27" xfId="61" applyFont="1" applyFill="1" applyBorder="1" applyNumberFormat="1">
      <alignment horizontal="center" vertical="center" wrapText="1"/>
    </xf>
    <xf numFmtId="49" fontId="0" fillId="37" borderId="15" xfId="61" applyFont="1" applyFill="1" applyBorder="1" applyNumberFormat="1">
      <alignment horizontal="center" vertical="center" wrapText="1"/>
    </xf>
    <xf numFmtId="49" fontId="22" fillId="37" borderId="27" xfId="61" applyFont="1" applyFill="1" applyBorder="1" applyNumberFormat="1">
      <alignment horizontal="center" vertical="center" wrapText="1"/>
    </xf>
    <xf numFmtId="49" fontId="0" fillId="37" borderId="15" xfId="61" applyFont="1" applyFill="1" applyBorder="1" applyNumberFormat="1">
      <alignment horizontal="center" vertical="center" wrapText="1"/>
    </xf>
    <xf numFmtId="49" fontId="22" fillId="37" borderId="27" xfId="61" applyFont="1" applyFill="1" applyBorder="1" applyNumberFormat="1">
      <alignment horizontal="center" vertical="center" wrapText="1"/>
    </xf>
    <xf numFmtId="49" fontId="0" fillId="37" borderId="15" xfId="61" applyFont="1" applyFill="1" applyBorder="1" applyNumberFormat="1">
      <alignment horizontal="center" vertical="center" wrapText="1"/>
    </xf>
    <xf numFmtId="49" fontId="22" fillId="37" borderId="27" xfId="61" applyFont="1" applyFill="1" applyBorder="1" applyNumberFormat="1">
      <alignment horizontal="center" vertical="center" wrapText="1"/>
    </xf>
    <xf numFmtId="49" fontId="0" fillId="37" borderId="15" xfId="61" applyFont="1" applyFill="1" applyBorder="1" applyNumberFormat="1">
      <alignment horizontal="center" vertical="center" wrapText="1"/>
    </xf>
    <xf numFmtId="49" fontId="22" fillId="37" borderId="27" xfId="61" applyFont="1" applyFill="1" applyBorder="1" applyNumberFormat="1">
      <alignment horizontal="center" vertical="center" wrapText="1"/>
    </xf>
    <xf numFmtId="49" fontId="0" fillId="37" borderId="15" xfId="61" applyFont="1" applyFill="1" applyBorder="1" applyNumberFormat="1">
      <alignment horizontal="center" vertical="center" wrapText="1"/>
    </xf>
    <xf numFmtId="0" fontId="29" fillId="0" borderId="0" xfId="62" applyFont="1"/>
  </cellXfs>
  <cellStyles count="79">
    <cellStyle name="Normal" xfId="0" builtinId="0"/>
    <cellStyle name="20% - Accent1" xfId="1" builtinId="30"/>
    <cellStyle name="20% - Accent2" xfId="2" builtinId="34"/>
    <cellStyle name="20% - Accent3" xfId="3" builtinId="38"/>
    <cellStyle name="20% - Accent4" xfId="4" builtinId="42"/>
    <cellStyle name="20% - Accent5" xfId="5" builtinId="46"/>
    <cellStyle name="20% - Accent6" xfId="6" builtinId="50"/>
    <cellStyle name="40% - Accent1" xfId="7" builtinId="31"/>
    <cellStyle name="40% - Accent2" xfId="8" builtinId="35"/>
    <cellStyle name="40% - Accent3" xfId="9" builtinId="39"/>
    <cellStyle name="40% - Accent4" xfId="10" builtinId="43"/>
    <cellStyle name="40% - Accent5" xfId="11" builtinId="47"/>
    <cellStyle name="40% - Accent6" xfId="12" builtinId="51"/>
    <cellStyle name="60% - Accent1" xfId="13" builtinId="32"/>
    <cellStyle name="60% - Accent2" xfId="14" builtinId="36"/>
    <cellStyle name="60% - Accent3" xfId="15" builtinId="40"/>
    <cellStyle name="60% - Accent4" xfId="16" builtinId="44"/>
    <cellStyle name="60% - Accent5" xfId="17" builtinId="48"/>
    <cellStyle name="60% - Accent6" xfId="18" builtinId="52"/>
    <cellStyle name="Accent1" xfId="19" builtinId="29"/>
    <cellStyle name="Accent2" xfId="20" builtinId="33"/>
    <cellStyle name="Accent3" xfId="21" builtinId="37"/>
    <cellStyle name="Accent4" xfId="22" builtinId="41"/>
    <cellStyle name="Accent5" xfId="23" builtinId="45"/>
    <cellStyle name="Accent6" xfId="24" builtinId="49"/>
    <cellStyle name="Bad" xfId="25" builtinId="27"/>
    <cellStyle name="Calculation" xfId="26" builtinId="22"/>
    <cellStyle name="Check Cell" xfId="27" builtinId="23"/>
    <cellStyle name="Comma" xfId="28" builtinId="3"/>
    <cellStyle name="Comma [0]" xfId="29" builtinId="6"/>
    <cellStyle name="Currency" xfId="30" builtinId="4"/>
    <cellStyle name="Currency [0]" xfId="31" builtinId="7"/>
    <cellStyle name="Explanatory Text" xfId="32" builtinId="53"/>
    <cellStyle name="Good" xfId="33" builtinId="26"/>
    <cellStyle name="Heading 1" xfId="34" builtinId="16"/>
    <cellStyle name="Heading 2" xfId="35" builtinId="17"/>
    <cellStyle name="Heading 3" xfId="36" builtinId="18"/>
    <cellStyle name="Heading 4" xfId="37" builtinId="19"/>
    <cellStyle name="Input" xfId="38" builtinId="20"/>
    <cellStyle name="Linked Cell" xfId="39" builtinId="24"/>
    <cellStyle name="Neutral" xfId="40" builtinId="28"/>
    <cellStyle name="normal" xfId="41"/>
    <cellStyle name="Note" xfId="42" builtinId="10"/>
    <cellStyle name="Output" xfId="43" builtinId="21"/>
    <cellStyle name="Percent" xfId="44" builtinId="5"/>
    <cellStyle name="Title" xfId="45" builtinId="15"/>
    <cellStyle name="Total" xfId="46" builtinId="25"/>
    <cellStyle name="Warning Text" xfId="47" builtinId="11"/>
    <cellStyle name=" 1" xfId="48"/>
    <cellStyle name=" 1 2" xfId="49"/>
    <cellStyle name=" 1_Stage1" xfId="48"/>
    <cellStyle name="_Model_RAB Мой_PR.PROG.WARM.NOTCOMBI.2012.2.16_v1.4(04.04.11) " xfId="50"/>
    <cellStyle name="_Model_RAB Мой_Книга2_PR.PROG.WARM.NOTCOMBI.2012.2.16_v1.4(04.04.11) " xfId="50"/>
    <cellStyle name="_Model_RAB_MRSK_svod_PR.PROG.WARM.NOTCOMBI.2012.2.16_v1.4(04.04.11) " xfId="50"/>
    <cellStyle name="_Model_RAB_MRSK_svod_Книга2_PR.PROG.WARM.NOTCOMBI.2012.2.16_v1.4(04.04.11) " xfId="50"/>
    <cellStyle name="_МОДЕЛЬ_1 (2)_PR.PROG.WARM.NOTCOMBI.2012.2.16_v1.4(04.04.11) " xfId="50"/>
    <cellStyle name="_МОДЕЛЬ_1 (2)_Книга2_PR.PROG.WARM.NOTCOMBI.2012.2.16_v1.4(04.04.11) " xfId="50"/>
    <cellStyle name="_пр 5 тариф RAB_PR.PROG.WARM.NOTCOMBI.2012.2.16_v1.4(04.04.11) " xfId="50"/>
    <cellStyle name="_пр 5 тариф RAB_Книга2_PR.PROG.WARM.NOTCOMBI.2012.2.16_v1.4(04.04.11) " xfId="50"/>
    <cellStyle name="_Расчет RAB_22072008_PR.PROG.WARM.NOTCOMBI.2012.2.16_v1.4(04.04.11) " xfId="50"/>
    <cellStyle name="_Расчет RAB_22072008_Книга2_PR.PROG.WARM.NOTCOMBI.2012.2.16_v1.4(04.04.11) " xfId="50"/>
    <cellStyle name="_Расчет RAB_Лен и МОЭСК_с 2010 года_14.04.2009_со сглаж_version 3.0_без ФСК_PR.PROG.WARM.NOTCOMBI.2012.2.16_v1.4(04.04.11) " xfId="50"/>
    <cellStyle name="_Расчет RAB_Лен и МОЭСК_с 2010 года_14.04.2009_со сглаж_version 3.0_без ФСК_Книга2_PR.PROG.WARM.NOTCOMBI.2012.2.16_v1.4(04.04.11) " xfId="50"/>
    <cellStyle name="currency1" xfId="51"/>
    <cellStyle name="Currency2" xfId="52"/>
    <cellStyle name="currency3" xfId="53"/>
    <cellStyle name="currency4" xfId="54"/>
    <cellStyle name="Followed Hyperlink" xfId="55"/>
    <cellStyle name="Hyperlink" xfId="56" builtinId="8"/>
    <cellStyle name="Normal1" xfId="57"/>
    <cellStyle name="Normal2" xfId="52"/>
    <cellStyle name="Percent1" xfId="52"/>
    <cellStyle name="Гиперссылка" xfId="58"/>
    <cellStyle name="Обычный 10" xfId="59"/>
    <cellStyle name="Обычный 16" xfId="60"/>
    <cellStyle name="Обычный 2" xfId="61"/>
    <cellStyle name="Обычный_BALANCE.WARM.2007YEAR(FACT)" xfId="62"/>
    <cellStyle name="Обычный_PRIL1.ELECTR" xfId="62"/>
    <cellStyle name="Открывавшаяся гиперссылка" xfId="63"/>
  </cellStyles>
  <dxfs count="0"/>
  <tableStyles count="0" defaultTableStyle="TableStyleMedium2" defaultPivotStyle="PivotStyleLight16"/>
</styleSheet>
</file>

<file path=xl/_rels/workbook.xml.rels><?xml version="1.0" encoding="UTF-8" standalone="yes"?>
<Relationships xmlns="http://schemas.openxmlformats.org/package/2006/relationships"><Relationship Id="rId1" Type="http://schemas.openxmlformats.org/officeDocument/2006/relationships/styles" Target="styles.xml"/><Relationship Id="rId2" Type="http://schemas.openxmlformats.org/officeDocument/2006/relationships/worksheet" Target="worksheets/sheet1.xml"/><Relationship Id="rId3" Type="http://schemas.openxmlformats.org/officeDocument/2006/relationships/worksheet" Target="worksheets/sheet2.xml"/><Relationship Id="rId4" Type="http://schemas.openxmlformats.org/officeDocument/2006/relationships/worksheet" Target="worksheets/sheet3.xml"/><Relationship Id="rId5" Type="http://schemas.openxmlformats.org/officeDocument/2006/relationships/worksheet" Target="worksheets/sheet4.xml"/><Relationship Id="rId6" Type="http://schemas.openxmlformats.org/officeDocument/2006/relationships/worksheet" Target="worksheets/sheet5.xml"/><Relationship Id="rId7" Type="http://schemas.openxmlformats.org/officeDocument/2006/relationships/worksheet" Target="worksheets/sheet6.xml"/><Relationship Id="rId8" Type="http://schemas.openxmlformats.org/officeDocument/2006/relationships/worksheet" Target="worksheets/sheet7.xml"/><Relationship Id="rId9" Type="http://schemas.openxmlformats.org/officeDocument/2006/relationships/worksheet" Target="worksheets/sheet8.xml"/><Relationship Id="rId10" Type="http://schemas.openxmlformats.org/officeDocument/2006/relationships/worksheet" Target="worksheets/sheet9.xml"/><Relationship Id="rId11" Type="http://schemas.openxmlformats.org/officeDocument/2006/relationships/worksheet" Target="worksheets/sheet10.xml"/><Relationship Id="rId12" Type="http://schemas.openxmlformats.org/officeDocument/2006/relationships/worksheet" Target="worksheets/sheet11.xml"/><Relationship Id="rId13" Type="http://schemas.openxmlformats.org/officeDocument/2006/relationships/worksheet" Target="worksheets/sheet12.xml"/><Relationship Id="rId14" Type="http://schemas.openxmlformats.org/officeDocument/2006/relationships/worksheet" Target="worksheets/sheet13.xml"/><Relationship Id="rId15" Type="http://schemas.openxmlformats.org/officeDocument/2006/relationships/worksheet" Target="worksheets/sheet14.xml"/><Relationship Id="rId16" Type="http://schemas.openxmlformats.org/officeDocument/2006/relationships/worksheet" Target="worksheets/sheet15.xml"/><Relationship Id="rId17" Type="http://schemas.openxmlformats.org/officeDocument/2006/relationships/worksheet" Target="worksheets/sheet16.xml"/><Relationship Id="rId18" Type="http://schemas.openxmlformats.org/officeDocument/2006/relationships/worksheet" Target="worksheets/sheet17.xml"/><Relationship Id="rId19" Type="http://schemas.openxmlformats.org/officeDocument/2006/relationships/worksheet" Target="worksheets/sheet18.xml"/><Relationship Id="rId20" Type="http://schemas.openxmlformats.org/officeDocument/2006/relationships/worksheet" Target="worksheets/sheet19.xml"/><Relationship Id="rId21" Type="http://schemas.openxmlformats.org/officeDocument/2006/relationships/worksheet" Target="worksheets/sheet20.xml"/><Relationship Id="rId22" Type="http://schemas.openxmlformats.org/officeDocument/2006/relationships/worksheet" Target="worksheets/sheet21.xml"/><Relationship Id="rId23" Type="http://schemas.openxmlformats.org/officeDocument/2006/relationships/worksheet" Target="worksheets/sheet22.xml"/><Relationship Id="rId24" Type="http://schemas.openxmlformats.org/officeDocument/2006/relationships/worksheet" Target="worksheets/sheet23.xml"/><Relationship Id="rId25" Type="http://schemas.openxmlformats.org/officeDocument/2006/relationships/worksheet" Target="worksheets/sheet24.xml"/><Relationship Id="rId26" Type="http://schemas.openxmlformats.org/officeDocument/2006/relationships/worksheet" Target="worksheets/sheet25.xml"/><Relationship Id="rId27" Type="http://schemas.openxmlformats.org/officeDocument/2006/relationships/worksheet" Target="worksheets/sheet26.xml"/><Relationship Id="rId28" Type="http://schemas.openxmlformats.org/officeDocument/2006/relationships/worksheet" Target="worksheets/sheet27.xml"/><Relationship Id="rId29" Type="http://schemas.openxmlformats.org/officeDocument/2006/relationships/worksheet" Target="worksheets/sheet28.xml"/><Relationship Id="rId30" Type="http://schemas.openxmlformats.org/officeDocument/2006/relationships/worksheet" Target="worksheets/sheet29.xml"/><Relationship Id="rId31" Type="http://schemas.openxmlformats.org/officeDocument/2006/relationships/worksheet" Target="worksheets/sheet30.xml"/><Relationship Id="rId32" Type="http://schemas.openxmlformats.org/officeDocument/2006/relationships/worksheet" Target="worksheets/sheet31.xml"/><Relationship Id="rId33" Type="http://schemas.openxmlformats.org/officeDocument/2006/relationships/worksheet" Target="worksheets/sheet32.xml"/><Relationship Id="rId34" Type="http://schemas.openxmlformats.org/officeDocument/2006/relationships/worksheet" Target="worksheets/sheet33.xml"/><Relationship Id="rId35" Type="http://schemas.openxmlformats.org/officeDocument/2006/relationships/worksheet" Target="worksheets/sheet34.xml"/><Relationship Id="rId36" Type="http://schemas.openxmlformats.org/officeDocument/2006/relationships/worksheet" Target="worksheets/sheet35.xml"/><Relationship Id="rId37" Type="http://schemas.openxmlformats.org/officeDocument/2006/relationships/worksheet" Target="worksheets/sheet36.xml"/><Relationship Id="rId38" Type="http://schemas.openxmlformats.org/officeDocument/2006/relationships/worksheet" Target="worksheets/sheet37.xml"/><Relationship Id="rId39" Type="http://schemas.openxmlformats.org/officeDocument/2006/relationships/worksheet" Target="worksheets/sheet38.xml"/><Relationship Id="rId40" Type="http://schemas.openxmlformats.org/officeDocument/2006/relationships/worksheet" Target="worksheets/sheet39.xml"/><Relationship Id="rId41" Type="http://schemas.openxmlformats.org/officeDocument/2006/relationships/worksheet" Target="worksheets/sheet40.xml"/><Relationship Id="rId42" Type="http://schemas.openxmlformats.org/officeDocument/2006/relationships/worksheet" Target="worksheets/sheet41.xml"/><Relationship Id="rId43" Type="http://schemas.openxmlformats.org/officeDocument/2006/relationships/worksheet" Target="worksheets/sheet42.xml"/><Relationship Id="rId44" Type="http://schemas.openxmlformats.org/officeDocument/2006/relationships/worksheet" Target="worksheets/sheet43.xml"/><Relationship Id="rId45" Type="http://schemas.openxmlformats.org/officeDocument/2006/relationships/worksheet" Target="worksheets/sheet44.xml"/><Relationship Id="rId46" Type="http://schemas.openxmlformats.org/officeDocument/2006/relationships/worksheet" Target="worksheets/sheet45.xml"/><Relationship Id="rId47" Type="http://schemas.openxmlformats.org/officeDocument/2006/relationships/worksheet" Target="worksheets/sheet46.xml"/><Relationship Id="rId48" Type="http://schemas.openxmlformats.org/officeDocument/2006/relationships/worksheet" Target="worksheets/sheet47.xml"/><Relationship Id="rId49" Type="http://schemas.openxmlformats.org/officeDocument/2006/relationships/worksheet" Target="worksheets/sheet48.xml"/><Relationship Id="rId50" Type="http://schemas.openxmlformats.org/officeDocument/2006/relationships/worksheet" Target="worksheets/sheet49.xml"/><Relationship Id="rId51" Type="http://schemas.openxmlformats.org/officeDocument/2006/relationships/worksheet" Target="worksheets/sheet50.xml"/><Relationship Id="rId52" Type="http://schemas.openxmlformats.org/officeDocument/2006/relationships/worksheet" Target="worksheets/sheet51.xml"/><Relationship Id="rId53" Type="http://schemas.openxmlformats.org/officeDocument/2006/relationships/worksheet" Target="worksheets/sheet52.xml"/><Relationship Id="rId54" Type="http://schemas.openxmlformats.org/officeDocument/2006/relationships/worksheet" Target="worksheets/sheet53.xml"/><Relationship Id="rId55" Type="http://schemas.openxmlformats.org/officeDocument/2006/relationships/worksheet" Target="worksheets/sheet54.xml"/><Relationship Id="rId56" Type="http://schemas.openxmlformats.org/officeDocument/2006/relationships/worksheet" Target="worksheets/sheet55.xml"/><Relationship Id="rId57" Type="http://schemas.openxmlformats.org/officeDocument/2006/relationships/worksheet" Target="worksheets/sheet56.xml"/><Relationship Id="rId58" Type="http://schemas.openxmlformats.org/officeDocument/2006/relationships/worksheet" Target="worksheets/sheet57.xml"/><Relationship Id="rId59" Type="http://schemas.openxmlformats.org/officeDocument/2006/relationships/worksheet" Target="worksheets/sheet58.xml"/><Relationship Id="rId60" Type="http://schemas.openxmlformats.org/officeDocument/2006/relationships/worksheet" Target="worksheets/sheet59.xml"/><Relationship Id="rId61" Type="http://schemas.openxmlformats.org/officeDocument/2006/relationships/worksheet" Target="worksheets/sheet60.xml"/><Relationship Id="rId62" Type="http://schemas.openxmlformats.org/officeDocument/2006/relationships/worksheet" Target="worksheets/sheet61.xml"/><Relationship Id="rId63" Type="http://schemas.openxmlformats.org/officeDocument/2006/relationships/worksheet" Target="worksheets/sheet62.xml"/><Relationship Id="rId64" Type="http://schemas.openxmlformats.org/officeDocument/2006/relationships/worksheet" Target="worksheets/sheet63.xml"/><Relationship Id="rId65" Type="http://schemas.openxmlformats.org/officeDocument/2006/relationships/worksheet" Target="worksheets/sheet64.xml"/><Relationship Id="rId66" Type="http://schemas.openxmlformats.org/officeDocument/2006/relationships/worksheet" Target="worksheets/sheet65.xml"/><Relationship Id="rId67" Type="http://schemas.openxmlformats.org/officeDocument/2006/relationships/worksheet" Target="worksheets/sheet66.xml"/><Relationship Id="rId68" Type="http://schemas.openxmlformats.org/officeDocument/2006/relationships/worksheet" Target="worksheets/sheet67.xml"/><Relationship Id="rId69" Type="http://schemas.openxmlformats.org/officeDocument/2006/relationships/worksheet" Target="worksheets/sheet68.xml"/><Relationship Id="rId70" Type="http://schemas.openxmlformats.org/officeDocument/2006/relationships/worksheet" Target="worksheets/sheet69.xml"/><Relationship Id="rId71" Type="http://schemas.openxmlformats.org/officeDocument/2006/relationships/worksheet" Target="worksheets/sheet70.xml"/><Relationship Id="rId72" Type="http://schemas.openxmlformats.org/officeDocument/2006/relationships/worksheet" Target="worksheets/sheet71.xml"/><Relationship Id="rId73" Type="http://schemas.openxmlformats.org/officeDocument/2006/relationships/worksheet" Target="worksheets/sheet72.xml"/><Relationship Id="rId74" Type="http://schemas.openxmlformats.org/officeDocument/2006/relationships/worksheet" Target="worksheets/sheet73.xml"/><Relationship Id="rId75" Type="http://schemas.openxmlformats.org/officeDocument/2006/relationships/worksheet" Target="worksheets/sheet74.xml"/><Relationship Id="rId76" Type="http://schemas.openxmlformats.org/officeDocument/2006/relationships/worksheet" Target="worksheets/sheet75.xml"/><Relationship Id="rId77" Type="http://schemas.openxmlformats.org/officeDocument/2006/relationships/worksheet" Target="worksheets/sheet76.xml"/><Relationship Id="rId78" Type="http://schemas.openxmlformats.org/officeDocument/2006/relationships/worksheet" Target="worksheets/sheet77.xml"/><Relationship Id="rId79" Type="http://schemas.openxmlformats.org/officeDocument/2006/relationships/worksheet" Target="worksheets/sheet78.xml"/><Relationship Id="rId80" Type="http://schemas.openxmlformats.org/officeDocument/2006/relationships/worksheet" Target="worksheets/sheet79.xml"/><Relationship Id="rId81" Type="http://schemas.openxmlformats.org/officeDocument/2006/relationships/worksheet" Target="worksheets/sheet80.xml"/><Relationship Id="rId82" Type="http://schemas.openxmlformats.org/officeDocument/2006/relationships/worksheet" Target="worksheets/sheet81.xml"/><Relationship Id="rId83" Type="http://schemas.openxmlformats.org/officeDocument/2006/relationships/worksheet" Target="worksheets/sheet82.xml"/><Relationship Id="rId84" Type="http://schemas.openxmlformats.org/officeDocument/2006/relationships/worksheet" Target="worksheets/sheet83.xml"/><Relationship Id="rId85" Type="http://schemas.openxmlformats.org/officeDocument/2006/relationships/worksheet" Target="worksheets/sheet84.xml"/><Relationship Id="rId86" Type="http://schemas.openxmlformats.org/officeDocument/2006/relationships/worksheet" Target="worksheets/sheet85.xml"/><Relationship Id="rId87" Type="http://schemas.openxmlformats.org/officeDocument/2006/relationships/worksheet" Target="worksheets/sheet86.xml"/><Relationship Id="rId88" Type="http://schemas.openxmlformats.org/officeDocument/2006/relationships/worksheet" Target="worksheets/sheet87.xml"/><Relationship Id="rId89" Type="http://schemas.openxmlformats.org/officeDocument/2006/relationships/worksheet" Target="worksheets/sheet88.xml"/><Relationship Id="rId90" Type="http://schemas.openxmlformats.org/officeDocument/2006/relationships/worksheet" Target="worksheets/sheet89.xml"/><Relationship Id="rId91" Type="http://schemas.openxmlformats.org/officeDocument/2006/relationships/sharedStrings" Target="sharedStrings.xml"/><Relationship Id="rId92" Type="http://schemas.openxmlformats.org/officeDocument/2006/relationships/theme" Target="theme/theme1.xml"/></Relationships>
</file>

<file path=xl/drawings/_rels/drawing1.xml.rels><?xml version="1.0" encoding="UTF-8" standalone="yes"?>
<Relationships xmlns="http://schemas.openxmlformats.org/package/2006/relationships"><Relationship Id="rId1" Type="http://schemas.openxmlformats.org/officeDocument/2006/relationships/image" Target="../media/image1.jpeg"/><Relationship Id="rId2" Type="http://schemas.openxmlformats.org/officeDocument/2006/relationships/image" Target="../media/image2.jpeg"/><Relationship Id="rId3" Type="http://schemas.openxmlformats.org/officeDocument/2006/relationships/image" Target="../media/image3.png"/><Relationship Id="rId4" Type="http://schemas.openxmlformats.org/officeDocument/2006/relationships/image" Target="../media/image4.png"/><Relationship Id="rId5" Type="http://schemas.openxmlformats.org/officeDocument/2006/relationships/image" Target="../media/image5.jpeg"/></Relationships>
</file>

<file path=xl/drawings/_rels/drawing2.xml.rels><?xml version="1.0" encoding="UTF-8" standalone="yes"?>
<Relationships xmlns="http://schemas.openxmlformats.org/package/2006/relationships"><Relationship Id="rId1" Type="http://schemas.openxmlformats.org/officeDocument/2006/relationships/image" Target="../media/image6.png"/><Relationship Id="rId2" Type="http://schemas.openxmlformats.org/officeDocument/2006/relationships/image" Target="../media/image7.png"/></Relationships>
</file>

<file path=xl/drawings/_rels/drawing3.xml.rels><?xml version="1.0" encoding="UTF-8" standalone="yes"?>
<Relationships xmlns="http://schemas.openxmlformats.org/package/2006/relationships"><Relationship Id="rId1" Type="http://schemas.openxmlformats.org/officeDocument/2006/relationships/image" Target="../media/image8.png"/></Relationships>
</file>

<file path=xl/drawings/_rels/drawing4.xml.rels><?xml version="1.0" encoding="UTF-8" standalone="yes"?>
<Relationships xmlns="http://schemas.openxmlformats.org/package/2006/relationships"><Relationship Id="rId1" Type="http://schemas.openxmlformats.org/officeDocument/2006/relationships/image" Target="../media/image9.png"/></Relationships>
</file>

<file path=xl/drawings/_rels/drawing5.xml.rels><?xml version="1.0" encoding="UTF-8" standalone="yes"?>
<Relationships xmlns="http://schemas.openxmlformats.org/package/2006/relationships"><Relationship Id="rId1" Type="http://schemas.openxmlformats.org/officeDocument/2006/relationships/image" Target="../media/image10.png"/></Relationships>
</file>

<file path=xl/drawings/_rels/drawing6.xml.rels><?xml version="1.0" encoding="UTF-8" standalone="yes"?>
<Relationships xmlns="http://schemas.openxmlformats.org/package/2006/relationships"><Relationship Id="rId1" Type="http://schemas.openxmlformats.org/officeDocument/2006/relationships/image" Target="../media/image11.png"/></Relationships>
</file>

<file path=xl/drawings/_rels/drawing7.xml.rels><?xml version="1.0" encoding="UTF-8" standalone="yes"?>
<Relationships xmlns="http://schemas.openxmlformats.org/package/2006/relationships"><Relationship Id="rId1" Type="http://schemas.openxmlformats.org/officeDocument/2006/relationships/image" Target="../media/image12.png"/></Relationships>
</file>

<file path=xl/drawings/_rels/drawing8.xml.rels><?xml version="1.0" encoding="UTF-8" standalone="yes"?>
<Relationships xmlns="http://schemas.openxmlformats.org/package/2006/relationships"><Relationship Id="rId1" Type="http://schemas.openxmlformats.org/officeDocument/2006/relationships/image" Target="../media/image13.png"/></Relationships>
</file>

<file path=xl/drawings/drawing1.xml><?xml version="1.0" encoding="utf-8"?>
<xdr:wsDr xmlns:xdr="http://schemas.openxmlformats.org/drawingml/2006/spreadsheetDrawing" xmlns:a="http://schemas.openxmlformats.org/drawingml/2006/main">
  <xdr:twoCellAnchor editAs="oneCell">
    <xdr:from>
      <xdr:col>3</xdr:col>
      <xdr:colOff>57150</xdr:colOff>
      <xdr:row>8</xdr:row>
      <xdr:rowOff>0</xdr:rowOff>
    </xdr:from>
    <xdr:to>
      <xdr:col>4</xdr:col>
      <xdr:colOff>314516</xdr:colOff>
      <xdr:row>11</xdr:row>
      <xdr:rowOff>57341</xdr:rowOff>
    </xdr:to>
    <xdr:pic>
      <xdr:nvPicPr>
        <xdr:cNvPr id="1" name="PHONE_PIC"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3</xdr:col>
      <xdr:colOff>57150</xdr:colOff>
      <xdr:row>16</xdr:row>
      <xdr:rowOff>0</xdr:rowOff>
    </xdr:from>
    <xdr:to>
      <xdr:col>4</xdr:col>
      <xdr:colOff>314516</xdr:colOff>
      <xdr:row>19</xdr:row>
      <xdr:rowOff>76391</xdr:rowOff>
    </xdr:to>
    <xdr:pic>
      <xdr:nvPicPr>
        <xdr:cNvPr id="2" name="PHONE_PIC_1" descr="update_org.png" hidden="1"/>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7</xdr:col>
      <xdr:colOff>0</xdr:colOff>
      <xdr:row>4</xdr:row>
      <xdr:rowOff>0</xdr:rowOff>
    </xdr:from>
    <xdr:to>
      <xdr:col>8</xdr:col>
      <xdr:colOff>207645</xdr:colOff>
      <xdr:row>4</xdr:row>
      <xdr:rowOff>207645</xdr:rowOff>
    </xdr:to>
    <xdr:pic>
      <xdr:nvPicPr>
        <xdr:cNvPr id="3" name="cmdCreatePrintedForm" descr="Создание печатной формы" hidden="1"/>
        <xdr:cNvPicPr>
          <a:picLocks noChangeAspect="1"/>
        </xdr:cNvPicPr>
      </xdr:nvPicPr>
      <xdr:blipFill>
        <a:blip xmlns:r="http://schemas.openxmlformats.org/officeDocument/2006/relationships" r:embed="rId3"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4</xdr:col>
      <xdr:colOff>0</xdr:colOff>
      <xdr:row>30</xdr:row>
      <xdr:rowOff>0</xdr:rowOff>
    </xdr:from>
    <xdr:to>
      <xdr:col>4</xdr:col>
      <xdr:colOff>288036</xdr:colOff>
      <xdr:row>32</xdr:row>
      <xdr:rowOff>54102</xdr:rowOff>
    </xdr:to>
    <xdr:pic>
      <xdr:nvPicPr>
        <xdr:cNvPr id="4" name="UPDATE_PLAN1X_DATA" descr="update_org.png" hidden="1"/>
        <xdr:cNvPicPr>
          <a:picLocks noChangeAspect="1"/>
        </xdr:cNvPicPr>
      </xdr:nvPicPr>
      <xdr:blipFill>
        <a:blip xmlns:r="http://schemas.openxmlformats.org/officeDocument/2006/relationships" r:embed="rId4"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3</xdr:col>
      <xdr:colOff>57150</xdr:colOff>
      <xdr:row>65</xdr:row>
      <xdr:rowOff>76200</xdr:rowOff>
    </xdr:from>
    <xdr:to>
      <xdr:col>4</xdr:col>
      <xdr:colOff>321850</xdr:colOff>
      <xdr:row>65</xdr:row>
      <xdr:rowOff>400241</xdr:rowOff>
    </xdr:to>
    <xdr:pic>
      <xdr:nvPicPr>
        <xdr:cNvPr id="5" name="PHONE_PIC_2" descr="update_org.png" hidden="1"/>
        <xdr:cNvPicPr>
          <a:picLocks noChangeAspect="1"/>
        </xdr:cNvPicPr>
      </xdr:nvPicPr>
      <xdr:blipFill>
        <a:blip xmlns:r="http://schemas.openxmlformats.org/officeDocument/2006/relationships" r:embed="rId5"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6</xdr:col>
      <xdr:colOff>0</xdr:colOff>
      <xdr:row>8</xdr:row>
      <xdr:rowOff>0</xdr:rowOff>
    </xdr:from>
    <xdr:to>
      <xdr:col>6</xdr:col>
      <xdr:colOff>207645</xdr:colOff>
      <xdr:row>8</xdr:row>
      <xdr:rowOff>207645</xdr:rowOff>
    </xdr:to>
    <xdr:pic>
      <xdr:nvPicPr>
        <xdr:cNvPr id="1" name="ExcludeHelp_2" descr="Справка по листу"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xdr:from>
      <xdr:col>4</xdr:col>
      <xdr:colOff>114300</xdr:colOff>
      <xdr:row>5</xdr:row>
      <xdr:rowOff>0</xdr:rowOff>
    </xdr:from>
    <xdr:to>
      <xdr:col>6</xdr:col>
      <xdr:colOff>18764</xdr:colOff>
      <xdr:row>6</xdr:row>
      <xdr:rowOff>0</xdr:rowOff>
    </xdr:to>
    <xdr:pic>
      <xdr:nvPicPr>
        <xdr:cNvPr id="2" name="Рисунок 1" hidden="1"/>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3.xml><?xml version="1.0" encoding="utf-8"?>
<xdr:wsDr xmlns:xdr="http://schemas.openxmlformats.org/drawingml/2006/spreadsheetDrawing" xmlns:a="http://schemas.openxmlformats.org/drawingml/2006/main">
  <xdr:twoCellAnchor>
    <xdr:from>
      <xdr:col>3</xdr:col>
      <xdr:colOff>73533</xdr:colOff>
      <xdr:row>6</xdr:row>
      <xdr:rowOff>0</xdr:rowOff>
    </xdr:from>
    <xdr:to>
      <xdr:col>4</xdr:col>
      <xdr:colOff>155734</xdr:colOff>
      <xdr:row>6</xdr:row>
      <xdr:rowOff>0</xdr:rowOff>
    </xdr:to>
    <xdr:pic>
      <xdr:nvPicPr>
        <xdr:cNvPr id="1" name="Рисунок 8"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4.xml><?xml version="1.0" encoding="utf-8"?>
<xdr:wsDr xmlns:xdr="http://schemas.openxmlformats.org/drawingml/2006/spreadsheetDrawing" xmlns:a="http://schemas.openxmlformats.org/drawingml/2006/main">
  <xdr:twoCellAnchor>
    <xdr:from>
      <xdr:col>4</xdr:col>
      <xdr:colOff>0</xdr:colOff>
      <xdr:row>8</xdr:row>
      <xdr:rowOff>0</xdr:rowOff>
    </xdr:from>
    <xdr:to>
      <xdr:col>5</xdr:col>
      <xdr:colOff>0</xdr:colOff>
      <xdr:row>9</xdr:row>
      <xdr:rowOff>30480</xdr:rowOff>
    </xdr:to>
    <xdr:pic>
      <xdr:nvPicPr>
        <xdr:cNvPr id="1" name="UNFREEZE_PANES_I11"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5.xml><?xml version="1.0" encoding="utf-8"?>
<xdr:wsDr xmlns:xdr="http://schemas.openxmlformats.org/drawingml/2006/spreadsheetDrawing" xmlns:a="http://schemas.openxmlformats.org/drawingml/2006/main">
  <xdr:twoCellAnchor>
    <xdr:from>
      <xdr:col>4</xdr:col>
      <xdr:colOff>0</xdr:colOff>
      <xdr:row>4</xdr:row>
      <xdr:rowOff>0</xdr:rowOff>
    </xdr:from>
    <xdr:to>
      <xdr:col>8</xdr:col>
      <xdr:colOff>0</xdr:colOff>
      <xdr:row>5</xdr:row>
      <xdr:rowOff>0</xdr:rowOff>
    </xdr:to>
    <xdr:pic>
      <xdr:nvPicPr>
        <xdr:cNvPr id="1"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6.xml><?xml version="1.0" encoding="utf-8"?>
<xdr:wsDr xmlns:xdr="http://schemas.openxmlformats.org/drawingml/2006/spreadsheetDrawing" xmlns:a="http://schemas.openxmlformats.org/drawingml/2006/main">
  <xdr:twoCellAnchor>
    <xdr:from>
      <xdr:col>0</xdr:col>
      <xdr:colOff>0</xdr:colOff>
      <xdr:row>13</xdr:row>
      <xdr:rowOff>0</xdr:rowOff>
    </xdr:from>
    <xdr:to>
      <xdr:col>3</xdr:col>
      <xdr:colOff>0</xdr:colOff>
      <xdr:row>13</xdr:row>
      <xdr:rowOff>247650</xdr:rowOff>
    </xdr:to>
    <xdr:pic>
      <xdr:nvPicPr>
        <xdr:cNvPr id="1"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7.xml><?xml version="1.0" encoding="utf-8"?>
<xdr:wsDr xmlns:xdr="http://schemas.openxmlformats.org/drawingml/2006/spreadsheetDrawing" xmlns:a="http://schemas.openxmlformats.org/drawingml/2006/main">
  <xdr:twoCellAnchor>
    <xdr:from>
      <xdr:col>0</xdr:col>
      <xdr:colOff>0</xdr:colOff>
      <xdr:row>13</xdr:row>
      <xdr:rowOff>0</xdr:rowOff>
    </xdr:from>
    <xdr:to>
      <xdr:col>4</xdr:col>
      <xdr:colOff>0</xdr:colOff>
      <xdr:row>13</xdr:row>
      <xdr:rowOff>171450</xdr:rowOff>
    </xdr:to>
    <xdr:pic>
      <xdr:nvPicPr>
        <xdr:cNvPr id="1"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8.xml><?xml version="1.0" encoding="utf-8"?>
<xdr:wsDr xmlns:xdr="http://schemas.openxmlformats.org/drawingml/2006/spreadsheetDrawing" xmlns:a="http://schemas.openxmlformats.org/drawingml/2006/main">
  <xdr:twoCellAnchor>
    <xdr:from>
      <xdr:col>0</xdr:col>
      <xdr:colOff>0</xdr:colOff>
      <xdr:row>4</xdr:row>
      <xdr:rowOff>0</xdr:rowOff>
    </xdr:from>
    <xdr:to>
      <xdr:col>3</xdr:col>
      <xdr:colOff>0</xdr:colOff>
      <xdr:row>4</xdr:row>
      <xdr:rowOff>247650</xdr:rowOff>
    </xdr:to>
    <xdr:pic>
      <xdr:nvPicPr>
        <xdr:cNvPr id="1"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theme/theme1.xml><?xml version="1.0" encoding="utf-8"?>
<a:theme xmlns:a="http://schemas.openxmlformats.org/drawingml/2006/main" name="Тема Office">
  <a:themeElements>
    <a:clrScheme name="Стандартная">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Тема 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2.xml.rels><?xml version="1.0" encoding="UTF-8" standalone="yes"?>
<Relationships xmlns="http://schemas.openxmlformats.org/package/2006/relationships"><Relationship Id="rId1" Type="http://schemas.openxmlformats.org/officeDocument/2006/relationships/comments" Target="../comments1.xml"/><Relationship Id="rId2" Type="http://schemas.openxmlformats.org/officeDocument/2006/relationships/vmlDrawing" Target="../drawings/vmlDrawing1.vml"/><Relationship Id="rId3" Type="http://schemas.openxmlformats.org/officeDocument/2006/relationships/drawing" Target="../drawings/drawing1.xml"/><Relationship Id="rId4" Type="http://schemas.openxmlformats.org/officeDocument/2006/relationships/hyperlink" Target="mailto:Sineltseva.EV@tgc1.ru" TargetMode="Externa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35.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36.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47.xml.rels><?xml version="1.0" encoding="UTF-8" standalone="yes"?>
<Relationships xmlns="http://schemas.openxmlformats.org/package/2006/relationships"><Relationship Id="rId1" Type="http://schemas.openxmlformats.org/officeDocument/2006/relationships/drawing" Target="../drawings/drawing6.xml"/><Relationship Id="rId2" Type="http://schemas.openxmlformats.org/officeDocument/2006/relationships/hyperlink" Target="https://portal.eias.ru/Portal/DownloadPage.aspx?type=12&amp;guid=1e291b01-6579-4458-96e8-e65ecce34e9d" TargetMode="External"/><Relationship Id="rId3" Type="http://schemas.openxmlformats.org/officeDocument/2006/relationships/hyperlink" Target="https://portal.eias.ru/Portal/DownloadPage.aspx?type=12&amp;guid=27df82f0-827f-49c4-be73-741c630613a6" TargetMode="External"/><Relationship Id="rId4" Type="http://schemas.openxmlformats.org/officeDocument/2006/relationships/hyperlink" Target="https://portal.eias.ru/Portal/DownloadPage.aspx?type=12&amp;guid=27df82f0-827f-49c4-be73-741c630613a6" TargetMode="External"/></Relationships>
</file>

<file path=xl/worksheets/_rels/sheet48.xml.rels><?xml version="1.0" encoding="UTF-8" standalone="yes"?>
<Relationships xmlns="http://schemas.openxmlformats.org/package/2006/relationships"><Relationship Id="rId1" Type="http://schemas.openxmlformats.org/officeDocument/2006/relationships/drawing" Target="../drawings/drawing7.xml"/></Relationships>
</file>

<file path=xl/worksheets/_rels/sheet49.xml.rels><?xml version="1.0" encoding="UTF-8" standalone="yes"?>
<Relationships xmlns="http://schemas.openxmlformats.org/package/2006/relationships"><Relationship Id="rId1" Type="http://schemas.openxmlformats.org/officeDocument/2006/relationships/drawing" Target="../drawings/drawing8.xml"/></Relationships>
</file>

<file path=xl/worksheets/_rels/sheet51.xml.rels><?xml version="1.0" encoding="UTF-8" standalone="yes"?>
<Relationships xmlns="http://schemas.openxmlformats.org/package/2006/relationships"><Relationship Id="rId1" Type="http://schemas.openxmlformats.org/officeDocument/2006/relationships/comments" Target="../comments2.xml"/><Relationship Id="rId2" Type="http://schemas.openxmlformats.org/officeDocument/2006/relationships/vmlDrawing" Target="../drawings/vmlDrawing2.vml"/></Relationships>
</file>

<file path=xl/worksheets/_rels/sheet63.xml.rels><?xml version="1.0" encoding="UTF-8" standalone="yes"?>
<Relationships xmlns="http://schemas.openxmlformats.org/package/2006/relationships"><Relationship Id="rId1" Type="http://schemas.openxmlformats.org/officeDocument/2006/relationships/comments" Target="../comments3.xml"/><Relationship Id="rId2" Type="http://schemas.openxmlformats.org/officeDocument/2006/relationships/vmlDrawing" Target="../drawings/vmlDrawing3.v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9FF9878-EC03-06C7-1BD7-19A0EB03FF18}" mc:Ignorable="x14ac xr xr2 xr3">
  <dimension ref="A1:AB21"/>
  <sheetViews>
    <sheetView topLeftCell="A1" showGridLines="0" showRowColHeaders="0" workbookViewId="0">
      <selection activeCell="A1" sqref="A1"/>
    </sheetView>
  </sheetViews>
  <sheetFormatPr defaultColWidth="11.00390625" customHeight="1" defaultRowHeight="12.75"/>
  <cols>
    <col min="1" max="1" style="2629" width="5.421875" customWidth="1"/>
    <col min="2" max="2" style="2629" width="9.140625" customWidth="1"/>
    <col min="3" max="3" style="2629" width="16.421875" customWidth="1"/>
    <col min="4" max="25" style="2629" width="6.28125" customWidth="1"/>
    <col min="26" max="28" style="2629" width="11.00390625"/>
  </cols>
  <sheetData>
    <row customHeight="1" ht="15.75">
      <c r="A1" s="1701"/>
      <c r="B1" s="1702"/>
      <c r="C1" s="1702"/>
      <c r="D1" s="1702"/>
      <c r="E1" s="1702"/>
      <c r="F1" s="1702"/>
      <c r="G1" s="1702"/>
      <c r="H1" s="1702"/>
      <c r="I1" s="1702"/>
      <c r="J1" s="1702"/>
      <c r="K1" s="1702"/>
      <c r="L1" s="1702"/>
      <c r="M1" s="1702"/>
      <c r="N1" s="1702"/>
      <c r="O1" s="1702"/>
      <c r="P1" s="1702"/>
      <c r="Q1" s="1702"/>
      <c r="R1" s="1702"/>
      <c r="S1" s="1702"/>
      <c r="T1" s="1702"/>
      <c r="U1" s="1702"/>
      <c r="V1" s="1702"/>
      <c r="W1" s="1702"/>
      <c r="X1" s="1702"/>
      <c r="Y1" s="1703"/>
      <c r="Z1" s="1702"/>
      <c r="AA1" s="1704" t="s">
        <v>0</v>
      </c>
      <c r="AB1" s="1702"/>
    </row>
    <row customHeight="1" ht="17.25">
      <c r="A2" s="1702"/>
      <c r="B2" s="2078" t="s">
        <v>1</v>
      </c>
      <c r="C2" s="2078"/>
      <c r="D2" s="2078"/>
      <c r="E2" s="2078"/>
      <c r="F2" s="2078"/>
      <c r="G2" s="2078"/>
      <c r="H2" s="2078"/>
      <c r="I2" s="2078"/>
      <c r="J2" s="2078"/>
      <c r="K2" s="2078"/>
      <c r="L2" s="2078"/>
      <c r="M2" s="2078"/>
      <c r="N2" s="2078"/>
      <c r="O2" s="2078"/>
      <c r="P2" s="2078"/>
      <c r="Q2" s="1706"/>
      <c r="R2" s="1706"/>
      <c r="S2" s="1706"/>
      <c r="T2" s="1706"/>
      <c r="U2" s="1706"/>
      <c r="V2" s="1707"/>
      <c r="W2" s="1706"/>
      <c r="X2" s="1706"/>
      <c r="Y2" s="1703"/>
      <c r="Z2" s="1702"/>
      <c r="AA2" s="1704"/>
      <c r="AB2" s="1702"/>
    </row>
    <row customHeight="1" ht="15.75">
      <c r="A3" s="1702"/>
      <c r="B3" s="2079" t="s">
        <v>2</v>
      </c>
      <c r="C3" s="2079"/>
      <c r="D3" s="2079"/>
      <c r="E3" s="2079"/>
      <c r="F3" s="2079"/>
      <c r="G3" s="2079"/>
      <c r="H3" s="2079"/>
      <c r="I3" s="2079"/>
      <c r="J3" s="2079"/>
      <c r="K3" s="2079"/>
      <c r="L3" s="2079"/>
      <c r="M3" s="2079"/>
      <c r="N3" s="2079"/>
      <c r="O3" s="2079"/>
      <c r="P3" s="2079"/>
      <c r="Q3" s="1707"/>
      <c r="R3" s="1707"/>
      <c r="S3" s="1706"/>
      <c r="T3" s="1706"/>
      <c r="U3" s="1706"/>
      <c r="V3" s="1707"/>
      <c r="W3" s="1707"/>
      <c r="X3" s="1707"/>
      <c r="Y3" s="1707"/>
      <c r="Z3" s="1702"/>
      <c r="AA3" s="1704"/>
      <c r="AB3" s="1702"/>
    </row>
    <row customHeight="1" ht="17.25">
      <c r="A4" s="1702"/>
      <c r="B4" s="1708"/>
      <c r="C4" s="1702"/>
      <c r="D4" s="1707"/>
      <c r="E4" s="1707"/>
      <c r="F4" s="1707"/>
      <c r="G4" s="1707"/>
      <c r="H4" s="1707"/>
      <c r="I4" s="1707"/>
      <c r="J4" s="1707"/>
      <c r="K4" s="1707"/>
      <c r="L4" s="1707"/>
      <c r="M4" s="1707"/>
      <c r="N4" s="1707"/>
      <c r="O4" s="1707"/>
      <c r="P4" s="1707"/>
      <c r="Q4" s="1707"/>
      <c r="R4" s="1707"/>
      <c r="S4" s="1707"/>
      <c r="T4" s="1707"/>
      <c r="U4" s="1707"/>
      <c r="V4" s="1707"/>
      <c r="W4" s="1707"/>
      <c r="X4" s="1707"/>
      <c r="Y4" s="1707"/>
      <c r="Z4" s="1702"/>
      <c r="AA4" s="1704"/>
      <c r="AB4" s="1702"/>
    </row>
    <row customHeight="1" ht="22.5">
      <c r="A5" s="1709"/>
      <c r="B5" s="2080" t="str">
        <f>IF(TEMPLATE_SPHERE="","Информация, подлежащая раскрытию регулируемыми организациями",Титульный!E5)</f>
        <v>Показатели, подлежащие раскрытию в сфере теплоснабжения (цены и тарифы)</v>
      </c>
      <c r="C5" s="2081"/>
      <c r="D5" s="2081"/>
      <c r="E5" s="2081"/>
      <c r="F5" s="2081"/>
      <c r="G5" s="2081"/>
      <c r="H5" s="2081"/>
      <c r="I5" s="2081"/>
      <c r="J5" s="2081"/>
      <c r="K5" s="2081"/>
      <c r="L5" s="2081"/>
      <c r="M5" s="2081"/>
      <c r="N5" s="2081"/>
      <c r="O5" s="2081"/>
      <c r="P5" s="2081"/>
      <c r="Q5" s="2081"/>
      <c r="R5" s="2081"/>
      <c r="S5" s="2081"/>
      <c r="T5" s="2081"/>
      <c r="U5" s="2081"/>
      <c r="V5" s="2081"/>
      <c r="W5" s="2081"/>
      <c r="X5" s="2081"/>
      <c r="Y5" s="2082"/>
      <c r="Z5" s="1709"/>
      <c r="AA5" s="1704"/>
      <c r="AB5" s="1709"/>
    </row>
    <row customHeight="1" ht="15">
      <c r="A6" s="1710"/>
      <c r="B6" s="2083" t="s">
        <v>3</v>
      </c>
      <c r="C6" s="2084"/>
      <c r="D6" s="1711"/>
      <c r="E6" s="1711"/>
      <c r="F6" s="1711"/>
      <c r="G6" s="1711"/>
      <c r="H6" s="1711"/>
      <c r="I6" s="1711"/>
      <c r="J6" s="1711"/>
      <c r="K6" s="1711"/>
      <c r="L6" s="1711"/>
      <c r="M6" s="1711"/>
      <c r="N6" s="1711"/>
      <c r="O6" s="1711"/>
      <c r="P6" s="1711"/>
      <c r="Q6" s="1711"/>
      <c r="R6" s="1711"/>
      <c r="S6" s="1711"/>
      <c r="T6" s="1711"/>
      <c r="U6" s="1711"/>
      <c r="V6" s="1711"/>
      <c r="W6" s="1711"/>
      <c r="X6" s="1711"/>
      <c r="Y6" s="1712"/>
      <c r="Z6" s="1713"/>
      <c r="AA6" s="1714"/>
      <c r="AB6" s="1714"/>
    </row>
    <row customHeight="1" ht="15">
      <c r="A7" s="1710"/>
      <c r="B7" s="2083"/>
      <c r="C7" s="2084"/>
      <c r="D7" s="1711"/>
      <c r="E7" s="1711"/>
      <c r="F7" s="1715"/>
      <c r="G7" s="1715"/>
      <c r="H7" s="1715"/>
      <c r="I7" s="1715"/>
      <c r="J7" s="1715"/>
      <c r="K7" s="1715"/>
      <c r="L7" s="1715"/>
      <c r="M7" s="1715"/>
      <c r="N7" s="1715"/>
      <c r="O7" s="1711"/>
      <c r="P7" s="1715"/>
      <c r="Q7" s="1715"/>
      <c r="R7" s="1715"/>
      <c r="S7" s="1715"/>
      <c r="T7" s="1715"/>
      <c r="U7" s="1715"/>
      <c r="V7" s="1715"/>
      <c r="W7" s="1715"/>
      <c r="X7" s="1715"/>
      <c r="Y7" s="1712"/>
      <c r="Z7" s="1713"/>
      <c r="AA7" s="1714"/>
      <c r="AB7" s="1714"/>
    </row>
    <row customHeight="1" ht="15">
      <c r="A8" s="1710"/>
      <c r="B8" s="2083"/>
      <c r="C8" s="2084"/>
      <c r="D8" s="1716"/>
      <c r="E8" s="1717" t="s">
        <v>4</v>
      </c>
      <c r="F8" s="2086" t="s">
        <v>5</v>
      </c>
      <c r="G8" s="2087"/>
      <c r="H8" s="2087"/>
      <c r="I8" s="2087"/>
      <c r="J8" s="2087"/>
      <c r="K8" s="2087"/>
      <c r="L8" s="2087"/>
      <c r="M8" s="2087"/>
      <c r="N8" s="1716"/>
      <c r="O8" s="1718" t="s">
        <v>4</v>
      </c>
      <c r="P8" s="2088" t="s">
        <v>6</v>
      </c>
      <c r="Q8" s="2089"/>
      <c r="R8" s="2089"/>
      <c r="S8" s="2089"/>
      <c r="T8" s="2089"/>
      <c r="U8" s="2089"/>
      <c r="V8" s="2089"/>
      <c r="W8" s="2089"/>
      <c r="X8" s="2089"/>
      <c r="Y8" s="1712"/>
      <c r="Z8" s="1713"/>
      <c r="AA8" s="1714"/>
      <c r="AB8" s="1714"/>
    </row>
    <row customHeight="1" ht="15">
      <c r="A9" s="1710"/>
      <c r="B9" s="2083"/>
      <c r="C9" s="2084"/>
      <c r="D9" s="1716"/>
      <c r="E9" s="1719" t="s">
        <v>4</v>
      </c>
      <c r="F9" s="2086" t="s">
        <v>7</v>
      </c>
      <c r="G9" s="2087"/>
      <c r="H9" s="2087"/>
      <c r="I9" s="2087"/>
      <c r="J9" s="2087"/>
      <c r="K9" s="2087"/>
      <c r="L9" s="2087"/>
      <c r="M9" s="2087"/>
      <c r="N9" s="1716"/>
      <c r="O9" s="1720" t="s">
        <v>4</v>
      </c>
      <c r="P9" s="2088" t="s">
        <v>8</v>
      </c>
      <c r="Q9" s="2089"/>
      <c r="R9" s="2089"/>
      <c r="S9" s="2089"/>
      <c r="T9" s="2089"/>
      <c r="U9" s="2089"/>
      <c r="V9" s="2089"/>
      <c r="W9" s="2089"/>
      <c r="X9" s="2089"/>
      <c r="Y9" s="1712"/>
      <c r="Z9" s="1713"/>
      <c r="AA9" s="1714"/>
      <c r="AB9" s="1714"/>
    </row>
    <row customHeight="1" ht="30">
      <c r="A10" s="1710"/>
      <c r="B10" s="2083"/>
      <c r="C10" s="2085"/>
      <c r="D10" s="1721"/>
      <c r="E10" s="1722"/>
      <c r="F10" s="1715"/>
      <c r="G10" s="1715"/>
      <c r="H10" s="1715"/>
      <c r="I10" s="1715"/>
      <c r="J10" s="1715"/>
      <c r="K10" s="1715"/>
      <c r="L10" s="1715"/>
      <c r="M10" s="1715"/>
      <c r="N10" s="1715"/>
      <c r="O10" s="1722"/>
      <c r="P10" s="1715"/>
      <c r="Q10" s="1715"/>
      <c r="R10" s="1715"/>
      <c r="S10" s="1715"/>
      <c r="T10" s="1715"/>
      <c r="U10" s="1715"/>
      <c r="V10" s="1715"/>
      <c r="W10" s="1715"/>
      <c r="X10" s="1715"/>
      <c r="Y10" s="1712"/>
      <c r="Z10" s="1713"/>
      <c r="AA10" s="1714"/>
      <c r="AB10" s="1714"/>
    </row>
    <row customHeight="1" ht="19.5">
      <c r="A11" s="1710"/>
      <c r="B11" s="2090" t="s">
        <v>9</v>
      </c>
      <c r="C11" s="2091"/>
      <c r="D11" s="1716"/>
      <c r="E11" s="1723"/>
      <c r="F11" s="1723"/>
      <c r="G11" s="1723"/>
      <c r="H11" s="1723"/>
      <c r="I11" s="1723"/>
      <c r="J11" s="1723"/>
      <c r="K11" s="1723"/>
      <c r="L11" s="1723"/>
      <c r="M11" s="1723"/>
      <c r="N11" s="1723"/>
      <c r="O11" s="1723"/>
      <c r="P11" s="1723"/>
      <c r="Q11" s="1723"/>
      <c r="R11" s="1723"/>
      <c r="S11" s="1723"/>
      <c r="T11" s="1723"/>
      <c r="U11" s="1723"/>
      <c r="V11" s="1723"/>
      <c r="W11" s="1723"/>
      <c r="X11" s="1723"/>
      <c r="Y11" s="1712"/>
      <c r="Z11" s="1713"/>
      <c r="AA11" s="1714"/>
      <c r="AB11" s="1714"/>
    </row>
    <row customHeight="1" ht="69">
      <c r="A12" s="1710"/>
      <c r="B12" s="2083"/>
      <c r="C12" s="2085"/>
      <c r="D12" s="1724"/>
      <c r="E12" s="2087" t="s">
        <v>10</v>
      </c>
      <c r="F12" s="2087"/>
      <c r="G12" s="2087"/>
      <c r="H12" s="2087"/>
      <c r="I12" s="2087"/>
      <c r="J12" s="2087"/>
      <c r="K12" s="2087"/>
      <c r="L12" s="2087"/>
      <c r="M12" s="2087"/>
      <c r="N12" s="2087"/>
      <c r="O12" s="2087"/>
      <c r="P12" s="2087"/>
      <c r="Q12" s="2087"/>
      <c r="R12" s="2087"/>
      <c r="S12" s="2087"/>
      <c r="T12" s="2087"/>
      <c r="U12" s="2087"/>
      <c r="V12" s="2087"/>
      <c r="W12" s="2087"/>
      <c r="X12" s="2087"/>
      <c r="Y12" s="1712"/>
      <c r="Z12" s="1713"/>
      <c r="AA12" s="1714"/>
      <c r="AB12" s="1714"/>
    </row>
    <row customHeight="1" ht="15">
      <c r="A13" s="1710"/>
      <c r="B13" s="2090" t="s">
        <v>11</v>
      </c>
      <c r="C13" s="2091"/>
      <c r="D13" s="1711"/>
      <c r="E13" s="1723"/>
      <c r="F13" s="1723"/>
      <c r="G13" s="1723"/>
      <c r="H13" s="1723"/>
      <c r="I13" s="1723"/>
      <c r="J13" s="1723"/>
      <c r="K13" s="1723"/>
      <c r="L13" s="1723"/>
      <c r="M13" s="1723"/>
      <c r="N13" s="1723"/>
      <c r="O13" s="1723"/>
      <c r="P13" s="1723"/>
      <c r="Q13" s="1723"/>
      <c r="R13" s="1723"/>
      <c r="S13" s="1723"/>
      <c r="T13" s="1723"/>
      <c r="U13" s="1723"/>
      <c r="V13" s="1723"/>
      <c r="W13" s="1723"/>
      <c r="X13" s="1723"/>
      <c r="Y13" s="1712"/>
      <c r="Z13" s="1713"/>
      <c r="AA13" s="1714"/>
      <c r="AB13" s="1714"/>
    </row>
    <row customHeight="1" ht="57">
      <c r="A14" s="1710"/>
      <c r="B14" s="2083"/>
      <c r="C14" s="2084"/>
      <c r="D14" s="1716"/>
      <c r="E14" s="2094" t="s">
        <v>12</v>
      </c>
      <c r="F14" s="2094"/>
      <c r="G14" s="2094"/>
      <c r="H14" s="2094"/>
      <c r="I14" s="2094"/>
      <c r="J14" s="2094"/>
      <c r="K14" s="2094"/>
      <c r="L14" s="2094"/>
      <c r="M14" s="2094"/>
      <c r="N14" s="2094"/>
      <c r="O14" s="2094"/>
      <c r="P14" s="2094"/>
      <c r="Q14" s="2094"/>
      <c r="R14" s="2094"/>
      <c r="S14" s="2094"/>
      <c r="T14" s="2094"/>
      <c r="U14" s="2094"/>
      <c r="V14" s="2094"/>
      <c r="W14" s="2094"/>
      <c r="X14" s="2094"/>
      <c r="Y14" s="1712"/>
      <c r="Z14" s="1713"/>
      <c r="AA14" s="1714"/>
      <c r="AB14" s="1714"/>
    </row>
    <row customHeight="1" ht="16.5">
      <c r="A15" s="1710"/>
      <c r="B15" s="2092"/>
      <c r="C15" s="2093"/>
      <c r="D15" s="1725"/>
      <c r="E15" s="1726"/>
      <c r="F15" s="1726"/>
      <c r="G15" s="1726"/>
      <c r="H15" s="1726"/>
      <c r="I15" s="1726"/>
      <c r="J15" s="1726"/>
      <c r="K15" s="1726"/>
      <c r="L15" s="1726"/>
      <c r="M15" s="1726"/>
      <c r="N15" s="1726"/>
      <c r="O15" s="1726"/>
      <c r="P15" s="1726"/>
      <c r="Q15" s="1726"/>
      <c r="R15" s="1726"/>
      <c r="S15" s="1726"/>
      <c r="T15" s="1726"/>
      <c r="U15" s="1726"/>
      <c r="V15" s="1726"/>
      <c r="W15" s="1726"/>
      <c r="X15" s="1726"/>
      <c r="Y15" s="1727"/>
      <c r="Z15" s="1713"/>
      <c r="AA15" s="1728"/>
      <c r="AB15" s="1714"/>
    </row>
    <row customHeight="1" ht="95.25">
      <c r="A16" s="1702"/>
      <c r="B16" s="2094"/>
      <c r="C16" s="2095"/>
      <c r="D16" s="2095"/>
      <c r="E16" s="2095"/>
      <c r="F16" s="2095"/>
      <c r="G16" s="2095"/>
      <c r="H16" s="2095"/>
      <c r="I16" s="2095"/>
      <c r="J16" s="2095"/>
      <c r="K16" s="2095"/>
      <c r="L16" s="2095"/>
      <c r="M16" s="2095"/>
      <c r="N16" s="2095"/>
      <c r="O16" s="2095"/>
      <c r="P16" s="2095"/>
      <c r="Q16" s="2095"/>
      <c r="R16" s="2095"/>
      <c r="S16" s="2095"/>
      <c r="T16" s="2095"/>
      <c r="U16" s="2095"/>
      <c r="V16" s="2095"/>
      <c r="W16" s="2095"/>
      <c r="X16" s="2095"/>
      <c r="Y16" s="2095"/>
      <c r="Z16" s="1702"/>
      <c r="AA16" s="1704"/>
      <c r="AB16" s="1702"/>
    </row>
    <row customHeight="1" ht="14.25">
      <c r="A17" s="1702"/>
      <c r="B17" s="1702"/>
      <c r="C17" s="1702"/>
      <c r="D17" s="1702"/>
      <c r="E17" s="1702"/>
      <c r="F17" s="1702"/>
      <c r="G17" s="1702"/>
      <c r="H17" s="1702"/>
      <c r="I17" s="1702"/>
      <c r="J17" s="1702"/>
      <c r="K17" s="1702"/>
      <c r="L17" s="1702"/>
      <c r="M17" s="1702"/>
      <c r="N17" s="1702"/>
      <c r="O17" s="1702"/>
      <c r="P17" s="1702"/>
      <c r="Q17" s="1702"/>
      <c r="R17" s="1702"/>
      <c r="S17" s="1702"/>
      <c r="T17" s="1702"/>
      <c r="U17" s="1702"/>
      <c r="V17" s="1702"/>
      <c r="W17" s="1702"/>
      <c r="X17" s="1702"/>
      <c r="Y17" s="1703"/>
      <c r="Z17" s="1702"/>
      <c r="AA17" s="1704"/>
      <c r="AB17" s="1702"/>
    </row>
    <row customHeight="1" ht="14.25">
      <c r="A18" s="1702"/>
      <c r="B18" s="1702"/>
      <c r="C18" s="1702"/>
      <c r="D18" s="1702"/>
      <c r="E18" s="1702"/>
      <c r="F18" s="1702"/>
      <c r="G18" s="1702"/>
      <c r="H18" s="1702"/>
      <c r="I18" s="1702"/>
      <c r="J18" s="1702"/>
      <c r="K18" s="1702"/>
      <c r="L18" s="1702"/>
      <c r="M18" s="1702"/>
      <c r="N18" s="1702"/>
      <c r="O18" s="1702"/>
      <c r="P18" s="1702"/>
      <c r="Q18" s="1702"/>
      <c r="R18" s="1702"/>
      <c r="S18" s="1702"/>
      <c r="T18" s="1702"/>
      <c r="U18" s="1702"/>
      <c r="V18" s="1702"/>
      <c r="W18" s="1702"/>
      <c r="X18" s="1702"/>
      <c r="Y18" s="1703"/>
      <c r="Z18" s="1702"/>
      <c r="AA18" s="1704"/>
      <c r="AB18" s="1702"/>
    </row>
    <row customHeight="1" ht="14.25">
      <c r="A19" s="1702"/>
      <c r="B19" s="1702"/>
      <c r="C19" s="1702"/>
      <c r="D19" s="1702"/>
      <c r="E19" s="1702"/>
      <c r="F19" s="1702"/>
      <c r="G19" s="1702"/>
      <c r="H19" s="1702"/>
      <c r="I19" s="1702"/>
      <c r="J19" s="1702"/>
      <c r="K19" s="1702"/>
      <c r="L19" s="1702"/>
      <c r="M19" s="1702"/>
      <c r="N19" s="1702"/>
      <c r="O19" s="1702"/>
      <c r="P19" s="1702"/>
      <c r="Q19" s="1702"/>
      <c r="R19" s="1702"/>
      <c r="S19" s="1702"/>
      <c r="T19" s="1702"/>
      <c r="U19" s="1702"/>
      <c r="V19" s="1702"/>
      <c r="W19" s="1702"/>
      <c r="X19" s="1702"/>
      <c r="Y19" s="1703"/>
      <c r="Z19" s="1702"/>
      <c r="AA19" s="1704"/>
      <c r="AB19" s="1702"/>
    </row>
    <row customHeight="1" ht="14.25">
      <c r="A20" s="1702"/>
      <c r="B20" s="1702"/>
      <c r="C20" s="1702"/>
      <c r="D20" s="1702"/>
      <c r="E20" s="1702"/>
      <c r="F20" s="1702"/>
      <c r="G20" s="1702"/>
      <c r="H20" s="1702"/>
      <c r="I20" s="1702"/>
      <c r="J20" s="1702"/>
      <c r="K20" s="1702"/>
      <c r="L20" s="1702"/>
      <c r="M20" s="1702"/>
      <c r="N20" s="1702"/>
      <c r="O20" s="1702"/>
      <c r="P20" s="1702"/>
      <c r="Q20" s="1702"/>
      <c r="R20" s="1702"/>
      <c r="S20" s="1702"/>
      <c r="T20" s="1702"/>
      <c r="U20" s="1702"/>
      <c r="V20" s="1702"/>
      <c r="W20" s="1702"/>
      <c r="X20" s="1702"/>
      <c r="Y20" s="1703"/>
      <c r="Z20" s="1702"/>
      <c r="AA20" s="1704"/>
      <c r="AB20" s="1702"/>
    </row>
    <row customHeight="1" ht="14.25">
      <c r="A21" s="1702"/>
      <c r="B21" s="1702"/>
      <c r="C21" s="1702"/>
      <c r="D21" s="1702"/>
      <c r="E21" s="1702"/>
      <c r="F21" s="1702"/>
      <c r="G21" s="1702"/>
      <c r="H21" s="1702"/>
      <c r="I21" s="1702"/>
      <c r="J21" s="1702"/>
      <c r="K21" s="1702"/>
      <c r="L21" s="1702"/>
      <c r="M21" s="1702"/>
      <c r="N21" s="1702"/>
      <c r="O21" s="1702"/>
      <c r="P21" s="1702"/>
      <c r="Q21" s="1702"/>
      <c r="R21" s="1702"/>
      <c r="S21" s="1702"/>
      <c r="T21" s="1702"/>
      <c r="U21" s="1702"/>
      <c r="V21" s="1702"/>
      <c r="W21" s="1702"/>
      <c r="X21" s="1702"/>
      <c r="Y21" s="1703"/>
      <c r="Z21" s="1702"/>
      <c r="AA21" s="1704"/>
      <c r="AB21" s="1702"/>
    </row>
  </sheetData>
  <sheetProtection formatColumns="0" formatRows="0" sort="0" autoFilter="0" insertRows="0" insertColumns="1" deleteRows="0" deleteColumns="0"/>
  <mergeCells count="13">
    <mergeCell ref="B11:C12"/>
    <mergeCell ref="E12:X12"/>
    <mergeCell ref="B13:C15"/>
    <mergeCell ref="E14:X14"/>
    <mergeCell ref="B16:Y16"/>
    <mergeCell ref="B2:P2"/>
    <mergeCell ref="B3:P3"/>
    <mergeCell ref="B5:Y5"/>
    <mergeCell ref="B6:C10"/>
    <mergeCell ref="F8:M8"/>
    <mergeCell ref="P8:X8"/>
    <mergeCell ref="F9:M9"/>
    <mergeCell ref="P9:X9"/>
  </mergeCell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BE690DB-2A48-6148-7698-655A8F7F5088}" mc:Ignorable="x14ac xr xr2 xr3">
  <sheetPr>
    <tabColor theme="3" tint="0.6"/>
  </sheetPr>
  <dimension ref="A1:W19"/>
  <sheetViews>
    <sheetView showGridLines="0" zoomScale="90" workbookViewId="0">
      <pane xSplit="6" ySplit="11" topLeftCell="G12" activePane="bottomRight" state="frozen"/>
      <selection pane="bottomLeft" activeCell="A12" sqref="A12"/>
      <selection pane="topRight" activeCell="G1" sqref="G1"/>
      <selection pane="bottomRight" activeCell="A1" sqref="A1"/>
    </sheetView>
  </sheetViews>
  <sheetFormatPr defaultColWidth="10.57421875" customHeight="1" defaultRowHeight="14.25"/>
  <cols>
    <col min="1" max="1" style="1633" width="9.140625" hidden="1" customWidth="1"/>
    <col min="2" max="3" style="1636" width="9.140625" hidden="1" customWidth="1"/>
    <col min="4" max="4" style="1843" width="3.00390625" customWidth="1"/>
    <col min="5" max="5" style="1636" width="6.00390625" customWidth="1"/>
    <col min="6" max="6" style="1636" width="1.7109375" hidden="1" customWidth="1"/>
    <col min="7" max="8" style="1636" width="30.00390625" customWidth="1"/>
    <col min="9" max="9" style="1636" width="8.00390625" customWidth="1"/>
    <col min="10" max="10" style="1636" width="12.140625" customWidth="1"/>
    <col min="11" max="11" style="1636" width="46.00390625" customWidth="1"/>
    <col min="12" max="12" style="1636" width="100.00390625" customWidth="1"/>
    <col min="13" max="13" style="1820" width="7.00390625" customWidth="1"/>
    <col min="14" max="22" style="1636" width="10.00390625" customWidth="1"/>
    <col min="23" max="23" style="1636" width="10.57421875" hidden="1"/>
  </cols>
  <sheetData>
    <row s="1643" customFormat="1" customHeight="1" ht="5.25" hidden="1">
      <c r="C1" s="512"/>
      <c r="D1" s="495"/>
      <c r="F1" s="512"/>
      <c r="G1" s="490" t="s">
        <v>87</v>
      </c>
      <c r="H1" s="490" t="s">
        <v>88</v>
      </c>
      <c r="I1" s="490" t="s">
        <v>89</v>
      </c>
      <c r="P1" s="490" t="s">
        <v>87</v>
      </c>
      <c r="Q1" s="490" t="s">
        <v>88</v>
      </c>
      <c r="R1" s="490" t="s">
        <v>89</v>
      </c>
      <c r="W1" s="490" t="s">
        <v>14</v>
      </c>
    </row>
    <row s="1643" customFormat="1" customHeight="1" ht="5.25" hidden="1">
      <c r="C2" s="512"/>
      <c r="D2" s="495"/>
      <c r="F2" s="512"/>
      <c r="W2" s="490">
        <v>0</v>
      </c>
    </row>
    <row s="1613" customFormat="1" customHeight="1" ht="5.25">
      <c r="A3" s="480"/>
      <c r="D3" s="487"/>
      <c r="E3" s="482"/>
      <c r="F3" s="482"/>
      <c r="G3" s="482"/>
      <c r="H3" s="482"/>
      <c r="I3" s="483"/>
      <c r="J3" s="484"/>
      <c r="K3" s="484"/>
      <c r="L3" s="484"/>
      <c r="W3" s="481">
        <v>5</v>
      </c>
    </row>
    <row customHeight="1" ht="23.25">
      <c r="D4" s="451"/>
      <c r="E4" s="2239" t="s">
        <v>518</v>
      </c>
      <c r="F4" s="2239"/>
      <c r="G4" s="2240"/>
      <c r="H4" s="2240"/>
      <c r="I4" s="2241"/>
      <c r="J4" s="492"/>
      <c r="K4" s="454"/>
      <c r="L4" s="454"/>
      <c r="W4" s="448">
        <v>22</v>
      </c>
    </row>
    <row s="1636" customFormat="1" customHeight="1" ht="18">
      <c r="A5" s="760"/>
      <c r="D5" s="823"/>
      <c r="E5" s="2215" t="str">
        <f>IF(org=0,"Не определено",org)</f>
        <v>ПАО "ТГК-1" (филиал "Кольский")</v>
      </c>
      <c r="F5" s="2215"/>
      <c r="G5" s="2216"/>
      <c r="H5" s="2216"/>
      <c r="I5" s="2217"/>
      <c r="J5" s="492"/>
      <c r="K5" s="454"/>
      <c r="L5" s="454"/>
      <c r="M5" s="508"/>
      <c r="W5" s="759">
        <v>17</v>
      </c>
    </row>
    <row s="1613" customFormat="1" customHeight="1" ht="11.549999999999999">
      <c r="A6" s="480"/>
      <c r="D6" s="487"/>
      <c r="E6" s="482"/>
      <c r="F6" s="482"/>
      <c r="G6" s="485"/>
      <c r="H6" s="485"/>
      <c r="I6" s="486"/>
      <c r="J6" s="486"/>
      <c r="K6" s="753"/>
      <c r="L6" s="486"/>
      <c r="W6" s="481">
        <v>11</v>
      </c>
    </row>
    <row customHeight="1" ht="14.699999999999998">
      <c r="D7" s="451"/>
      <c r="E7" s="2209" t="s">
        <v>430</v>
      </c>
      <c r="F7" s="2209"/>
      <c r="G7" s="2210"/>
      <c r="H7" s="2210"/>
      <c r="I7" s="2210"/>
      <c r="J7" s="2210"/>
      <c r="K7" s="2210"/>
      <c r="L7" s="2224" t="s">
        <v>431</v>
      </c>
      <c r="W7" s="448">
        <v>14</v>
      </c>
    </row>
    <row customHeight="1" ht="48.29999999999999">
      <c r="D8" s="451"/>
      <c r="E8" s="474" t="s">
        <v>92</v>
      </c>
      <c r="F8" s="824"/>
      <c r="G8" s="466" t="s">
        <v>90</v>
      </c>
      <c r="H8" s="466" t="s">
        <v>91</v>
      </c>
      <c r="I8" s="415" t="s">
        <v>89</v>
      </c>
      <c r="J8" s="415" t="s">
        <v>519</v>
      </c>
      <c r="K8" s="415" t="s">
        <v>520</v>
      </c>
      <c r="L8" s="2224"/>
      <c r="W8" s="448">
        <v>46</v>
      </c>
    </row>
    <row customHeight="1" ht="12" hidden="1">
      <c r="D9" s="488"/>
      <c r="E9" s="494"/>
      <c r="F9" s="831"/>
      <c r="G9" s="494"/>
      <c r="H9" s="494"/>
      <c r="I9" s="494"/>
      <c r="J9" s="494"/>
      <c r="K9" s="494"/>
      <c r="L9" s="494"/>
      <c r="M9" s="448"/>
      <c r="W9" s="448">
        <v>0</v>
      </c>
    </row>
    <row customHeight="1" ht="14.25" hidden="1">
      <c r="A10" s="506"/>
      <c r="B10" s="506"/>
      <c r="D10" s="507"/>
      <c r="E10" s="513">
        <v>0</v>
      </c>
      <c r="F10" s="822"/>
      <c r="G10" s="509"/>
      <c r="H10" s="509"/>
      <c r="I10" s="509"/>
      <c r="J10" s="509"/>
      <c r="K10" s="509"/>
      <c r="L10" s="2222" t="s">
        <v>521</v>
      </c>
      <c r="M10" s="508"/>
      <c r="N10" s="506"/>
      <c r="O10" s="506"/>
      <c r="P10" s="506"/>
      <c r="Q10" s="506"/>
      <c r="R10" s="506"/>
      <c r="S10" s="506"/>
      <c r="T10" s="506"/>
      <c r="U10" s="506"/>
      <c r="V10" s="506"/>
      <c r="W10" s="448">
        <v>0</v>
      </c>
    </row>
    <row customHeight="1" ht="15" hidden="1">
      <c r="A11" s="2100"/>
      <c r="B11" s="505"/>
      <c r="C11" s="505"/>
      <c r="D11" s="866"/>
      <c r="E11" s="514"/>
      <c r="F11" s="514"/>
      <c r="G11" s="514"/>
      <c r="H11" s="514"/>
      <c r="I11" s="515"/>
      <c r="J11" s="516"/>
      <c r="K11" s="714"/>
      <c r="L11" s="2242"/>
      <c r="M11" s="512"/>
      <c r="N11" s="512"/>
      <c r="O11" s="512"/>
      <c r="P11" s="517"/>
      <c r="Q11" s="517"/>
      <c r="R11" s="518"/>
      <c r="S11" s="512"/>
      <c r="T11" s="512"/>
      <c r="U11" s="512"/>
      <c r="V11" s="512"/>
      <c r="W11" s="448">
        <v>0</v>
      </c>
    </row>
    <row s="1613" customFormat="1" customHeight="1" ht="15">
      <c r="A12" s="2100"/>
      <c r="B12" s="505"/>
      <c r="C12" s="505"/>
      <c r="D12" s="867"/>
      <c r="E12" s="824">
        <v>1</v>
      </c>
      <c r="F12" s="865">
        <v>23</v>
      </c>
      <c r="G12" s="864"/>
      <c r="H12" s="794"/>
      <c r="I12" s="792"/>
      <c r="J12" s="521" t="s">
        <v>65</v>
      </c>
      <c r="K12" s="1165" t="s">
        <v>28</v>
      </c>
      <c r="L12" s="2242"/>
      <c r="M12" s="512"/>
      <c r="N12" s="512"/>
      <c r="O12" s="512"/>
      <c r="P12" s="517" t="s">
        <v>522</v>
      </c>
      <c r="Q12" s="517" t="s">
        <v>523</v>
      </c>
      <c r="R12" s="518" t="s">
        <v>524</v>
      </c>
      <c r="S12" s="512" t="s">
        <v>525</v>
      </c>
      <c r="T12" s="512"/>
      <c r="U12" s="512"/>
      <c r="V12" s="512"/>
      <c r="W12" s="481">
        <v>14</v>
      </c>
    </row>
    <row customHeight="1" ht="15.75">
      <c r="A13" s="2100"/>
      <c r="B13" s="506"/>
      <c r="D13" s="507"/>
      <c r="E13" s="406"/>
      <c r="F13" s="530"/>
      <c r="G13" s="417" t="s">
        <v>106</v>
      </c>
      <c r="H13" s="405"/>
      <c r="I13" s="405"/>
      <c r="J13" s="405"/>
      <c r="K13" s="404"/>
      <c r="L13" s="2223"/>
      <c r="M13" s="510"/>
      <c r="N13" s="506"/>
      <c r="O13" s="506"/>
      <c r="P13" s="506"/>
      <c r="Q13" s="506"/>
      <c r="R13" s="506"/>
      <c r="S13" s="506"/>
      <c r="T13" s="506"/>
      <c r="U13" s="506"/>
      <c r="V13" s="506"/>
      <c r="W13" s="448">
        <v>15</v>
      </c>
    </row>
    <row customHeight="1" ht="11.549999999999999">
      <c r="A14" s="480"/>
      <c r="B14" s="481"/>
      <c r="C14" s="481"/>
      <c r="D14" s="496"/>
      <c r="E14" s="481"/>
      <c r="F14" s="481"/>
      <c r="G14" s="481"/>
      <c r="H14" s="481"/>
      <c r="I14" s="481"/>
      <c r="J14" s="481"/>
      <c r="K14" s="481"/>
      <c r="L14" s="481"/>
      <c r="M14" s="481"/>
      <c r="N14" s="481"/>
      <c r="O14" s="481"/>
      <c r="P14" s="481"/>
      <c r="Q14" s="481"/>
      <c r="R14" s="481"/>
      <c r="S14" s="481"/>
      <c r="T14" s="481"/>
      <c r="U14" s="481"/>
      <c r="V14" s="481"/>
      <c r="W14" s="448">
        <v>11</v>
      </c>
    </row>
    <row customHeight="1" ht="14.699999999999998">
      <c r="D15" s="467"/>
      <c r="E15" s="337"/>
      <c r="F15" s="337"/>
      <c r="G15" s="665" t="str">
        <f>"&lt;1&gt; Указывается информация по муниципальным районам и муниципальным образованиям, на территории которых регулируемая организация осуществляет "&amp;IF(TEMPLATE_SPHERE&lt;&gt;"TKO","регулируемый вид деятельности в сфере "&amp;TEMPLATE_SPHERE_RUS&amp;".","деятельность в области обращения с "&amp;TEMPLATE_SPHERE_RUS_2&amp;".")</f>
        <v>&lt;1&gt; Указывается информация по муниципальным районам и муниципальным образованиям, на территории которых регулируемая организация осуществляет регулируемый вид деятельности в сфере теплоснабжения.</v>
      </c>
      <c r="H15" s="467"/>
      <c r="I15" s="467"/>
      <c r="J15" s="467"/>
      <c r="K15" s="467"/>
      <c r="L15" s="467"/>
      <c r="W15" s="448">
        <v>14</v>
      </c>
    </row>
    <row customHeight="1" ht="14.699999999999998">
      <c r="W16" s="448">
        <v>14</v>
      </c>
    </row>
    <row customHeight="1" ht="14.699999999999998">
      <c r="W17" s="448">
        <v>14</v>
      </c>
    </row>
    <row customHeight="1" ht="14.699999999999998">
      <c r="G18" s="506"/>
      <c r="W18" s="448">
        <v>14</v>
      </c>
    </row>
    <row customHeight="1" ht="22.5" hidden="1">
      <c r="A19" s="450" t="s">
        <v>86</v>
      </c>
      <c r="B19" s="448">
        <v>0</v>
      </c>
      <c r="C19" s="759">
        <v>0</v>
      </c>
      <c r="D19" s="452">
        <v>3</v>
      </c>
      <c r="E19" s="448">
        <v>6</v>
      </c>
      <c r="F19" s="759">
        <v>0</v>
      </c>
      <c r="G19" s="448">
        <v>30</v>
      </c>
      <c r="H19" s="448">
        <v>30</v>
      </c>
      <c r="I19" s="448">
        <v>8</v>
      </c>
      <c r="J19" s="448">
        <v>12</v>
      </c>
      <c r="K19" s="448">
        <v>46</v>
      </c>
      <c r="L19" s="448">
        <v>100</v>
      </c>
      <c r="M19" s="453">
        <v>7</v>
      </c>
      <c r="N19" s="448">
        <v>10</v>
      </c>
      <c r="O19" s="448">
        <v>10</v>
      </c>
      <c r="P19" s="448">
        <v>10</v>
      </c>
      <c r="Q19" s="448">
        <v>10</v>
      </c>
      <c r="R19" s="448">
        <v>10</v>
      </c>
      <c r="S19" s="448">
        <v>10</v>
      </c>
      <c r="T19" s="448">
        <v>10</v>
      </c>
      <c r="U19" s="448">
        <v>10</v>
      </c>
      <c r="V19" s="448">
        <v>10</v>
      </c>
      <c r="W19" s="448">
        <v>23</v>
      </c>
    </row>
  </sheetData>
  <sheetProtection formatColumns="0" formatRows="0" sort="0" autoFilter="0" insertRows="0" insertColumns="1" deleteRows="0" deleteColumns="0"/>
  <mergeCells count="6">
    <mergeCell ref="A11:A13"/>
    <mergeCell ref="E4:I4"/>
    <mergeCell ref="E7:K7"/>
    <mergeCell ref="L7:L8"/>
    <mergeCell ref="L10:L13"/>
    <mergeCell ref="E5:I5"/>
  </mergeCells>
  <dataValidations count="3">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K12">
      <formula1>900</formula1>
    </dataValidation>
    <dataValidation allowBlank="1" showInputMessage="1" showErrorMessage="1" prompt="Изменение значения по двойному щелчоку левой кнопки мыши" sqref="J12"/>
    <dataValidation type="decimal" allowBlank="1" showErrorMessage="1" errorTitle="Ошибка" error="Допускается ввод только неотрицательных чисел!" sqref="G10:K10">
      <formula1>0</formula1>
      <formula2>9.99999999999999E+23</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8380AF8-0AC8-B458-39B6-482AE31CE8E7}" mc:Ignorable="x14ac xr xr2 xr3">
  <sheetPr>
    <tabColor theme="6" tint="0.4"/>
  </sheetPr>
  <dimension ref="A1:BA187"/>
  <sheetViews>
    <sheetView showGridLines="0" zoomScale="90" workbookViewId="0">
      <pane xSplit="29" ySplit="42" topLeftCell="AD160" activePane="bottomRight" state="frozen"/>
      <selection pane="bottomLeft" activeCell="A43" sqref="A43"/>
      <selection pane="topRight" activeCell="AD1" sqref="AD1"/>
      <selection pane="bottomRight" activeCell="AD113" sqref="AD113:AT113"/>
    </sheetView>
  </sheetViews>
  <sheetFormatPr defaultColWidth="10.57421875" customHeight="1" defaultRowHeight="14.25"/>
  <cols>
    <col min="1" max="1" style="1367" width="10.57421875" hidden="1"/>
    <col min="2" max="2" style="1367" width="11.00390625" hidden="1" customWidth="1"/>
    <col min="3" max="3" style="1367" width="10.57421875" hidden="1"/>
    <col min="4" max="4" style="1367" width="11.8515625" hidden="1" customWidth="1"/>
    <col min="5" max="5" style="1367" width="10.00390625" hidden="1" customWidth="1"/>
    <col min="6" max="6" style="1367" width="8.7109375" hidden="1" customWidth="1"/>
    <col min="7" max="7" style="1367" width="7.57421875" hidden="1" customWidth="1"/>
    <col min="8" max="8" style="1367" width="11.421875" hidden="1" customWidth="1"/>
    <col min="9" max="9" style="1367" width="12.00390625" hidden="1" customWidth="1"/>
    <col min="10" max="10" style="1367" width="9.8515625" hidden="1" customWidth="1"/>
    <col min="11" max="11" style="1367" width="11.421875" hidden="1" customWidth="1"/>
    <col min="12" max="12" style="2608" width="19.140625" hidden="1" customWidth="1"/>
    <col min="13" max="14" style="1777" width="12.28125" hidden="1" customWidth="1"/>
    <col min="15" max="15" style="1777" width="23.421875" hidden="1" customWidth="1"/>
    <col min="16" max="16" style="2398" width="3.00390625" customWidth="1"/>
    <col min="17" max="18" style="345" width="3.00390625" customWidth="1"/>
    <col min="19" max="19" style="2408" width="12.00390625" customWidth="1"/>
    <col min="20" max="20" style="1636" width="35.00390625" customWidth="1"/>
    <col min="21" max="21" style="1636" width="0.140625" customWidth="1"/>
    <col min="22" max="22" style="1636" width="24.7109375" hidden="1" customWidth="1"/>
    <col min="23" max="23" style="1636" width="0.140625" hidden="1" customWidth="1"/>
    <col min="24" max="25" style="1636" width="24.7109375" hidden="1" customWidth="1"/>
    <col min="26" max="26" style="1636" width="11.7109375" hidden="1" customWidth="1"/>
    <col min="27" max="27" style="1636" width="3.7109375" hidden="1" customWidth="1"/>
    <col min="28" max="28" style="1636" width="11.7109375" hidden="1" customWidth="1"/>
    <col min="29" max="29" style="1636" width="8.57421875" hidden="1" customWidth="1"/>
    <col min="30" max="30" style="1636" width="24.7109375" customWidth="1"/>
    <col min="31" max="31" style="1636" width="0.140625" customWidth="1"/>
    <col min="32" max="33" style="1636" width="24.00390625" customWidth="1"/>
    <col min="34" max="34" style="1636" width="11.00390625" customWidth="1"/>
    <col min="35" max="35" style="1636" width="3.7109375" customWidth="1"/>
    <col min="36" max="36" style="1636" width="11.00390625" customWidth="1"/>
    <col min="37" max="37" style="1636" width="8.57421875" customWidth="1"/>
    <col min="45" max="45" style="65" width="10.57421875" hidden="1"/>
    <col min="46" max="46" style="1636" width="4.00390625" customWidth="1"/>
    <col min="47" max="47" style="1636" width="115.00390625" customWidth="1"/>
    <col min="48" max="52" style="1643" width="10.00390625" customWidth="1"/>
    <col min="53" max="53" style="1636" width="10.57421875" hidden="1"/>
  </cols>
  <sheetData>
    <row customHeight="1" ht="22.5" hidden="1">
      <c r="Y1" s="328"/>
      <c r="Z1" s="328"/>
      <c r="AG1" s="328"/>
      <c r="AH1" s="328"/>
      <c r="AL1" s="1636"/>
      <c r="AM1" s="1636"/>
      <c r="AN1" s="1636"/>
      <c r="AO1" s="1636"/>
      <c r="AP1" s="1636"/>
      <c r="AQ1" s="1636"/>
      <c r="AR1" s="1636"/>
      <c r="AS1" s="5239"/>
      <c r="BA1" s="1156" t="s">
        <v>14</v>
      </c>
    </row>
    <row customHeight="1" ht="21" hidden="1">
      <c r="A2" s="1364"/>
      <c r="B2" s="1364"/>
      <c r="C2" s="1364"/>
      <c r="D2" s="1364"/>
      <c r="E2" s="2259">
        <v>1</v>
      </c>
      <c r="F2" s="1364"/>
      <c r="G2" s="1364"/>
      <c r="H2" s="1364"/>
      <c r="I2" s="1364"/>
      <c r="J2" s="1364"/>
      <c r="K2" s="1364"/>
      <c r="L2" s="1365"/>
      <c r="M2" s="1366"/>
      <c r="N2" s="1366"/>
      <c r="O2" s="1366"/>
      <c r="P2" s="362"/>
      <c r="Q2" s="361"/>
      <c r="R2" s="356"/>
      <c r="S2" s="1310">
        <f>INDEX(PT_DIFFERENTIATION_NUM_NTAR,MATCH(A2,PT_DIFFERENTIATION_NTAR_ID,0))</f>
      </c>
      <c r="T2" s="299" t="s">
        <v>136</v>
      </c>
      <c r="U2" s="301"/>
      <c r="V2" s="2243"/>
      <c r="W2" s="2244"/>
      <c r="X2" s="2244"/>
      <c r="Y2" s="2244"/>
      <c r="Z2" s="2244"/>
      <c r="AA2" s="2244"/>
      <c r="AB2" s="2244"/>
      <c r="AC2" s="2245"/>
      <c r="AD2" s="2243">
        <f>INDEX(PT_DIFFERENTIATION_NTAR,MATCH(A2,PT_DIFFERENTIATION_NTAR_ID,0))</f>
      </c>
      <c r="AE2" s="2244"/>
      <c r="AF2" s="2244"/>
      <c r="AG2" s="2244"/>
      <c r="AH2" s="2244"/>
      <c r="AI2" s="2244"/>
      <c r="AJ2" s="2244"/>
      <c r="AK2" s="2244"/>
      <c r="AL2" s="2243"/>
      <c r="AM2" s="2244"/>
      <c r="AN2" s="2244"/>
      <c r="AO2" s="2244"/>
      <c r="AP2" s="2244"/>
      <c r="AQ2" s="2244"/>
      <c r="AR2" s="2244"/>
      <c r="AS2" s="5240"/>
      <c r="AT2" s="2245"/>
      <c r="AU2" s="1259" t="s">
        <v>526</v>
      </c>
      <c r="AW2" s="501"/>
      <c r="AX2" s="501" t="str">
        <f>IF(T2="","",T2)</f>
        <v>Наименование тарифа</v>
      </c>
      <c r="AY2" s="501"/>
      <c r="AZ2" s="501"/>
      <c r="BA2" s="1156">
        <v>0</v>
      </c>
    </row>
    <row customHeight="1" ht="21" hidden="1">
      <c r="A3" s="1364"/>
      <c r="B3" s="1364"/>
      <c r="C3" s="1364"/>
      <c r="D3" s="1364"/>
      <c r="E3" s="2260"/>
      <c r="F3" s="2259">
        <v>1</v>
      </c>
      <c r="G3" s="1364"/>
      <c r="H3" s="1364"/>
      <c r="I3" s="1364"/>
      <c r="J3" s="1364"/>
      <c r="K3" s="1364"/>
      <c r="L3" s="1365"/>
      <c r="M3" s="1366"/>
      <c r="N3" s="1366"/>
      <c r="O3" s="1366"/>
      <c r="P3" s="1305"/>
      <c r="Q3" s="353"/>
      <c r="R3" s="354"/>
      <c r="S3" s="1310">
        <f>INDEX(PT_DIFFERENTIATION_NUM_TER,MATCH(B3,PT_DIFFERENTIATION_TER_ID,0))</f>
      </c>
      <c r="T3" s="309" t="s">
        <v>527</v>
      </c>
      <c r="U3" s="301"/>
      <c r="V3" s="2243"/>
      <c r="W3" s="2244"/>
      <c r="X3" s="2244"/>
      <c r="Y3" s="2244"/>
      <c r="Z3" s="2244"/>
      <c r="AA3" s="2244"/>
      <c r="AB3" s="2244"/>
      <c r="AC3" s="2245"/>
      <c r="AD3" s="2243">
        <f>INDEX(PT_DIFFERENTIATION_TER,MATCH(B3,PT_DIFFERENTIATION_TER_ID,0))</f>
      </c>
      <c r="AE3" s="2244"/>
      <c r="AF3" s="2244"/>
      <c r="AG3" s="2244"/>
      <c r="AH3" s="2244"/>
      <c r="AI3" s="2244"/>
      <c r="AJ3" s="2244"/>
      <c r="AK3" s="2244"/>
      <c r="AL3" s="2243"/>
      <c r="AM3" s="2244"/>
      <c r="AN3" s="2244"/>
      <c r="AO3" s="2244"/>
      <c r="AP3" s="2244"/>
      <c r="AQ3" s="2244"/>
      <c r="AR3" s="2244"/>
      <c r="AS3" s="5240"/>
      <c r="AT3" s="2245"/>
      <c r="AU3" s="1259" t="s">
        <v>528</v>
      </c>
      <c r="AW3" s="501"/>
      <c r="AX3" s="501" t="str">
        <f>IF(T3="","",T3)</f>
        <v>Территория действия тарифа</v>
      </c>
      <c r="AY3" s="501"/>
      <c r="AZ3" s="501"/>
      <c r="BA3" s="1156">
        <v>0</v>
      </c>
    </row>
    <row customHeight="1" ht="23.25" hidden="1">
      <c r="A4" s="1364"/>
      <c r="B4" s="1364"/>
      <c r="C4" s="1364"/>
      <c r="D4" s="1364"/>
      <c r="E4" s="2260"/>
      <c r="F4" s="2260"/>
      <c r="G4" s="2259">
        <v>1</v>
      </c>
      <c r="H4" s="1364"/>
      <c r="I4" s="1364"/>
      <c r="J4" s="1364"/>
      <c r="K4" s="1364"/>
      <c r="L4" s="1365"/>
      <c r="M4" s="1366"/>
      <c r="N4" s="1366"/>
      <c r="O4" s="1366"/>
      <c r="P4" s="355"/>
      <c r="Q4" s="353"/>
      <c r="R4" s="354"/>
      <c r="S4" s="1310">
        <f>INDEX(PT_DIFFERENTIATION_NUM_CS,MATCH(C4,PT_DIFFERENTIATION_CS_ID,0))</f>
      </c>
      <c r="T4" s="310" t="s">
        <v>529</v>
      </c>
      <c r="U4" s="301"/>
      <c r="V4" s="2243"/>
      <c r="W4" s="2244"/>
      <c r="X4" s="2244"/>
      <c r="Y4" s="2244"/>
      <c r="Z4" s="2244"/>
      <c r="AA4" s="2244"/>
      <c r="AB4" s="2244"/>
      <c r="AC4" s="2245"/>
      <c r="AD4" s="2243">
        <f>INDEX(PT_DIFFERENTIATION_CS,MATCH(C4,PT_DIFFERENTIATION_CS_ID,0))</f>
      </c>
      <c r="AE4" s="2244"/>
      <c r="AF4" s="2244"/>
      <c r="AG4" s="2244"/>
      <c r="AH4" s="2244"/>
      <c r="AI4" s="2244"/>
      <c r="AJ4" s="2244"/>
      <c r="AK4" s="2244"/>
      <c r="AL4" s="2243"/>
      <c r="AM4" s="2244"/>
      <c r="AN4" s="2244"/>
      <c r="AO4" s="2244"/>
      <c r="AP4" s="2244"/>
      <c r="AQ4" s="2244"/>
      <c r="AR4" s="2244"/>
      <c r="AS4" s="5240"/>
      <c r="AT4" s="2245"/>
      <c r="AU4" s="1259" t="s">
        <v>530</v>
      </c>
      <c r="AW4" s="501"/>
      <c r="AX4" s="501" t="str">
        <f>IF(T4="","",T4)</f>
        <v>Наименование системы теплоснабжения </v>
      </c>
      <c r="AY4" s="501"/>
      <c r="AZ4" s="501"/>
      <c r="BA4" s="1156">
        <v>0</v>
      </c>
    </row>
    <row customHeight="1" ht="21" hidden="1">
      <c r="A5" s="1364"/>
      <c r="B5" s="1364"/>
      <c r="C5" s="1364"/>
      <c r="D5" s="1364"/>
      <c r="E5" s="2260"/>
      <c r="F5" s="2260"/>
      <c r="G5" s="2260"/>
      <c r="H5" s="2259">
        <v>1</v>
      </c>
      <c r="I5" s="1364"/>
      <c r="J5" s="1364"/>
      <c r="K5" s="1364"/>
      <c r="L5" s="1365"/>
      <c r="M5" s="1366"/>
      <c r="N5" s="1366"/>
      <c r="O5" s="1366"/>
      <c r="P5" s="355"/>
      <c r="Q5" s="353"/>
      <c r="R5" s="354"/>
      <c r="S5" s="1310">
        <f>INDEX(PT_DIFFERENTIATION_NUM_IST_TE,MATCH(D5,PT_DIFFERENTIATION_IST_TE_ID,0))</f>
      </c>
      <c r="T5" s="311" t="s">
        <v>531</v>
      </c>
      <c r="U5" s="301"/>
      <c r="V5" s="2243"/>
      <c r="W5" s="2244"/>
      <c r="X5" s="2244"/>
      <c r="Y5" s="2244"/>
      <c r="Z5" s="2244"/>
      <c r="AA5" s="2244"/>
      <c r="AB5" s="2244"/>
      <c r="AC5" s="2245"/>
      <c r="AD5" s="2243">
        <f>INDEX(PT_DIFFERENTIATION_IST_TE,MATCH(D5,PT_DIFFERENTIATION_IST_TE_ID,0))</f>
      </c>
      <c r="AE5" s="2244"/>
      <c r="AF5" s="2244"/>
      <c r="AG5" s="2244"/>
      <c r="AH5" s="2244"/>
      <c r="AI5" s="2244"/>
      <c r="AJ5" s="2244"/>
      <c r="AK5" s="2244"/>
      <c r="AL5" s="2243"/>
      <c r="AM5" s="2244"/>
      <c r="AN5" s="2244"/>
      <c r="AO5" s="2244"/>
      <c r="AP5" s="2244"/>
      <c r="AQ5" s="2244"/>
      <c r="AR5" s="2244"/>
      <c r="AS5" s="5240"/>
      <c r="AT5" s="2245"/>
      <c r="AU5" s="1259" t="s">
        <v>532</v>
      </c>
      <c r="AW5" s="501"/>
      <c r="AX5" s="501" t="str">
        <f>IF(T5="","",T5)</f>
        <v>Источник тепловой энергии  </v>
      </c>
      <c r="AY5" s="501"/>
      <c r="AZ5" s="501"/>
      <c r="BA5" s="1156">
        <v>0</v>
      </c>
    </row>
    <row customHeight="1" ht="47.25" hidden="1">
      <c r="A6" s="1364"/>
      <c r="B6" s="1364"/>
      <c r="C6" s="1364"/>
      <c r="D6" s="1364"/>
      <c r="E6" s="2260"/>
      <c r="F6" s="2260"/>
      <c r="G6" s="2260"/>
      <c r="H6" s="2260"/>
      <c r="I6" s="2257">
        <f>S5&amp;".1"</f>
      </c>
      <c r="J6" s="1364"/>
      <c r="K6" s="1364"/>
      <c r="L6" s="1365" t="s">
        <v>533</v>
      </c>
      <c r="M6" s="538"/>
      <c r="P6" s="2258">
        <v>1</v>
      </c>
      <c r="Q6" s="1306"/>
      <c r="R6" s="357"/>
      <c r="S6" s="1310">
        <f>$I6</f>
      </c>
      <c r="T6" s="286" t="s">
        <v>534</v>
      </c>
      <c r="U6" s="301"/>
      <c r="V6" s="2246"/>
      <c r="W6" s="2247"/>
      <c r="X6" s="2247"/>
      <c r="Y6" s="2247"/>
      <c r="Z6" s="2247"/>
      <c r="AA6" s="2247"/>
      <c r="AB6" s="2247"/>
      <c r="AC6" s="2248"/>
      <c r="AD6" s="2246"/>
      <c r="AE6" s="2247"/>
      <c r="AF6" s="2247"/>
      <c r="AG6" s="2247"/>
      <c r="AH6" s="2247"/>
      <c r="AI6" s="2247"/>
      <c r="AJ6" s="2247"/>
      <c r="AK6" s="2247"/>
      <c r="AL6" s="2246"/>
      <c r="AM6" s="2247"/>
      <c r="AN6" s="2247"/>
      <c r="AO6" s="2247"/>
      <c r="AP6" s="2247"/>
      <c r="AQ6" s="2247"/>
      <c r="AR6" s="2247"/>
      <c r="AS6" s="5241"/>
      <c r="AT6" s="2248"/>
      <c r="AU6" s="1259" t="s">
        <v>535</v>
      </c>
      <c r="AW6" s="501"/>
      <c r="AX6" s="501" t="str">
        <f>IF(T6="","",T6)</f>
        <v>Схема подключения теплопотребляющей установки к коллектору источника тепловой энергии</v>
      </c>
      <c r="AY6" s="501"/>
      <c r="AZ6" s="501"/>
      <c r="BA6" s="1156">
        <v>0</v>
      </c>
    </row>
    <row customHeight="1" ht="21" hidden="1">
      <c r="A7" s="1364"/>
      <c r="B7" s="1364"/>
      <c r="C7" s="1364"/>
      <c r="D7" s="1364"/>
      <c r="E7" s="2260"/>
      <c r="F7" s="2260"/>
      <c r="G7" s="2260"/>
      <c r="H7" s="2260"/>
      <c r="I7" s="2287"/>
      <c r="J7" s="2257">
        <f>I6&amp;".1"</f>
      </c>
      <c r="K7" s="1364"/>
      <c r="L7" s="1365" t="s">
        <v>536</v>
      </c>
      <c r="M7" s="538"/>
      <c r="N7" s="1367"/>
      <c r="P7" s="2258"/>
      <c r="Q7" s="2258">
        <v>1</v>
      </c>
      <c r="R7" s="358"/>
      <c r="S7" s="1310">
        <f>$J7</f>
      </c>
      <c r="T7" s="287" t="s">
        <v>537</v>
      </c>
      <c r="U7" s="301"/>
      <c r="V7" s="2246"/>
      <c r="W7" s="2247"/>
      <c r="X7" s="2247"/>
      <c r="Y7" s="2247"/>
      <c r="Z7" s="2247"/>
      <c r="AA7" s="2247"/>
      <c r="AB7" s="2247"/>
      <c r="AC7" s="2248"/>
      <c r="AD7" s="2246"/>
      <c r="AE7" s="2247"/>
      <c r="AF7" s="2247"/>
      <c r="AG7" s="2247"/>
      <c r="AH7" s="2247"/>
      <c r="AI7" s="2247"/>
      <c r="AJ7" s="2247"/>
      <c r="AK7" s="2247"/>
      <c r="AL7" s="2246"/>
      <c r="AM7" s="2247"/>
      <c r="AN7" s="2247"/>
      <c r="AO7" s="2247"/>
      <c r="AP7" s="2247"/>
      <c r="AQ7" s="2247"/>
      <c r="AR7" s="2247"/>
      <c r="AS7" s="5241"/>
      <c r="AT7" s="2248"/>
      <c r="AU7" s="1259" t="s">
        <v>538</v>
      </c>
      <c r="AW7" s="501"/>
      <c r="AX7" s="501" t="str">
        <f>IF(T7="","",T7)</f>
        <v>Группа потребителей</v>
      </c>
      <c r="AY7" s="501"/>
      <c r="AZ7" s="501"/>
      <c r="BA7" s="1156">
        <v>0</v>
      </c>
    </row>
    <row customHeight="1" ht="21" hidden="1">
      <c r="A8" s="1364"/>
      <c r="B8" s="1364"/>
      <c r="C8" s="1364"/>
      <c r="D8" s="1364"/>
      <c r="E8" s="2260"/>
      <c r="F8" s="2260"/>
      <c r="G8" s="2260"/>
      <c r="H8" s="2260"/>
      <c r="I8" s="2287"/>
      <c r="J8" s="2287"/>
      <c r="K8" s="2257">
        <f>J7&amp;".1"</f>
      </c>
      <c r="L8" s="1365" t="s">
        <v>539</v>
      </c>
      <c r="M8" s="538"/>
      <c r="N8" s="1367"/>
      <c r="O8" s="1367"/>
      <c r="P8" s="2258"/>
      <c r="Q8" s="2258"/>
      <c r="R8" s="358">
        <v>1</v>
      </c>
      <c r="S8" s="1310">
        <f>$K8</f>
      </c>
      <c r="T8" s="1348"/>
      <c r="U8" s="301"/>
      <c r="V8" s="752"/>
      <c r="W8" s="326"/>
      <c r="X8" s="752"/>
      <c r="Y8" s="1258"/>
      <c r="Z8" s="2266"/>
      <c r="AA8" s="2108" t="s">
        <v>65</v>
      </c>
      <c r="AB8" s="2266"/>
      <c r="AC8" s="2108" t="s">
        <v>65</v>
      </c>
      <c r="AD8" s="752"/>
      <c r="AE8" s="326"/>
      <c r="AF8" s="752"/>
      <c r="AG8" s="1258"/>
      <c r="AH8" s="2266"/>
      <c r="AI8" s="2108" t="s">
        <v>65</v>
      </c>
      <c r="AJ8" s="2266"/>
      <c r="AK8" s="2108" t="s">
        <v>65</v>
      </c>
      <c r="AL8" s="752"/>
      <c r="AM8" s="326"/>
      <c r="AN8" s="752"/>
      <c r="AO8" s="1258"/>
      <c r="AP8" s="2603"/>
      <c r="AQ8" s="2108" t="s">
        <v>65</v>
      </c>
      <c r="AR8" s="2603"/>
      <c r="AS8" s="5242" t="s">
        <v>65</v>
      </c>
      <c r="AT8" s="326"/>
      <c r="AU8" s="2254" t="s">
        <v>540</v>
      </c>
      <c r="AV8" s="512">
        <f>STRCHECKDATE(V9:AT9)</f>
      </c>
      <c r="AW8" s="501"/>
      <c r="AX8" s="501" t="str">
        <f>IF(T8="","",T8)</f>
        <v/>
      </c>
      <c r="AY8" s="501"/>
      <c r="AZ8" s="501"/>
      <c r="BA8" s="1156">
        <v>0</v>
      </c>
    </row>
    <row customHeight="1" ht="0.75" hidden="1">
      <c r="A9" s="1364"/>
      <c r="B9" s="1364"/>
      <c r="C9" s="1364"/>
      <c r="D9" s="1364"/>
      <c r="E9" s="2260"/>
      <c r="F9" s="2260"/>
      <c r="G9" s="2260"/>
      <c r="H9" s="2260"/>
      <c r="I9" s="2287"/>
      <c r="J9" s="2287"/>
      <c r="K9" s="2257"/>
      <c r="L9" s="1365"/>
      <c r="M9" s="538"/>
      <c r="N9" s="1367"/>
      <c r="O9" s="1367"/>
      <c r="P9" s="2258"/>
      <c r="Q9" s="2258"/>
      <c r="R9" s="358"/>
      <c r="S9" s="1307"/>
      <c r="T9" s="301"/>
      <c r="U9" s="301"/>
      <c r="V9" s="326"/>
      <c r="W9" s="326"/>
      <c r="X9" s="326"/>
      <c r="Y9" s="329" t="str">
        <f>Z8&amp;"-"&amp;AB8</f>
        <v>-</v>
      </c>
      <c r="Z9" s="2267"/>
      <c r="AA9" s="2108"/>
      <c r="AB9" s="2267"/>
      <c r="AC9" s="2108"/>
      <c r="AD9" s="326"/>
      <c r="AE9" s="326"/>
      <c r="AF9" s="326"/>
      <c r="AG9" s="329" t="str">
        <f>AH8&amp;"-"&amp;AJ8</f>
        <v>-</v>
      </c>
      <c r="AH9" s="2267"/>
      <c r="AI9" s="2108"/>
      <c r="AJ9" s="2267"/>
      <c r="AK9" s="2108"/>
      <c r="AL9" s="326"/>
      <c r="AM9" s="326"/>
      <c r="AN9" s="326"/>
      <c r="AO9" s="329" t="str">
        <f>AP8&amp;"-"&amp;AR8</f>
        <v>-</v>
      </c>
      <c r="AP9" s="2310"/>
      <c r="AQ9" s="2108"/>
      <c r="AR9" s="2310"/>
      <c r="AS9" s="2108"/>
      <c r="AT9" s="326"/>
      <c r="AU9" s="2255"/>
      <c r="AW9" s="501"/>
      <c r="AX9" s="501" t="str">
        <f>IF(T9="","",T9)</f>
        <v/>
      </c>
      <c r="AY9" s="501"/>
      <c r="AZ9" s="501"/>
      <c r="BA9" s="1156">
        <v>0</v>
      </c>
    </row>
    <row customHeight="1" ht="15" hidden="1">
      <c r="A10" s="1364"/>
      <c r="B10" s="1364"/>
      <c r="C10" s="1364"/>
      <c r="D10" s="1364"/>
      <c r="E10" s="2260"/>
      <c r="F10" s="2260"/>
      <c r="G10" s="2260"/>
      <c r="H10" s="2260"/>
      <c r="I10" s="2287"/>
      <c r="J10" s="2257"/>
      <c r="K10" s="1364"/>
      <c r="L10" s="1365"/>
      <c r="M10" s="538"/>
      <c r="N10" s="1367"/>
      <c r="P10" s="2258"/>
      <c r="Q10" s="2258"/>
      <c r="R10" s="357"/>
      <c r="S10" s="1279"/>
      <c r="T10" s="289" t="s">
        <v>541</v>
      </c>
      <c r="U10" s="368"/>
      <c r="V10" s="368"/>
      <c r="W10" s="368"/>
      <c r="X10" s="368"/>
      <c r="Y10" s="368"/>
      <c r="Z10" s="368"/>
      <c r="AA10" s="368"/>
      <c r="AB10" s="368"/>
      <c r="AC10" s="368"/>
      <c r="AD10" s="368"/>
      <c r="AE10" s="368"/>
      <c r="AF10" s="368"/>
      <c r="AG10" s="368"/>
      <c r="AH10" s="368"/>
      <c r="AI10" s="368"/>
      <c r="AJ10" s="368"/>
      <c r="AK10" s="368"/>
      <c r="AL10" s="2841"/>
      <c r="AM10" s="2842"/>
      <c r="AN10" s="2843"/>
      <c r="AO10" s="2844"/>
      <c r="AP10" s="2845"/>
      <c r="AQ10" s="2846"/>
      <c r="AR10" s="2847"/>
      <c r="AS10" s="5243"/>
      <c r="AT10" s="325"/>
      <c r="AU10" s="2256"/>
      <c r="AW10" s="501"/>
      <c r="AX10" s="501" t="str">
        <f>IF(T10="","",T10)</f>
        <v>Добавить вид теплоносителя (параметры теплоносителя)</v>
      </c>
      <c r="AY10" s="501"/>
      <c r="AZ10" s="501"/>
      <c r="BA10" s="1156">
        <v>0</v>
      </c>
    </row>
    <row customHeight="1" ht="15" hidden="1">
      <c r="A11" s="1364"/>
      <c r="B11" s="1364"/>
      <c r="C11" s="1364"/>
      <c r="D11" s="1364"/>
      <c r="E11" s="2260"/>
      <c r="F11" s="2260"/>
      <c r="G11" s="2260"/>
      <c r="H11" s="2260"/>
      <c r="I11" s="2257"/>
      <c r="J11" s="1364"/>
      <c r="K11" s="1364"/>
      <c r="L11" s="1365"/>
      <c r="M11" s="538"/>
      <c r="P11" s="2258"/>
      <c r="Q11" s="1306"/>
      <c r="R11" s="357"/>
      <c r="S11" s="1279"/>
      <c r="T11" s="288" t="s">
        <v>542</v>
      </c>
      <c r="U11" s="368"/>
      <c r="V11" s="368"/>
      <c r="W11" s="368"/>
      <c r="X11" s="368"/>
      <c r="Y11" s="368"/>
      <c r="Z11" s="368"/>
      <c r="AA11" s="368"/>
      <c r="AB11" s="368"/>
      <c r="AC11" s="367"/>
      <c r="AD11" s="368"/>
      <c r="AE11" s="368"/>
      <c r="AF11" s="368"/>
      <c r="AG11" s="368"/>
      <c r="AH11" s="368"/>
      <c r="AI11" s="368"/>
      <c r="AJ11" s="368"/>
      <c r="AK11" s="367"/>
      <c r="AL11" s="2849"/>
      <c r="AM11" s="2850"/>
      <c r="AN11" s="2851"/>
      <c r="AO11" s="2852"/>
      <c r="AP11" s="2853"/>
      <c r="AQ11" s="2854"/>
      <c r="AR11" s="2855"/>
      <c r="AS11" s="5244"/>
      <c r="AT11" s="368"/>
      <c r="AU11" s="304"/>
      <c r="AW11" s="501"/>
      <c r="AX11" s="501" t="str">
        <f>IF(T11="","",T11)</f>
        <v>Добавить группу потребителей</v>
      </c>
      <c r="AY11" s="501"/>
      <c r="AZ11" s="501"/>
      <c r="BA11" s="1156">
        <v>0</v>
      </c>
    </row>
    <row customHeight="1" ht="14.25" hidden="1">
      <c r="A12" s="1364"/>
      <c r="B12" s="1364"/>
      <c r="C12" s="1364"/>
      <c r="D12" s="1364"/>
      <c r="E12" s="2260"/>
      <c r="F12" s="2260"/>
      <c r="G12" s="2260"/>
      <c r="H12" s="2259"/>
      <c r="I12" s="1364"/>
      <c r="J12" s="1364"/>
      <c r="K12" s="1364"/>
      <c r="L12" s="1365"/>
      <c r="M12" s="1366"/>
      <c r="N12" s="1366"/>
      <c r="O12" s="538"/>
      <c r="P12" s="361"/>
      <c r="Q12" s="376"/>
      <c r="R12" s="356"/>
      <c r="S12" s="1279"/>
      <c r="T12" s="366" t="s">
        <v>543</v>
      </c>
      <c r="U12" s="368"/>
      <c r="V12" s="368"/>
      <c r="W12" s="368"/>
      <c r="X12" s="368"/>
      <c r="Y12" s="368"/>
      <c r="Z12" s="368"/>
      <c r="AA12" s="368"/>
      <c r="AB12" s="368"/>
      <c r="AC12" s="367"/>
      <c r="AD12" s="368"/>
      <c r="AE12" s="368"/>
      <c r="AF12" s="368"/>
      <c r="AG12" s="368"/>
      <c r="AH12" s="368"/>
      <c r="AI12" s="368"/>
      <c r="AJ12" s="368"/>
      <c r="AK12" s="367"/>
      <c r="AL12" s="2857"/>
      <c r="AM12" s="2858"/>
      <c r="AN12" s="2859"/>
      <c r="AO12" s="2860"/>
      <c r="AP12" s="2861"/>
      <c r="AQ12" s="2862"/>
      <c r="AR12" s="2863"/>
      <c r="AS12" s="5245"/>
      <c r="AT12" s="368"/>
      <c r="AU12" s="304"/>
      <c r="AW12" s="501"/>
      <c r="AX12" s="501" t="str">
        <f>IF(T12="","",T12)</f>
        <v>Добавить схему подключения</v>
      </c>
      <c r="AY12" s="501"/>
      <c r="AZ12" s="501"/>
      <c r="BA12" s="1156">
        <v>0</v>
      </c>
    </row>
    <row s="1643" customFormat="1" customHeight="1" ht="0.75" hidden="1">
      <c r="A13" s="1315"/>
      <c r="B13" s="1315"/>
      <c r="C13" s="1315"/>
      <c r="D13" s="1315"/>
      <c r="E13" s="2260"/>
      <c r="F13" s="2260"/>
      <c r="G13" s="2259"/>
      <c r="H13" s="1315"/>
      <c r="I13" s="1315"/>
      <c r="J13" s="1315"/>
      <c r="K13" s="1315"/>
      <c r="L13" s="1340"/>
      <c r="M13" s="1316"/>
      <c r="N13" s="1316"/>
      <c r="P13" s="1317"/>
      <c r="Q13" s="1318"/>
      <c r="R13" s="1317"/>
      <c r="S13" s="1319"/>
      <c r="T13" s="1320" t="s">
        <v>177</v>
      </c>
      <c r="U13" s="1321"/>
      <c r="V13" s="1321"/>
      <c r="W13" s="1321"/>
      <c r="X13" s="1321"/>
      <c r="Y13" s="1321"/>
      <c r="Z13" s="1321"/>
      <c r="AA13" s="1321"/>
      <c r="AB13" s="1321"/>
      <c r="AC13" s="1321"/>
      <c r="AD13" s="1321"/>
      <c r="AE13" s="1321"/>
      <c r="AF13" s="1321"/>
      <c r="AG13" s="1321"/>
      <c r="AH13" s="1321"/>
      <c r="AI13" s="1321"/>
      <c r="AJ13" s="1321"/>
      <c r="AK13" s="1321"/>
      <c r="AL13" s="1321"/>
      <c r="AM13" s="1321"/>
      <c r="AN13" s="1321"/>
      <c r="AO13" s="1321"/>
      <c r="AP13" s="1321"/>
      <c r="AQ13" s="1321"/>
      <c r="AR13" s="1321"/>
      <c r="AS13" s="5246"/>
      <c r="AT13" s="1321"/>
      <c r="AU13" s="1321"/>
      <c r="AW13" s="790"/>
      <c r="AX13" s="790" t="str">
        <f>IF(T13="","",T13)</f>
        <v>Добавить источник для дифференциации</v>
      </c>
      <c r="AY13" s="790"/>
      <c r="AZ13" s="790"/>
      <c r="BA13" s="519">
        <v>0</v>
      </c>
    </row>
    <row s="1643" customFormat="1" customHeight="1" ht="0.75" hidden="1">
      <c r="A14" s="1315"/>
      <c r="B14" s="1315"/>
      <c r="C14" s="1315"/>
      <c r="D14" s="1315"/>
      <c r="E14" s="2260"/>
      <c r="F14" s="2259"/>
      <c r="G14" s="1315"/>
      <c r="H14" s="1315"/>
      <c r="I14" s="1315"/>
      <c r="J14" s="1315"/>
      <c r="K14" s="1315"/>
      <c r="L14" s="1340"/>
      <c r="M14" s="1322"/>
      <c r="N14" s="1322"/>
      <c r="P14" s="1317"/>
      <c r="Q14" s="1318"/>
      <c r="R14" s="1317"/>
      <c r="S14" s="1323"/>
      <c r="T14" s="1324" t="s">
        <v>178</v>
      </c>
      <c r="U14" s="1325"/>
      <c r="V14" s="1325"/>
      <c r="W14" s="1325"/>
      <c r="X14" s="1325"/>
      <c r="Y14" s="1325"/>
      <c r="Z14" s="1325"/>
      <c r="AA14" s="1325"/>
      <c r="AB14" s="1325"/>
      <c r="AC14" s="1325"/>
      <c r="AD14" s="1325"/>
      <c r="AE14" s="1325"/>
      <c r="AF14" s="1325"/>
      <c r="AG14" s="1325"/>
      <c r="AH14" s="1325"/>
      <c r="AI14" s="1325"/>
      <c r="AJ14" s="1325"/>
      <c r="AK14" s="1325"/>
      <c r="AL14" s="1325"/>
      <c r="AM14" s="1325"/>
      <c r="AN14" s="1325"/>
      <c r="AO14" s="1325"/>
      <c r="AP14" s="1325"/>
      <c r="AQ14" s="1325"/>
      <c r="AR14" s="1325"/>
      <c r="AS14" s="5247"/>
      <c r="AT14" s="1325"/>
      <c r="AU14" s="1325"/>
      <c r="AW14" s="790"/>
      <c r="AX14" s="790" t="str">
        <f>IF(T14="","",T14)</f>
        <v>Добавить централизованную систему для дифференциации</v>
      </c>
      <c r="AY14" s="790"/>
      <c r="AZ14" s="790"/>
      <c r="BA14" s="519">
        <v>0</v>
      </c>
    </row>
    <row s="1643" customFormat="1" customHeight="1" ht="0.75" hidden="1">
      <c r="A15" s="1315"/>
      <c r="B15" s="1315"/>
      <c r="C15" s="1315"/>
      <c r="D15" s="1315"/>
      <c r="E15" s="2259"/>
      <c r="F15" s="1315"/>
      <c r="G15" s="1315"/>
      <c r="H15" s="1315"/>
      <c r="I15" s="1315"/>
      <c r="J15" s="1315"/>
      <c r="K15" s="1315"/>
      <c r="L15" s="1340"/>
      <c r="M15" s="1322"/>
      <c r="N15" s="1322"/>
      <c r="P15" s="1317"/>
      <c r="Q15" s="1318"/>
      <c r="R15" s="1317"/>
      <c r="S15" s="1323"/>
      <c r="T15" s="1326" t="s">
        <v>183</v>
      </c>
      <c r="U15" s="1325"/>
      <c r="V15" s="1325"/>
      <c r="W15" s="1325"/>
      <c r="X15" s="1325"/>
      <c r="Y15" s="1325"/>
      <c r="Z15" s="1325"/>
      <c r="AA15" s="1325"/>
      <c r="AB15" s="1325"/>
      <c r="AC15" s="1325"/>
      <c r="AD15" s="1325"/>
      <c r="AE15" s="1325"/>
      <c r="AF15" s="1325"/>
      <c r="AG15" s="1325"/>
      <c r="AH15" s="1325"/>
      <c r="AI15" s="1325"/>
      <c r="AJ15" s="1325"/>
      <c r="AK15" s="1325"/>
      <c r="AL15" s="1325"/>
      <c r="AM15" s="1325"/>
      <c r="AN15" s="1325"/>
      <c r="AO15" s="1325"/>
      <c r="AP15" s="1325"/>
      <c r="AQ15" s="1325"/>
      <c r="AR15" s="1325"/>
      <c r="AS15" s="5247"/>
      <c r="AT15" s="1325"/>
      <c r="AU15" s="1325"/>
      <c r="AW15" s="790"/>
      <c r="AX15" s="790" t="str">
        <f>IF(T15="","",T15)</f>
        <v>Добавить территорию для дифференциации</v>
      </c>
      <c r="AY15" s="790"/>
      <c r="AZ15" s="790"/>
      <c r="BA15" s="519">
        <v>0</v>
      </c>
    </row>
    <row customHeight="1" ht="14.25" hidden="1">
      <c r="AC16" s="328"/>
      <c r="AK16" s="328"/>
      <c r="AL16" s="1636"/>
      <c r="AM16" s="1636"/>
      <c r="AN16" s="1636"/>
      <c r="AO16" s="1636"/>
      <c r="AP16" s="1636"/>
      <c r="AQ16" s="1636"/>
      <c r="AR16" s="1636"/>
      <c r="AS16" s="5239"/>
      <c r="BA16" s="1156">
        <v>0</v>
      </c>
    </row>
    <row customHeight="1" ht="14.25" hidden="1">
      <c r="P17" s="1312"/>
      <c r="AD17" s="1361"/>
      <c r="AE17" s="1361"/>
      <c r="AF17" s="1361"/>
      <c r="AG17" s="1362"/>
      <c r="AH17" s="2268"/>
      <c r="AI17" s="2269" t="s">
        <v>65</v>
      </c>
      <c r="AJ17" s="2268"/>
      <c r="AK17" s="2269" t="s">
        <v>65</v>
      </c>
      <c r="AL17" s="1636"/>
      <c r="AM17" s="1636"/>
      <c r="AN17" s="1636"/>
      <c r="AO17" s="1636"/>
      <c r="AP17" s="1636"/>
      <c r="AQ17" s="1636"/>
      <c r="AR17" s="1636"/>
      <c r="AS17" s="5239"/>
      <c r="BA17" s="1156">
        <v>0</v>
      </c>
    </row>
    <row customHeight="1" ht="14.25" hidden="1">
      <c r="P18" s="1312"/>
      <c r="AD18" s="1361"/>
      <c r="AE18" s="1361"/>
      <c r="AF18" s="1361"/>
      <c r="AG18" s="329" t="str">
        <f>AH17&amp;"-"&amp;AJ17</f>
        <v>-</v>
      </c>
      <c r="AH18" s="2269"/>
      <c r="AI18" s="2269"/>
      <c r="AJ18" s="2269"/>
      <c r="AK18" s="2269"/>
      <c r="AL18" s="1636"/>
      <c r="AM18" s="1636"/>
      <c r="AN18" s="1636"/>
      <c r="AO18" s="1636"/>
      <c r="AP18" s="1636"/>
      <c r="AQ18" s="1636"/>
      <c r="AR18" s="1636"/>
      <c r="AS18" s="5239"/>
      <c r="BA18" s="1156">
        <v>0</v>
      </c>
    </row>
    <row customHeight="1" ht="14.25" hidden="1">
      <c r="P19" s="1312"/>
      <c r="AK19" s="328"/>
      <c r="AL19" s="1636"/>
      <c r="AM19" s="1636"/>
      <c r="AN19" s="1636"/>
      <c r="AO19" s="1636"/>
      <c r="AP19" s="1636"/>
      <c r="AQ19" s="1636"/>
      <c r="AR19" s="1636"/>
      <c r="AS19" s="5239"/>
      <c r="BA19" s="1156">
        <v>0</v>
      </c>
    </row>
    <row s="1367" customFormat="1" customHeight="1" ht="22.5" hidden="1">
      <c r="L20" s="1330"/>
      <c r="M20" s="1363"/>
      <c r="N20" s="1363"/>
      <c r="O20" s="1368" t="s">
        <v>544</v>
      </c>
      <c r="P20" s="1363"/>
      <c r="Q20" s="1372"/>
      <c r="R20" s="1372"/>
      <c r="S20" s="730"/>
      <c r="Z20" s="1368"/>
      <c r="AB20" s="1368"/>
      <c r="AC20" s="1367"/>
      <c r="AH20" s="1368"/>
      <c r="AJ20" s="1368"/>
      <c r="AK20" s="1367"/>
      <c r="AL20" s="1367"/>
      <c r="AM20" s="1367"/>
      <c r="AN20" s="1367"/>
      <c r="AO20" s="1367"/>
      <c r="AP20" s="1368"/>
      <c r="AQ20" s="1367"/>
      <c r="AR20" s="1368"/>
      <c r="AS20" s="5248"/>
      <c r="AV20" s="512"/>
      <c r="AW20" s="512"/>
      <c r="AX20" s="512"/>
      <c r="AY20" s="512"/>
      <c r="AZ20" s="512"/>
      <c r="BA20" s="1161">
        <v>0</v>
      </c>
    </row>
    <row s="1367" customFormat="1" customHeight="1" ht="14.25" hidden="1">
      <c r="L21" s="1330"/>
      <c r="M21" s="1363"/>
      <c r="N21" s="1363"/>
      <c r="O21" s="1363"/>
      <c r="P21" s="1363"/>
      <c r="Q21" s="1372"/>
      <c r="R21" s="1372"/>
      <c r="S21" s="730"/>
      <c r="AC21" s="1367"/>
      <c r="AK21" s="1367"/>
      <c r="AL21" s="1367"/>
      <c r="AM21" s="1367"/>
      <c r="AN21" s="1367"/>
      <c r="AO21" s="1367"/>
      <c r="AP21" s="1367"/>
      <c r="AQ21" s="1367"/>
      <c r="AR21" s="1367"/>
      <c r="AS21" s="5248"/>
      <c r="AV21" s="512"/>
      <c r="AW21" s="512"/>
      <c r="AX21" s="512"/>
      <c r="AY21" s="512"/>
      <c r="AZ21" s="512"/>
      <c r="BA21" s="1161">
        <v>0</v>
      </c>
    </row>
    <row s="1367" customFormat="1" customHeight="1" ht="14.25" hidden="1">
      <c r="L22" s="1330"/>
      <c r="M22" s="1363"/>
      <c r="N22" s="1363"/>
      <c r="O22" s="1365" t="s">
        <v>545</v>
      </c>
      <c r="P22" s="1363"/>
      <c r="Q22" s="1372"/>
      <c r="R22" s="1372"/>
      <c r="S22" s="730"/>
      <c r="T22" s="1161" t="s">
        <v>546</v>
      </c>
      <c r="AA22" s="187" t="s">
        <v>547</v>
      </c>
      <c r="AC22" s="187" t="s">
        <v>548</v>
      </c>
      <c r="AD22" s="1161" t="s">
        <v>546</v>
      </c>
      <c r="AI22" s="187" t="s">
        <v>549</v>
      </c>
      <c r="AK22" s="187" t="s">
        <v>548</v>
      </c>
      <c r="AL22" s="1367"/>
      <c r="AM22" s="1367"/>
      <c r="AN22" s="1367"/>
      <c r="AO22" s="1367"/>
      <c r="AP22" s="1367"/>
      <c r="AQ22" s="1371" t="s">
        <v>547</v>
      </c>
      <c r="AR22" s="1367"/>
      <c r="AS22" s="5249" t="s">
        <v>548</v>
      </c>
      <c r="AV22" s="512"/>
      <c r="AW22" s="512"/>
      <c r="AX22" s="512"/>
      <c r="AY22" s="512"/>
      <c r="AZ22" s="512"/>
      <c r="BA22" s="1161">
        <v>0</v>
      </c>
    </row>
    <row customHeight="1" ht="14.25" hidden="1">
      <c r="O23" s="1365"/>
      <c r="P23" s="1312"/>
      <c r="AL23" s="1636"/>
      <c r="AM23" s="1636"/>
      <c r="AN23" s="1636"/>
      <c r="AO23" s="1636"/>
      <c r="AP23" s="1636"/>
      <c r="AQ23" s="1636"/>
      <c r="AR23" s="1636"/>
      <c r="AS23" s="5239"/>
      <c r="BA23" s="1156">
        <v>0</v>
      </c>
    </row>
    <row customHeight="1" ht="14.25" hidden="1">
      <c r="O24" s="1365"/>
      <c r="P24" s="1312"/>
      <c r="AL24" s="1636"/>
      <c r="AM24" s="1636"/>
      <c r="AN24" s="1636"/>
      <c r="AO24" s="1636"/>
      <c r="AP24" s="1636"/>
      <c r="AQ24" s="1636"/>
      <c r="AR24" s="1636"/>
      <c r="AS24" s="5239"/>
      <c r="BA24" s="1156">
        <v>0</v>
      </c>
    </row>
    <row customHeight="1" ht="14.699999999999998">
      <c r="Q25" s="377"/>
      <c r="R25" s="377"/>
      <c r="S25" s="1276"/>
      <c r="T25" s="364"/>
      <c r="U25" s="364"/>
      <c r="V25" s="510"/>
      <c r="W25" s="510"/>
      <c r="X25" s="510"/>
      <c r="Y25" s="510"/>
      <c r="Z25" s="510"/>
      <c r="AA25" s="510"/>
      <c r="AB25" s="510"/>
      <c r="AC25" s="510"/>
      <c r="AD25" s="510"/>
      <c r="AE25" s="510"/>
      <c r="AF25" s="510"/>
      <c r="AG25" s="510"/>
      <c r="AH25" s="510"/>
      <c r="AI25" s="510"/>
      <c r="AJ25" s="510"/>
      <c r="AK25" s="510"/>
      <c r="AL25" s="1636"/>
      <c r="AM25" s="1636"/>
      <c r="AN25" s="1636"/>
      <c r="AO25" s="1636"/>
      <c r="AP25" s="1636"/>
      <c r="AQ25" s="1636"/>
      <c r="AR25" s="1636"/>
      <c r="AS25" s="5239"/>
      <c r="BA25" s="1156">
        <v>14</v>
      </c>
    </row>
    <row customHeight="1" ht="14.699999999999998">
      <c r="Q26" s="377"/>
      <c r="R26" s="377"/>
      <c r="S26" s="2249" t="str">
        <f>IF(TEMPLATE_GROUP="P",PT_P_FORM_HEAT_4_NAME_FORM,PT_R_FORM_HEAT_21_NAME_FORM)</f>
        <v>Форма 3. Информация об установленных тарифах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об установленных тарифах на тепловую энергию (мощность), поставляемую теплоснабжающими организациями потребителям, другим теплоснабжающим организациям, об установленной плате за услуги по поддержанию резервной тепловой мощности при отсутствии потребления тепловой энергии</v>
      </c>
      <c r="T26" s="2249"/>
      <c r="U26" s="2249"/>
      <c r="V26" s="2249"/>
      <c r="W26" s="2249"/>
      <c r="X26" s="2249"/>
      <c r="Y26" s="2249"/>
      <c r="Z26" s="2249"/>
      <c r="AA26" s="2249"/>
      <c r="AB26" s="2249"/>
      <c r="AC26" s="2249"/>
      <c r="AD26" s="2249"/>
      <c r="AE26" s="2249"/>
      <c r="AF26" s="2249"/>
      <c r="AG26" s="2249"/>
      <c r="AH26" s="2249"/>
      <c r="AI26" s="2249"/>
      <c r="AJ26" s="2249"/>
      <c r="AK26" s="1244"/>
      <c r="AL26" s="2249"/>
      <c r="AM26" s="2249"/>
      <c r="AN26" s="2249"/>
      <c r="AO26" s="2249"/>
      <c r="AP26" s="2249"/>
      <c r="AQ26" s="2249"/>
      <c r="AR26" s="2249"/>
      <c r="AS26" s="5250"/>
      <c r="BA26" s="1156">
        <v>14</v>
      </c>
    </row>
    <row customHeight="1" ht="14.699999999999998">
      <c r="Q27" s="377"/>
      <c r="R27" s="377"/>
      <c r="S27" s="2250" t="str">
        <f>IF(org=0,"Не определено",org)</f>
        <v>ПАО "ТГК-1" (филиал "Кольский")</v>
      </c>
      <c r="T27" s="2250"/>
      <c r="U27" s="2250"/>
      <c r="V27" s="2250"/>
      <c r="W27" s="2250"/>
      <c r="X27" s="2250"/>
      <c r="Y27" s="2250"/>
      <c r="Z27" s="2250"/>
      <c r="AA27" s="2250"/>
      <c r="AB27" s="2250"/>
      <c r="AC27" s="2250"/>
      <c r="AD27" s="2250"/>
      <c r="AE27" s="2250"/>
      <c r="AF27" s="2250"/>
      <c r="AG27" s="2250"/>
      <c r="AH27" s="2250"/>
      <c r="AI27" s="2250"/>
      <c r="AJ27" s="2250"/>
      <c r="AK27" s="1244"/>
      <c r="AL27" s="2250"/>
      <c r="AM27" s="2250"/>
      <c r="AN27" s="2250"/>
      <c r="AO27" s="2250"/>
      <c r="AP27" s="2250"/>
      <c r="AQ27" s="2250"/>
      <c r="AR27" s="2250"/>
      <c r="AS27" s="5251"/>
      <c r="BA27" s="1156">
        <v>14</v>
      </c>
    </row>
    <row customHeight="1" ht="14.25">
      <c r="Q28" s="377"/>
      <c r="R28" s="377"/>
      <c r="S28" s="1276"/>
      <c r="T28" s="364"/>
      <c r="U28" s="364"/>
      <c r="V28" s="323"/>
      <c r="W28" s="323"/>
      <c r="X28" s="323"/>
      <c r="Y28" s="323"/>
      <c r="Z28" s="323"/>
      <c r="AA28" s="323"/>
      <c r="AB28" s="323"/>
      <c r="AC28" s="323"/>
      <c r="AD28" s="323"/>
      <c r="AE28" s="323"/>
      <c r="AF28" s="323"/>
      <c r="AG28" s="323"/>
      <c r="AH28" s="323"/>
      <c r="AI28" s="323"/>
      <c r="AJ28" s="323"/>
      <c r="AK28" s="323"/>
      <c r="AL28" s="323"/>
      <c r="AM28" s="323"/>
      <c r="AN28" s="323"/>
      <c r="AO28" s="323"/>
      <c r="AP28" s="323"/>
      <c r="AQ28" s="323"/>
      <c r="AR28" s="323"/>
      <c r="AS28" s="5252"/>
      <c r="AT28" s="510"/>
      <c r="BA28" s="1156">
        <v>0</v>
      </c>
    </row>
    <row s="1854" customFormat="1" customHeight="1" ht="25.5">
      <c r="A29" s="1369"/>
      <c r="B29" s="1369"/>
      <c r="C29" s="1369"/>
      <c r="D29" s="1369"/>
      <c r="E29" s="1369"/>
      <c r="F29" s="1369"/>
      <c r="G29" s="1369"/>
      <c r="H29" s="1369"/>
      <c r="I29" s="1369"/>
      <c r="J29" s="1369"/>
      <c r="K29" s="1369"/>
      <c r="L29" s="1370"/>
      <c r="M29" s="1369"/>
      <c r="N29" s="1369"/>
      <c r="O29" s="1369"/>
      <c r="S29" s="2251" t="s">
        <v>42</v>
      </c>
      <c r="T29" s="2251"/>
      <c r="U29" s="1373"/>
      <c r="V29" s="2252" t="str">
        <f>IF(TITLE_NAME_OR_PR_CHANGE="",IF(TITLE_NAME_OR_PR="","",TITLE_NAME_OR_PR),TITLE_NAME_OR_PR_CHANGE)</f>
        <v>Комитет по тарифному регулированию Мурманской области</v>
      </c>
      <c r="W29" s="2252"/>
      <c r="X29" s="2252"/>
      <c r="Y29" s="2252"/>
      <c r="Z29" s="2252"/>
      <c r="AA29" s="2252"/>
      <c r="AB29" s="2252"/>
      <c r="AC29" s="327"/>
      <c r="AD29" s="2252" t="str">
        <f>IF(TITLE_NAME_OR_PR_CHANGE="",IF(TITLE_NAME_OR_PR="","",TITLE_NAME_OR_PR),TITLE_NAME_OR_PR_CHANGE)</f>
        <v>Комитет по тарифному регулированию Мурманской области</v>
      </c>
      <c r="AE29" s="2252"/>
      <c r="AF29" s="2252"/>
      <c r="AG29" s="2252"/>
      <c r="AH29" s="2252"/>
      <c r="AI29" s="2252"/>
      <c r="AJ29" s="2252"/>
      <c r="AK29" s="327"/>
      <c r="AL29" s="2252" t="str">
        <f>IF(TITLE_NAME_OR_PR_CHANGE="",IF(TITLE_NAME_OR_PR="","",TITLE_NAME_OR_PR),TITLE_NAME_OR_PR_CHANGE)</f>
        <v>Комитет по тарифному регулированию Мурманской области</v>
      </c>
      <c r="AM29" s="2252"/>
      <c r="AN29" s="2252"/>
      <c r="AO29" s="2252"/>
      <c r="AP29" s="2252"/>
      <c r="AQ29" s="2252"/>
      <c r="AR29" s="2252"/>
      <c r="AS29" s="5239"/>
      <c r="AT29" s="327"/>
      <c r="AU29" s="281"/>
      <c r="AV29" s="369"/>
      <c r="AW29" s="369"/>
      <c r="AX29" s="369"/>
      <c r="AY29" s="369"/>
      <c r="AZ29" s="369"/>
      <c r="BA29" s="419">
        <v>0</v>
      </c>
    </row>
    <row s="1854" customFormat="1" customHeight="1" ht="18.75">
      <c r="A30" s="1369"/>
      <c r="B30" s="1369"/>
      <c r="C30" s="1369"/>
      <c r="D30" s="1369"/>
      <c r="E30" s="1369"/>
      <c r="F30" s="1369"/>
      <c r="G30" s="1369"/>
      <c r="H30" s="1369"/>
      <c r="I30" s="1369"/>
      <c r="J30" s="1369"/>
      <c r="K30" s="1369"/>
      <c r="L30" s="1370"/>
      <c r="M30" s="1369"/>
      <c r="N30" s="1369"/>
      <c r="O30" s="1369"/>
      <c r="S30" s="2251" t="s">
        <v>550</v>
      </c>
      <c r="T30" s="2251"/>
      <c r="U30" s="1373"/>
      <c r="V30" s="2265" t="str">
        <f>IF(TITLE_DATE_PR_CHANGE="",IF(TITLE_DATE_PR="","",TITLE_DATE_PR),TITLE_DATE_PR_CHANGE)</f>
        <v>46010</v>
      </c>
      <c r="W30" s="2265"/>
      <c r="X30" s="2265"/>
      <c r="Y30" s="2265"/>
      <c r="Z30" s="2265"/>
      <c r="AA30" s="2265"/>
      <c r="AB30" s="2265"/>
      <c r="AC30" s="327"/>
      <c r="AD30" s="2265" t="str">
        <f>IF(TITLE_DATE_PR_CHANGE="",IF(TITLE_DATE_PR="","",TITLE_DATE_PR),TITLE_DATE_PR_CHANGE)</f>
        <v>46010</v>
      </c>
      <c r="AE30" s="2265"/>
      <c r="AF30" s="2265"/>
      <c r="AG30" s="2265"/>
      <c r="AH30" s="2265"/>
      <c r="AI30" s="2265"/>
      <c r="AJ30" s="2265"/>
      <c r="AK30" s="327"/>
      <c r="AL30" s="2265" t="str">
        <f>IF(TITLE_DATE_PR_CHANGE="",IF(TITLE_DATE_PR="","",TITLE_DATE_PR),TITLE_DATE_PR_CHANGE)</f>
        <v>46010</v>
      </c>
      <c r="AM30" s="2265"/>
      <c r="AN30" s="2265"/>
      <c r="AO30" s="2265"/>
      <c r="AP30" s="2265"/>
      <c r="AQ30" s="2265"/>
      <c r="AR30" s="2265"/>
      <c r="AS30" s="5239"/>
      <c r="AT30" s="327"/>
      <c r="AU30" s="281"/>
      <c r="AV30" s="369"/>
      <c r="AW30" s="369"/>
      <c r="AX30" s="369"/>
      <c r="AY30" s="369"/>
      <c r="AZ30" s="369"/>
      <c r="BA30" s="419">
        <v>0</v>
      </c>
    </row>
    <row s="1854" customFormat="1" customHeight="1" ht="18.75">
      <c r="A31" s="1369"/>
      <c r="B31" s="1369"/>
      <c r="C31" s="1369"/>
      <c r="D31" s="1369"/>
      <c r="E31" s="1369"/>
      <c r="F31" s="1369"/>
      <c r="G31" s="1369"/>
      <c r="H31" s="1369"/>
      <c r="I31" s="1369"/>
      <c r="J31" s="1369"/>
      <c r="K31" s="1369"/>
      <c r="L31" s="1370"/>
      <c r="M31" s="1369"/>
      <c r="N31" s="1369"/>
      <c r="O31" s="1369"/>
      <c r="S31" s="2251" t="s">
        <v>551</v>
      </c>
      <c r="T31" s="2251"/>
      <c r="U31" s="1373"/>
      <c r="V31" s="2252" t="str">
        <f>IF(TITLE_NUMBER_PR_CHANGE="",IF(TITLE_NUMBER_PR="","",TITLE_NUMBER_PR),TITLE_NUMBER_PR_CHANGE)</f>
        <v>53/77; 53/49</v>
      </c>
      <c r="W31" s="2252"/>
      <c r="X31" s="2252"/>
      <c r="Y31" s="2252"/>
      <c r="Z31" s="2252"/>
      <c r="AA31" s="2252"/>
      <c r="AB31" s="2252"/>
      <c r="AC31" s="327"/>
      <c r="AD31" s="2252" t="str">
        <f>IF(TITLE_NUMBER_PR_CHANGE="",IF(TITLE_NUMBER_PR="","",TITLE_NUMBER_PR),TITLE_NUMBER_PR_CHANGE)</f>
        <v>53/77; 53/49</v>
      </c>
      <c r="AE31" s="2252"/>
      <c r="AF31" s="2252"/>
      <c r="AG31" s="2252"/>
      <c r="AH31" s="2252"/>
      <c r="AI31" s="2252"/>
      <c r="AJ31" s="2252"/>
      <c r="AK31" s="327"/>
      <c r="AL31" s="2252" t="str">
        <f>IF(TITLE_NUMBER_PR_CHANGE="",IF(TITLE_NUMBER_PR="","",TITLE_NUMBER_PR),TITLE_NUMBER_PR_CHANGE)</f>
        <v>53/77; 53/49</v>
      </c>
      <c r="AM31" s="2252"/>
      <c r="AN31" s="2252"/>
      <c r="AO31" s="2252"/>
      <c r="AP31" s="2252"/>
      <c r="AQ31" s="2252"/>
      <c r="AR31" s="2252"/>
      <c r="AS31" s="5239"/>
      <c r="AT31" s="327"/>
      <c r="AU31" s="281"/>
      <c r="AV31" s="369"/>
      <c r="AW31" s="369"/>
      <c r="AX31" s="369"/>
      <c r="AY31" s="369"/>
      <c r="AZ31" s="369"/>
      <c r="BA31" s="419">
        <v>0</v>
      </c>
    </row>
    <row s="1854" customFormat="1" customHeight="1" ht="18.75">
      <c r="A32" s="1369"/>
      <c r="B32" s="1369"/>
      <c r="C32" s="1369"/>
      <c r="D32" s="1369"/>
      <c r="E32" s="1369"/>
      <c r="F32" s="1369"/>
      <c r="G32" s="1369"/>
      <c r="H32" s="1369"/>
      <c r="I32" s="1369"/>
      <c r="J32" s="1369"/>
      <c r="K32" s="1369"/>
      <c r="L32" s="1370"/>
      <c r="M32" s="1369"/>
      <c r="N32" s="1369"/>
      <c r="O32" s="1369"/>
      <c r="S32" s="2251" t="s">
        <v>44</v>
      </c>
      <c r="T32" s="2251"/>
      <c r="U32" s="1373"/>
      <c r="V32" s="2252" t="str">
        <f>IF(TITLE_IST_PUB_CHANGE="",IF(TITLE_IST_PUB="","",TITLE_IST_PUB),TITLE_IST_PUB_CHANGE)</f>
        <v>Официальный электронный бюллетень Правительства Мурманской области</v>
      </c>
      <c r="W32" s="2252"/>
      <c r="X32" s="2252"/>
      <c r="Y32" s="2252"/>
      <c r="Z32" s="2252"/>
      <c r="AA32" s="2252"/>
      <c r="AB32" s="2252"/>
      <c r="AC32" s="327"/>
      <c r="AD32" s="2252" t="str">
        <f>IF(TITLE_IST_PUB_CHANGE="",IF(TITLE_IST_PUB="","",TITLE_IST_PUB),TITLE_IST_PUB_CHANGE)</f>
        <v>Официальный электронный бюллетень Правительства Мурманской области</v>
      </c>
      <c r="AE32" s="2252"/>
      <c r="AF32" s="2252"/>
      <c r="AG32" s="2252"/>
      <c r="AH32" s="2252"/>
      <c r="AI32" s="2252"/>
      <c r="AJ32" s="2252"/>
      <c r="AK32" s="327"/>
      <c r="AL32" s="2252" t="str">
        <f>IF(TITLE_IST_PUB_CHANGE="",IF(TITLE_IST_PUB="","",TITLE_IST_PUB),TITLE_IST_PUB_CHANGE)</f>
        <v>Официальный электронный бюллетень Правительства Мурманской области</v>
      </c>
      <c r="AM32" s="2252"/>
      <c r="AN32" s="2252"/>
      <c r="AO32" s="2252"/>
      <c r="AP32" s="2252"/>
      <c r="AQ32" s="2252"/>
      <c r="AR32" s="2252"/>
      <c r="AS32" s="5239"/>
      <c r="AT32" s="327"/>
      <c r="AU32" s="281"/>
      <c r="AV32" s="369"/>
      <c r="AW32" s="369"/>
      <c r="AX32" s="369"/>
      <c r="AY32" s="369"/>
      <c r="AZ32" s="369"/>
      <c r="BA32" s="419">
        <v>0</v>
      </c>
    </row>
    <row customHeight="1" ht="14.25" hidden="1">
      <c r="P33" s="1329"/>
      <c r="Q33" s="377"/>
      <c r="R33" s="377"/>
      <c r="S33" s="1276"/>
      <c r="T33" s="364"/>
      <c r="U33" s="364"/>
      <c r="V33" s="323"/>
      <c r="W33" s="323"/>
      <c r="X33" s="323"/>
      <c r="Y33" s="323"/>
      <c r="Z33" s="323"/>
      <c r="AA33" s="323"/>
      <c r="AB33" s="323"/>
      <c r="AC33" s="323"/>
      <c r="AD33" s="323"/>
      <c r="AE33" s="323"/>
      <c r="AF33" s="323"/>
      <c r="AG33" s="323"/>
      <c r="AH33" s="323"/>
      <c r="AI33" s="323"/>
      <c r="AJ33" s="323"/>
      <c r="AK33" s="323"/>
      <c r="AL33" s="323"/>
      <c r="AM33" s="323"/>
      <c r="AN33" s="323"/>
      <c r="AO33" s="323"/>
      <c r="AP33" s="323"/>
      <c r="AQ33" s="323"/>
      <c r="AR33" s="323"/>
      <c r="AS33" s="5252"/>
      <c r="AT33" s="510"/>
      <c r="BA33" s="1156">
        <v>0</v>
      </c>
    </row>
    <row s="1854" customFormat="1" customHeight="1" ht="18.75" hidden="1">
      <c r="A34" s="1369"/>
      <c r="B34" s="1369"/>
      <c r="C34" s="1369"/>
      <c r="D34" s="1369"/>
      <c r="E34" s="1369"/>
      <c r="F34" s="1369"/>
      <c r="G34" s="1369"/>
      <c r="H34" s="1369"/>
      <c r="I34" s="1369"/>
      <c r="J34" s="1369"/>
      <c r="K34" s="1369"/>
      <c r="L34" s="1370"/>
      <c r="M34" s="1369"/>
      <c r="N34" s="1369"/>
      <c r="O34" s="1369"/>
      <c r="S34" s="2251" t="s">
        <v>552</v>
      </c>
      <c r="T34" s="2251"/>
      <c r="U34" s="1373"/>
      <c r="V34" s="2265" t="str">
        <f>IF(TITLE_DATE_PR_CHANGE="",IF(TITLE_DATE_PR="","",TITLE_DATE_PR),TITLE_DATE_PR_CHANGE)</f>
        <v>46010</v>
      </c>
      <c r="W34" s="2265"/>
      <c r="X34" s="2265"/>
      <c r="Y34" s="2265"/>
      <c r="Z34" s="2265"/>
      <c r="AA34" s="2265"/>
      <c r="AB34" s="2265"/>
      <c r="AC34" s="327"/>
      <c r="AD34" s="2265" t="str">
        <f>IF(TITLE_DATE_PR_CHANGE="",IF(TITLE_DATE_PR="","",TITLE_DATE_PR),TITLE_DATE_PR_CHANGE)</f>
        <v>46010</v>
      </c>
      <c r="AE34" s="2265"/>
      <c r="AF34" s="2265"/>
      <c r="AG34" s="2265"/>
      <c r="AH34" s="2265"/>
      <c r="AI34" s="2265"/>
      <c r="AJ34" s="2265"/>
      <c r="AK34" s="327"/>
      <c r="AL34" s="2265" t="str">
        <f>IF(TITLE_DATE_PR_CHANGE="",IF(TITLE_DATE_PR="","",TITLE_DATE_PR),TITLE_DATE_PR_CHANGE)</f>
        <v>46010</v>
      </c>
      <c r="AM34" s="2265"/>
      <c r="AN34" s="2265"/>
      <c r="AO34" s="2265"/>
      <c r="AP34" s="2265"/>
      <c r="AQ34" s="2265"/>
      <c r="AR34" s="2265"/>
      <c r="AS34" s="5239"/>
      <c r="AT34" s="327"/>
      <c r="AU34" s="281"/>
      <c r="AV34" s="369"/>
      <c r="AW34" s="369"/>
      <c r="AX34" s="369"/>
      <c r="AY34" s="369"/>
      <c r="AZ34" s="369"/>
      <c r="BA34" s="419">
        <v>0</v>
      </c>
    </row>
    <row s="1854" customFormat="1" customHeight="1" ht="18.75" hidden="1">
      <c r="A35" s="1369"/>
      <c r="B35" s="1369"/>
      <c r="C35" s="1369"/>
      <c r="D35" s="1369"/>
      <c r="E35" s="1369"/>
      <c r="F35" s="1369"/>
      <c r="G35" s="1369"/>
      <c r="H35" s="1369"/>
      <c r="I35" s="1369"/>
      <c r="J35" s="1369"/>
      <c r="K35" s="1369"/>
      <c r="L35" s="1370"/>
      <c r="M35" s="1369"/>
      <c r="N35" s="1369"/>
      <c r="O35" s="1369"/>
      <c r="S35" s="2251" t="s">
        <v>553</v>
      </c>
      <c r="T35" s="2251"/>
      <c r="U35" s="1373"/>
      <c r="V35" s="2252" t="str">
        <f>IF(TITLE_NUMBER_PR_CHANGE="",IF(TITLE_NUMBER_PR="","",TITLE_NUMBER_PR),TITLE_NUMBER_PR_CHANGE)</f>
        <v>53/77; 53/49</v>
      </c>
      <c r="W35" s="2252"/>
      <c r="X35" s="2252"/>
      <c r="Y35" s="2252"/>
      <c r="Z35" s="2252"/>
      <c r="AA35" s="2252"/>
      <c r="AB35" s="2252"/>
      <c r="AC35" s="327"/>
      <c r="AD35" s="2252" t="str">
        <f>IF(TITLE_NUMBER_PR_CHANGE="",IF(TITLE_NUMBER_PR="","",TITLE_NUMBER_PR),TITLE_NUMBER_PR_CHANGE)</f>
        <v>53/77; 53/49</v>
      </c>
      <c r="AE35" s="2252"/>
      <c r="AF35" s="2252"/>
      <c r="AG35" s="2252"/>
      <c r="AH35" s="2252"/>
      <c r="AI35" s="2252"/>
      <c r="AJ35" s="2252"/>
      <c r="AK35" s="327"/>
      <c r="AL35" s="2252" t="str">
        <f>IF(TITLE_NUMBER_PR_CHANGE="",IF(TITLE_NUMBER_PR="","",TITLE_NUMBER_PR),TITLE_NUMBER_PR_CHANGE)</f>
        <v>53/77; 53/49</v>
      </c>
      <c r="AM35" s="2252"/>
      <c r="AN35" s="2252"/>
      <c r="AO35" s="2252"/>
      <c r="AP35" s="2252"/>
      <c r="AQ35" s="2252"/>
      <c r="AR35" s="2252"/>
      <c r="AS35" s="5239"/>
      <c r="AT35" s="327"/>
      <c r="AU35" s="281"/>
      <c r="AV35" s="369"/>
      <c r="AW35" s="369"/>
      <c r="AX35" s="369"/>
      <c r="AY35" s="369"/>
      <c r="AZ35" s="369"/>
      <c r="BA35" s="419">
        <v>0</v>
      </c>
    </row>
    <row s="1854" customFormat="1" customHeight="1" ht="0">
      <c r="A36" s="1369"/>
      <c r="B36" s="1369"/>
      <c r="C36" s="1369"/>
      <c r="D36" s="1369"/>
      <c r="E36" s="1369"/>
      <c r="F36" s="1369"/>
      <c r="G36" s="1369"/>
      <c r="H36" s="1369"/>
      <c r="I36" s="1369"/>
      <c r="J36" s="1369"/>
      <c r="K36" s="1369"/>
      <c r="L36" s="1370"/>
      <c r="M36" s="1369"/>
      <c r="N36" s="1369"/>
      <c r="O36" s="1369"/>
      <c r="S36" s="324"/>
      <c r="T36" s="324"/>
      <c r="U36" s="1220"/>
      <c r="V36" s="327"/>
      <c r="W36" s="327"/>
      <c r="X36" s="327"/>
      <c r="Y36" s="327"/>
      <c r="Z36" s="327"/>
      <c r="AA36" s="327"/>
      <c r="AB36" s="327"/>
      <c r="AC36" s="279" t="s">
        <v>554</v>
      </c>
      <c r="AD36" s="327"/>
      <c r="AE36" s="327"/>
      <c r="AF36" s="327"/>
      <c r="AG36" s="327"/>
      <c r="AH36" s="327"/>
      <c r="AI36" s="327"/>
      <c r="AJ36" s="327"/>
      <c r="AK36" s="279" t="s">
        <v>554</v>
      </c>
      <c r="AL36" s="1636"/>
      <c r="AM36" s="1636"/>
      <c r="AN36" s="1636"/>
      <c r="AO36" s="1636"/>
      <c r="AP36" s="1636"/>
      <c r="AQ36" s="1636"/>
      <c r="AR36" s="1636"/>
      <c r="AS36" s="5253" t="s">
        <v>554</v>
      </c>
      <c r="AV36" s="369"/>
      <c r="AW36" s="369"/>
      <c r="AX36" s="369"/>
      <c r="AY36" s="369"/>
      <c r="AZ36" s="369"/>
      <c r="BA36" s="419">
        <v>0</v>
      </c>
    </row>
    <row customHeight="1" ht="14.699999999999998">
      <c r="Q37" s="377"/>
      <c r="R37" s="377"/>
      <c r="S37" s="1276"/>
      <c r="T37" s="364"/>
      <c r="U37" s="1245"/>
      <c r="V37" s="2253"/>
      <c r="W37" s="2253"/>
      <c r="X37" s="2253"/>
      <c r="Y37" s="2253"/>
      <c r="Z37" s="2253"/>
      <c r="AA37" s="2253"/>
      <c r="AB37" s="2253"/>
      <c r="AC37" s="2253"/>
      <c r="AD37" s="2253"/>
      <c r="AE37" s="2253"/>
      <c r="AF37" s="2253"/>
      <c r="AG37" s="2253"/>
      <c r="AH37" s="2253"/>
      <c r="AI37" s="2253"/>
      <c r="AJ37" s="2253"/>
      <c r="AK37" s="2253"/>
      <c r="AL37" s="2253" t="s">
        <v>108</v>
      </c>
      <c r="AM37" s="2253"/>
      <c r="AN37" s="2253"/>
      <c r="AO37" s="2253"/>
      <c r="AP37" s="2253"/>
      <c r="AQ37" s="2253"/>
      <c r="AR37" s="2253"/>
      <c r="AS37" s="5254"/>
      <c r="BA37" s="1156">
        <v>14</v>
      </c>
    </row>
    <row customHeight="1" ht="15">
      <c r="Q38" s="377"/>
      <c r="R38" s="377"/>
      <c r="S38" s="2128" t="s">
        <v>430</v>
      </c>
      <c r="T38" s="2128"/>
      <c r="U38" s="2128"/>
      <c r="V38" s="2128"/>
      <c r="W38" s="2128"/>
      <c r="X38" s="2128"/>
      <c r="Y38" s="2128"/>
      <c r="Z38" s="2128"/>
      <c r="AA38" s="2128"/>
      <c r="AB38" s="2128"/>
      <c r="AC38" s="2128"/>
      <c r="AD38" s="2128"/>
      <c r="AE38" s="2128"/>
      <c r="AF38" s="2128"/>
      <c r="AG38" s="2128"/>
      <c r="AH38" s="2128"/>
      <c r="AI38" s="2128"/>
      <c r="AJ38" s="2128"/>
      <c r="AK38" s="2128"/>
      <c r="AL38" s="2313" t="s">
        <v>430</v>
      </c>
      <c r="AM38" s="2313"/>
      <c r="AN38" s="2313"/>
      <c r="AO38" s="2313"/>
      <c r="AP38" s="2313"/>
      <c r="AQ38" s="2313"/>
      <c r="AR38" s="2313"/>
      <c r="AS38" s="5255"/>
      <c r="AT38" s="2128"/>
      <c r="AU38" s="2128"/>
      <c r="BA38" s="1156"/>
    </row>
    <row customHeight="1" ht="14.699999999999998">
      <c r="Q39" s="377"/>
      <c r="R39" s="377"/>
      <c r="S39" s="2274" t="s">
        <v>92</v>
      </c>
      <c r="T39" s="2210" t="s">
        <v>555</v>
      </c>
      <c r="U39" s="302"/>
      <c r="V39" s="2275" t="s">
        <v>556</v>
      </c>
      <c r="W39" s="2276"/>
      <c r="X39" s="2276"/>
      <c r="Y39" s="2276"/>
      <c r="Z39" s="2276"/>
      <c r="AA39" s="2276"/>
      <c r="AB39" s="2277"/>
      <c r="AC39" s="2278" t="s">
        <v>557</v>
      </c>
      <c r="AD39" s="2275" t="s">
        <v>556</v>
      </c>
      <c r="AE39" s="2276"/>
      <c r="AF39" s="2276"/>
      <c r="AG39" s="2276"/>
      <c r="AH39" s="2276"/>
      <c r="AI39" s="2276"/>
      <c r="AJ39" s="2277"/>
      <c r="AK39" s="2278" t="s">
        <v>558</v>
      </c>
      <c r="AL39" s="2400" t="s">
        <v>556</v>
      </c>
      <c r="AM39" s="2401"/>
      <c r="AN39" s="2401"/>
      <c r="AO39" s="2401"/>
      <c r="AP39" s="2401"/>
      <c r="AQ39" s="2401"/>
      <c r="AR39" s="2402"/>
      <c r="AS39" s="5256" t="s">
        <v>557</v>
      </c>
      <c r="AT39" s="2281" t="s">
        <v>559</v>
      </c>
      <c r="AU39" s="2128"/>
      <c r="BA39" s="1156">
        <v>14</v>
      </c>
    </row>
    <row customHeight="1" ht="35.699999999999996">
      <c r="Q40" s="377"/>
      <c r="R40" s="377"/>
      <c r="S40" s="2274"/>
      <c r="T40" s="2210"/>
      <c r="U40" s="1032"/>
      <c r="V40" s="2261" t="s">
        <v>560</v>
      </c>
      <c r="W40" s="2611" t="s">
        <v>561</v>
      </c>
      <c r="X40" s="2263" t="s">
        <v>562</v>
      </c>
      <c r="Y40" s="2264"/>
      <c r="Z40" s="2263" t="s">
        <v>563</v>
      </c>
      <c r="AA40" s="2270"/>
      <c r="AB40" s="2264"/>
      <c r="AC40" s="2279"/>
      <c r="AD40" s="2261" t="s">
        <v>560</v>
      </c>
      <c r="AE40" s="2284" t="s">
        <v>561</v>
      </c>
      <c r="AF40" s="2263" t="s">
        <v>562</v>
      </c>
      <c r="AG40" s="2264"/>
      <c r="AH40" s="2263" t="s">
        <v>563</v>
      </c>
      <c r="AI40" s="2270"/>
      <c r="AJ40" s="2264"/>
      <c r="AK40" s="2279"/>
      <c r="AL40" s="2261" t="s">
        <v>560</v>
      </c>
      <c r="AM40" s="2611" t="s">
        <v>561</v>
      </c>
      <c r="AN40" s="2263" t="s">
        <v>562</v>
      </c>
      <c r="AO40" s="2264"/>
      <c r="AP40" s="2263" t="s">
        <v>563</v>
      </c>
      <c r="AQ40" s="2270"/>
      <c r="AR40" s="2264"/>
      <c r="AS40" s="5257"/>
      <c r="AT40" s="2282"/>
      <c r="AU40" s="2128"/>
      <c r="BA40" s="1156">
        <v>34</v>
      </c>
    </row>
    <row customHeight="1" ht="35.699999999999996">
      <c r="A41" s="1371"/>
      <c r="B41" s="1371" t="s">
        <v>148</v>
      </c>
      <c r="C41" s="1371" t="s">
        <v>149</v>
      </c>
      <c r="D41" s="1371" t="s">
        <v>150</v>
      </c>
      <c r="E41" s="1365" t="s">
        <v>564</v>
      </c>
      <c r="F41" s="1365" t="s">
        <v>565</v>
      </c>
      <c r="G41" s="1365" t="s">
        <v>566</v>
      </c>
      <c r="H41" s="1365" t="s">
        <v>567</v>
      </c>
      <c r="I41" s="1365" t="s">
        <v>568</v>
      </c>
      <c r="J41" s="1365" t="s">
        <v>569</v>
      </c>
      <c r="K41" s="1365" t="s">
        <v>570</v>
      </c>
      <c r="L41" s="1365" t="s">
        <v>545</v>
      </c>
      <c r="Q41" s="377"/>
      <c r="R41" s="377"/>
      <c r="S41" s="2274"/>
      <c r="T41" s="2210"/>
      <c r="U41" s="303"/>
      <c r="V41" s="2262"/>
      <c r="W41" s="2285"/>
      <c r="X41" s="1223" t="s">
        <v>571</v>
      </c>
      <c r="Y41" s="1223" t="s">
        <v>572</v>
      </c>
      <c r="Z41" s="1222" t="s">
        <v>573</v>
      </c>
      <c r="AA41" s="2271" t="s">
        <v>574</v>
      </c>
      <c r="AB41" s="2272"/>
      <c r="AC41" s="2280"/>
      <c r="AD41" s="2262"/>
      <c r="AE41" s="2285"/>
      <c r="AF41" s="1223" t="s">
        <v>571</v>
      </c>
      <c r="AG41" s="1223" t="s">
        <v>572</v>
      </c>
      <c r="AH41" s="1314" t="s">
        <v>573</v>
      </c>
      <c r="AI41" s="2271" t="s">
        <v>574</v>
      </c>
      <c r="AJ41" s="2272"/>
      <c r="AK41" s="2280"/>
      <c r="AL41" s="2262"/>
      <c r="AM41" s="2285"/>
      <c r="AN41" s="2578" t="s">
        <v>571</v>
      </c>
      <c r="AO41" s="2578" t="s">
        <v>572</v>
      </c>
      <c r="AP41" s="2578" t="s">
        <v>573</v>
      </c>
      <c r="AQ41" s="2271" t="s">
        <v>574</v>
      </c>
      <c r="AR41" s="2272"/>
      <c r="AS41" s="5258"/>
      <c r="AT41" s="2283"/>
      <c r="AU41" s="2128"/>
      <c r="BA41" s="1156">
        <v>34</v>
      </c>
    </row>
    <row s="1642" customFormat="1" customHeight="1" ht="11.25" hidden="1">
      <c r="A42" s="1371"/>
      <c r="B42" s="1371"/>
      <c r="C42" s="1371"/>
      <c r="D42" s="1371"/>
      <c r="E42" s="1371"/>
      <c r="F42" s="1371"/>
      <c r="G42" s="1371"/>
      <c r="H42" s="1371"/>
      <c r="I42" s="1371"/>
      <c r="J42" s="1371"/>
      <c r="K42" s="1371"/>
      <c r="L42" s="1365"/>
      <c r="M42" s="1363"/>
      <c r="N42" s="1363"/>
      <c r="O42" s="1363"/>
      <c r="P42" s="1247"/>
      <c r="Q42" s="1248"/>
      <c r="R42" s="1255">
        <v>1</v>
      </c>
      <c r="S42" s="1278" t="s">
        <v>123</v>
      </c>
      <c r="T42" s="1256" t="s">
        <v>107</v>
      </c>
      <c r="U42" s="1246" t="str">
        <f>OFFSET(U42,0,-1)</f>
        <v>2</v>
      </c>
      <c r="V42" s="1257">
        <f>OFFSET(V42,0,-1)+1</f>
        <v>3</v>
      </c>
      <c r="W42" s="1257"/>
      <c r="X42" s="1257">
        <f>OFFSET(X42,0,-1)+1</f>
        <v>1</v>
      </c>
      <c r="Y42" s="1257">
        <f>OFFSET(Y42,0,-1)+1</f>
        <v>2</v>
      </c>
      <c r="Z42" s="1257">
        <f>OFFSET(Z42,0,-1)+1</f>
        <v>3</v>
      </c>
      <c r="AA42" s="2273">
        <f>OFFSET(AA42,0,-1)+1</f>
        <v>4</v>
      </c>
      <c r="AB42" s="2273"/>
      <c r="AC42" s="1257">
        <f>OFFSET(AC42,0,-2)+1</f>
        <v>5</v>
      </c>
      <c r="AD42" s="1313">
        <f>OFFSET(AD42,0,-1)+1</f>
        <v>6</v>
      </c>
      <c r="AE42" s="1313"/>
      <c r="AF42" s="1313">
        <f>OFFSET(AF42,0,-1)+1</f>
        <v>1</v>
      </c>
      <c r="AG42" s="1313">
        <f>OFFSET(AG42,0,-1)+1</f>
        <v>2</v>
      </c>
      <c r="AH42" s="1313">
        <f>OFFSET(AH42,0,-1)+1</f>
        <v>3</v>
      </c>
      <c r="AI42" s="2273">
        <f>OFFSET(AI42,0,-1)+1</f>
        <v>4</v>
      </c>
      <c r="AJ42" s="2273"/>
      <c r="AK42" s="1313">
        <f>OFFSET(AK42,0,-2)+1</f>
        <v>5</v>
      </c>
      <c r="AL42" s="2273">
        <f>OFFSET(AL42,0,-1)+1</f>
        <v>6</v>
      </c>
      <c r="AM42" s="2273"/>
      <c r="AN42" s="2273">
        <f>OFFSET(AN42,0,-1)+1</f>
        <v>1</v>
      </c>
      <c r="AO42" s="2273">
        <f>OFFSET(AO42,0,-1)+1</f>
        <v>2</v>
      </c>
      <c r="AP42" s="2273">
        <f>OFFSET(AP42,0,-1)+1</f>
        <v>3</v>
      </c>
      <c r="AQ42" s="2273">
        <f>OFFSET(AQ42,0,-1)+1</f>
        <v>4</v>
      </c>
      <c r="AR42" s="2273"/>
      <c r="AS42" s="5259">
        <f>OFFSET(AS42,0,-2)+1</f>
        <v>5</v>
      </c>
      <c r="AT42" s="1246">
        <f>OFFSET(AT42,0,-1)</f>
        <v>5</v>
      </c>
      <c r="AU42" s="1257">
        <f>OFFSET(AU42,0,-1)+1</f>
        <v>6</v>
      </c>
      <c r="AV42" s="512"/>
      <c r="AW42" s="512"/>
      <c r="AX42" s="512"/>
      <c r="AY42" s="512"/>
      <c r="AZ42" s="512"/>
      <c r="BA42" s="497">
        <v>0</v>
      </c>
    </row>
    <row customHeight="1" ht="45">
      <c r="A43" s="1364" t="s">
        <v>173</v>
      </c>
      <c r="B43" s="1364"/>
      <c r="C43" s="1364"/>
      <c r="D43" s="1364"/>
      <c r="E43" s="2259">
        <v>1</v>
      </c>
      <c r="F43" s="1364"/>
      <c r="G43" s="1364"/>
      <c r="H43" s="1364"/>
      <c r="I43" s="1364"/>
      <c r="J43" s="1364"/>
      <c r="K43" s="1364"/>
      <c r="L43" s="1365"/>
      <c r="M43" s="1366"/>
      <c r="N43" s="1366"/>
      <c r="O43" s="1366"/>
      <c r="P43" s="362"/>
      <c r="Q43" s="361"/>
      <c r="R43" s="356"/>
      <c r="S43" s="1225">
        <f>INDEX(PT_DIFFERENTIATION_NUM_NTAR,MATCH(A43,PT_DIFFERENTIATION_NTAR_ID,0))</f>
        <v>1</v>
      </c>
      <c r="T43" s="299" t="s">
        <v>136</v>
      </c>
      <c r="U43" s="301"/>
      <c r="V43" s="2243"/>
      <c r="W43" s="2244"/>
      <c r="X43" s="2244"/>
      <c r="Y43" s="2244"/>
      <c r="Z43" s="2244"/>
      <c r="AA43" s="2244"/>
      <c r="AB43" s="2244"/>
      <c r="AC43" s="2245"/>
      <c r="AD43" s="2243" t="str">
        <f>INDEX(PT_DIFFERENTIATION_NTAR,MATCH(A43,PT_DIFFERENTIATION_NTAR_ID,0))</f>
        <v>Тарифы на тепловую энергию (мощность) на коллекторах источника тепловой энергии. Для потребителей, в случае отсутствия дифференциации тарифов по схеме подключения. Муниципальный округ город Апатиты с подведомственной территорией Мурманской области, муниципальный округ город Кировск с подведомственной территорией Мурманской области</v>
      </c>
      <c r="AE43" s="2244"/>
      <c r="AF43" s="2244"/>
      <c r="AG43" s="2244"/>
      <c r="AH43" s="2244"/>
      <c r="AI43" s="2244"/>
      <c r="AJ43" s="2244"/>
      <c r="AK43" s="2244"/>
      <c r="AL43" s="2243"/>
      <c r="AM43" s="2244"/>
      <c r="AN43" s="2244"/>
      <c r="AO43" s="2244"/>
      <c r="AP43" s="2244"/>
      <c r="AQ43" s="2244"/>
      <c r="AR43" s="2244"/>
      <c r="AS43" s="5240"/>
      <c r="AT43" s="2245"/>
      <c r="AU43" s="1259"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цены на тепловую энергию (мощность), включая правила индексации предельного уровня цены на тепловую энергию (мощность), 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определяемого в соответствии с указанными 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 (тарифа), источник официального опубликования решения об установлении цены (тарифа) в сфере теплоснабжения.</v>
      </c>
      <c r="AW43" s="501"/>
      <c r="AX43" s="501" t="str">
        <f>IF(T43="","",T43)</f>
        <v>Наименование тарифа</v>
      </c>
      <c r="AY43" s="501"/>
      <c r="AZ43" s="501"/>
      <c r="BA43" s="1156">
        <v>23</v>
      </c>
    </row>
    <row customHeight="1" ht="24">
      <c r="A44" s="1364" t="s">
        <v>173</v>
      </c>
      <c r="B44" s="1364" t="s">
        <v>174</v>
      </c>
      <c r="C44" s="1364"/>
      <c r="D44" s="1364"/>
      <c r="E44" s="2260"/>
      <c r="F44" s="2259">
        <v>1</v>
      </c>
      <c r="G44" s="1364"/>
      <c r="H44" s="1364"/>
      <c r="I44" s="1364"/>
      <c r="J44" s="1364"/>
      <c r="K44" s="1364"/>
      <c r="L44" s="1365"/>
      <c r="M44" s="1366"/>
      <c r="N44" s="1366"/>
      <c r="O44" s="1366"/>
      <c r="P44" s="523"/>
      <c r="Q44" s="353"/>
      <c r="R44" s="354"/>
      <c r="S44" s="1225" t="str">
        <f>INDEX(PT_DIFFERENTIATION_NUM_TER,MATCH(B44,PT_DIFFERENTIATION_TER_ID,0))</f>
        <v>1.1</v>
      </c>
      <c r="T44" s="309" t="s">
        <v>527</v>
      </c>
      <c r="U44" s="301"/>
      <c r="V44" s="2243"/>
      <c r="W44" s="2244"/>
      <c r="X44" s="2244"/>
      <c r="Y44" s="2244"/>
      <c r="Z44" s="2244"/>
      <c r="AA44" s="2244"/>
      <c r="AB44" s="2244"/>
      <c r="AC44" s="2245"/>
      <c r="AD44" s="2243" t="str">
        <f>INDEX(PT_DIFFERENTIATION_TER,MATCH(B44,PT_DIFFERENTIATION_TER_ID,0))</f>
        <v>Территория 1</v>
      </c>
      <c r="AE44" s="2244"/>
      <c r="AF44" s="2244"/>
      <c r="AG44" s="2244"/>
      <c r="AH44" s="2244"/>
      <c r="AI44" s="2244"/>
      <c r="AJ44" s="2244"/>
      <c r="AK44" s="2244"/>
      <c r="AL44" s="2243"/>
      <c r="AM44" s="2244"/>
      <c r="AN44" s="2244"/>
      <c r="AO44" s="2244"/>
      <c r="AP44" s="2244"/>
      <c r="AQ44" s="2244"/>
      <c r="AR44" s="2244"/>
      <c r="AS44" s="5240"/>
      <c r="AT44" s="2245"/>
      <c r="AU44" s="1259" t="s">
        <v>528</v>
      </c>
      <c r="AW44" s="501"/>
      <c r="AX44" s="501" t="str">
        <f>IF(T44="","",T44)</f>
        <v>Территория действия тарифа</v>
      </c>
      <c r="AY44" s="501"/>
      <c r="AZ44" s="501"/>
      <c r="BA44" s="1156">
        <v>23</v>
      </c>
    </row>
    <row customHeight="1" ht="24">
      <c r="A45" s="1364" t="s">
        <v>173</v>
      </c>
      <c r="B45" s="1364" t="s">
        <v>174</v>
      </c>
      <c r="C45" s="1364" t="s">
        <v>175</v>
      </c>
      <c r="D45" s="1364"/>
      <c r="E45" s="2260"/>
      <c r="F45" s="2260"/>
      <c r="G45" s="2259">
        <v>1</v>
      </c>
      <c r="H45" s="1364"/>
      <c r="I45" s="1364"/>
      <c r="J45" s="1364"/>
      <c r="K45" s="1364"/>
      <c r="L45" s="1365"/>
      <c r="M45" s="1366"/>
      <c r="N45" s="1366"/>
      <c r="O45" s="1366"/>
      <c r="P45" s="355"/>
      <c r="Q45" s="353"/>
      <c r="R45" s="354"/>
      <c r="S45" s="1225" t="str">
        <f>INDEX(PT_DIFFERENTIATION_NUM_CS,MATCH(C45,PT_DIFFERENTIATION_CS_ID,0))</f>
        <v>1.1.1</v>
      </c>
      <c r="T45" s="310" t="s">
        <v>529</v>
      </c>
      <c r="U45" s="301"/>
      <c r="V45" s="2243"/>
      <c r="W45" s="2244"/>
      <c r="X45" s="2244"/>
      <c r="Y45" s="2244"/>
      <c r="Z45" s="2244"/>
      <c r="AA45" s="2244"/>
      <c r="AB45" s="2244"/>
      <c r="AC45" s="2245"/>
      <c r="AD45" s="2243" t="str">
        <f>INDEX(PT_DIFFERENTIATION_CS,MATCH(C45,PT_DIFFERENTIATION_CS_ID,0))</f>
        <v>открытая система теплоснабжения г. Апатиты</v>
      </c>
      <c r="AE45" s="2244"/>
      <c r="AF45" s="2244"/>
      <c r="AG45" s="2244"/>
      <c r="AH45" s="2244"/>
      <c r="AI45" s="2244"/>
      <c r="AJ45" s="2244"/>
      <c r="AK45" s="2244"/>
      <c r="AL45" s="2243"/>
      <c r="AM45" s="2244"/>
      <c r="AN45" s="2244"/>
      <c r="AO45" s="2244"/>
      <c r="AP45" s="2244"/>
      <c r="AQ45" s="2244"/>
      <c r="AR45" s="2244"/>
      <c r="AS45" s="5240"/>
      <c r="AT45" s="2245"/>
      <c r="AU45" s="1259" t="s">
        <v>530</v>
      </c>
      <c r="AW45" s="501"/>
      <c r="AX45" s="501" t="str">
        <f>IF(T45="","",T45)</f>
        <v>Наименование системы теплоснабжения </v>
      </c>
      <c r="AY45" s="501"/>
      <c r="AZ45" s="501"/>
      <c r="BA45" s="1156">
        <v>23</v>
      </c>
    </row>
    <row customHeight="1" ht="24">
      <c r="A46" s="1364" t="s">
        <v>173</v>
      </c>
      <c r="B46" s="1364" t="s">
        <v>174</v>
      </c>
      <c r="C46" s="1364" t="s">
        <v>175</v>
      </c>
      <c r="D46" s="1364" t="s">
        <v>176</v>
      </c>
      <c r="E46" s="2260"/>
      <c r="F46" s="2260"/>
      <c r="G46" s="2260"/>
      <c r="H46" s="2259">
        <v>1</v>
      </c>
      <c r="I46" s="1364"/>
      <c r="J46" s="1364"/>
      <c r="K46" s="1364"/>
      <c r="L46" s="1365"/>
      <c r="M46" s="1366"/>
      <c r="N46" s="1366"/>
      <c r="O46" s="1366"/>
      <c r="P46" s="355"/>
      <c r="Q46" s="353"/>
      <c r="R46" s="354"/>
      <c r="S46" s="1225" t="str">
        <f>INDEX(PT_DIFFERENTIATION_NUM_IST_TE,MATCH(D46,PT_DIFFERENTIATION_IST_TE_ID,0))</f>
        <v>1.1.1.1</v>
      </c>
      <c r="T46" s="311" t="s">
        <v>531</v>
      </c>
      <c r="U46" s="301"/>
      <c r="V46" s="2243"/>
      <c r="W46" s="2244"/>
      <c r="X46" s="2244"/>
      <c r="Y46" s="2244"/>
      <c r="Z46" s="2244"/>
      <c r="AA46" s="2244"/>
      <c r="AB46" s="2244"/>
      <c r="AC46" s="2245"/>
      <c r="AD46" s="2243" t="str">
        <f>INDEX(PT_DIFFERENTIATION_IST_TE,MATCH(D46,PT_DIFFERENTIATION_IST_TE_ID,0))</f>
        <v>Апатитская ТЭЦ</v>
      </c>
      <c r="AE46" s="2244"/>
      <c r="AF46" s="2244"/>
      <c r="AG46" s="2244"/>
      <c r="AH46" s="2244"/>
      <c r="AI46" s="2244"/>
      <c r="AJ46" s="2244"/>
      <c r="AK46" s="2244"/>
      <c r="AL46" s="2243"/>
      <c r="AM46" s="2244"/>
      <c r="AN46" s="2244"/>
      <c r="AO46" s="2244"/>
      <c r="AP46" s="2244"/>
      <c r="AQ46" s="2244"/>
      <c r="AR46" s="2244"/>
      <c r="AS46" s="5240"/>
      <c r="AT46" s="2245"/>
      <c r="AU46" s="1259" t="s">
        <v>532</v>
      </c>
      <c r="AW46" s="501"/>
      <c r="AX46" s="501" t="str">
        <f>IF(T46="","",T46)</f>
        <v>Источник тепловой энергии  </v>
      </c>
      <c r="AY46" s="501"/>
      <c r="AZ46" s="501"/>
      <c r="BA46" s="1156">
        <v>23</v>
      </c>
    </row>
    <row customHeight="1" ht="49.5">
      <c r="A47" s="1364" t="s">
        <v>173</v>
      </c>
      <c r="B47" s="1364" t="s">
        <v>174</v>
      </c>
      <c r="C47" s="1364" t="s">
        <v>175</v>
      </c>
      <c r="D47" s="1364" t="s">
        <v>176</v>
      </c>
      <c r="E47" s="2260"/>
      <c r="F47" s="2260"/>
      <c r="G47" s="2260"/>
      <c r="H47" s="2260"/>
      <c r="I47" s="2257" t="str">
        <f>S46&amp;".1"</f>
        <v>1.1.1.1.1</v>
      </c>
      <c r="J47" s="1364"/>
      <c r="K47" s="1364"/>
      <c r="L47" s="1365" t="s">
        <v>533</v>
      </c>
      <c r="P47" s="2258">
        <v>1</v>
      </c>
      <c r="Q47" s="1221"/>
      <c r="R47" s="357"/>
      <c r="S47" s="1225" t="str">
        <f>$I47</f>
        <v>1.1.1.1.1</v>
      </c>
      <c r="T47" s="286" t="s">
        <v>534</v>
      </c>
      <c r="U47" s="301"/>
      <c r="V47" s="2246"/>
      <c r="W47" s="2247"/>
      <c r="X47" s="2247"/>
      <c r="Y47" s="2247"/>
      <c r="Z47" s="2247"/>
      <c r="AA47" s="2247"/>
      <c r="AB47" s="2247"/>
      <c r="AC47" s="2248"/>
      <c r="AD47" s="2246" t="s">
        <v>575</v>
      </c>
      <c r="AE47" s="2247"/>
      <c r="AF47" s="2247"/>
      <c r="AG47" s="2247"/>
      <c r="AH47" s="2247"/>
      <c r="AI47" s="2247"/>
      <c r="AJ47" s="2247"/>
      <c r="AK47" s="2247"/>
      <c r="AL47" s="2246"/>
      <c r="AM47" s="2247"/>
      <c r="AN47" s="2247"/>
      <c r="AO47" s="2247"/>
      <c r="AP47" s="2247"/>
      <c r="AQ47" s="2247"/>
      <c r="AR47" s="2247"/>
      <c r="AS47" s="5241"/>
      <c r="AT47" s="2248"/>
      <c r="AU47" s="1259" t="s">
        <v>535</v>
      </c>
      <c r="AW47" s="501"/>
      <c r="AX47" s="501" t="str">
        <f>IF(T47="","",T47)</f>
        <v>Схема подключения теплопотребляющей установки к коллектору источника тепловой энергии</v>
      </c>
      <c r="AY47" s="501"/>
      <c r="AZ47" s="501"/>
      <c r="BA47" s="1156">
        <v>47</v>
      </c>
    </row>
    <row customHeight="1" ht="24">
      <c r="A48" s="1364" t="s">
        <v>173</v>
      </c>
      <c r="B48" s="1364" t="s">
        <v>174</v>
      </c>
      <c r="C48" s="1364" t="s">
        <v>175</v>
      </c>
      <c r="D48" s="1364" t="s">
        <v>176</v>
      </c>
      <c r="E48" s="2260"/>
      <c r="F48" s="2260"/>
      <c r="G48" s="2260"/>
      <c r="H48" s="2260"/>
      <c r="I48" s="2287"/>
      <c r="J48" s="2257" t="str">
        <f>I47&amp;".1"</f>
        <v>1.1.1.1.1.1</v>
      </c>
      <c r="K48" s="1364"/>
      <c r="L48" s="1365" t="s">
        <v>536</v>
      </c>
      <c r="P48" s="2258"/>
      <c r="Q48" s="2258">
        <v>1</v>
      </c>
      <c r="R48" s="358"/>
      <c r="S48" s="1225" t="str">
        <f>$J48</f>
        <v>1.1.1.1.1.1</v>
      </c>
      <c r="T48" s="287" t="s">
        <v>537</v>
      </c>
      <c r="U48" s="301"/>
      <c r="V48" s="2246"/>
      <c r="W48" s="2247"/>
      <c r="X48" s="2247"/>
      <c r="Y48" s="2247"/>
      <c r="Z48" s="2247"/>
      <c r="AA48" s="2247"/>
      <c r="AB48" s="2247"/>
      <c r="AC48" s="2248"/>
      <c r="AD48" s="2246" t="s">
        <v>576</v>
      </c>
      <c r="AE48" s="2247"/>
      <c r="AF48" s="2247"/>
      <c r="AG48" s="2247"/>
      <c r="AH48" s="2247"/>
      <c r="AI48" s="2247"/>
      <c r="AJ48" s="2247"/>
      <c r="AK48" s="2247"/>
      <c r="AL48" s="2246"/>
      <c r="AM48" s="2247"/>
      <c r="AN48" s="2247"/>
      <c r="AO48" s="2247"/>
      <c r="AP48" s="2247"/>
      <c r="AQ48" s="2247"/>
      <c r="AR48" s="2247"/>
      <c r="AS48" s="5241"/>
      <c r="AT48" s="2248"/>
      <c r="AU48" s="1259" t="s">
        <v>538</v>
      </c>
      <c r="AW48" s="501"/>
      <c r="AX48" s="501" t="str">
        <f>IF(T48="","",T48)</f>
        <v>Группа потребителей</v>
      </c>
      <c r="AY48" s="501"/>
      <c r="AZ48" s="501"/>
      <c r="BA48" s="1156">
        <v>23</v>
      </c>
    </row>
    <row customHeight="1" ht="24">
      <c r="A49" s="1364" t="s">
        <v>173</v>
      </c>
      <c r="B49" s="1364" t="s">
        <v>174</v>
      </c>
      <c r="C49" s="1364" t="s">
        <v>175</v>
      </c>
      <c r="D49" s="1364" t="s">
        <v>176</v>
      </c>
      <c r="E49" s="2260"/>
      <c r="F49" s="2260"/>
      <c r="G49" s="2260"/>
      <c r="H49" s="2260"/>
      <c r="I49" s="2287"/>
      <c r="J49" s="2287"/>
      <c r="K49" s="2257" t="str">
        <f>J48&amp;".1"</f>
        <v>1.1.1.1.1.1.1</v>
      </c>
      <c r="L49" s="1365" t="s">
        <v>539</v>
      </c>
      <c r="P49" s="2258"/>
      <c r="Q49" s="2258"/>
      <c r="R49" s="358">
        <v>1</v>
      </c>
      <c r="S49" s="1225" t="str">
        <f>$K49</f>
        <v>1.1.1.1.1.1.1</v>
      </c>
      <c r="T49" s="1348" t="s">
        <v>577</v>
      </c>
      <c r="U49" s="301"/>
      <c r="V49" s="752"/>
      <c r="W49" s="326"/>
      <c r="X49" s="752"/>
      <c r="Y49" s="1258"/>
      <c r="Z49" s="2266"/>
      <c r="AA49" s="2108" t="s">
        <v>65</v>
      </c>
      <c r="AB49" s="2266"/>
      <c r="AC49" s="2108" t="s">
        <v>65</v>
      </c>
      <c r="AD49" s="752">
        <v>2143.27</v>
      </c>
      <c r="AE49" s="326"/>
      <c r="AF49" s="752"/>
      <c r="AG49" s="1258"/>
      <c r="AH49" s="2603">
        <v>46023.55334490741</v>
      </c>
      <c r="AI49" s="2108" t="s">
        <v>65</v>
      </c>
      <c r="AJ49" s="2288">
        <v>46295.55355324074</v>
      </c>
      <c r="AK49" s="2108" t="s">
        <v>65</v>
      </c>
      <c r="AL49" s="752">
        <v>2143.27</v>
      </c>
      <c r="AM49" s="326"/>
      <c r="AN49" s="752"/>
      <c r="AO49" s="1258"/>
      <c r="AP49" s="2603">
        <v>46296.55385416667</v>
      </c>
      <c r="AQ49" s="2108" t="s">
        <v>65</v>
      </c>
      <c r="AR49" s="2603">
        <v>46387.55396990741</v>
      </c>
      <c r="AS49" s="2108" t="s">
        <v>65</v>
      </c>
      <c r="AT49" s="1349"/>
      <c r="AU49" s="2254" t="s">
        <v>540</v>
      </c>
      <c r="AV49" s="512">
        <f>STRCHECKDATE(V50:AT50)</f>
      </c>
      <c r="AW49" s="501"/>
      <c r="AX49" s="501" t="str">
        <f>IF(T49="","",T49)</f>
        <v>вода</v>
      </c>
      <c r="AY49" s="501"/>
      <c r="AZ49" s="501"/>
      <c r="BA49" s="1156">
        <v>23</v>
      </c>
    </row>
    <row customHeight="1" ht="1.05">
      <c r="A50" s="1364" t="s">
        <v>173</v>
      </c>
      <c r="B50" s="1364" t="s">
        <v>174</v>
      </c>
      <c r="C50" s="1364" t="s">
        <v>175</v>
      </c>
      <c r="D50" s="1364" t="s">
        <v>176</v>
      </c>
      <c r="E50" s="2260"/>
      <c r="F50" s="2260"/>
      <c r="G50" s="2260"/>
      <c r="H50" s="2260"/>
      <c r="I50" s="2287"/>
      <c r="J50" s="2287"/>
      <c r="K50" s="2257"/>
      <c r="L50" s="1365"/>
      <c r="P50" s="2258"/>
      <c r="Q50" s="2258"/>
      <c r="R50" s="358"/>
      <c r="S50" s="1224"/>
      <c r="T50" s="301"/>
      <c r="U50" s="301"/>
      <c r="V50" s="326"/>
      <c r="W50" s="326"/>
      <c r="X50" s="326"/>
      <c r="Y50" s="329" t="str">
        <f>Z49&amp;"-"&amp;AB49</f>
        <v>-</v>
      </c>
      <c r="Z50" s="2267"/>
      <c r="AA50" s="2108"/>
      <c r="AB50" s="2267"/>
      <c r="AC50" s="2108"/>
      <c r="AD50" s="326"/>
      <c r="AE50" s="326"/>
      <c r="AF50" s="326"/>
      <c r="AG50" s="329" t="str">
        <f>AH49&amp;"-"&amp;AJ49</f>
        <v>46023.55334490741-46295.55355324074</v>
      </c>
      <c r="AH50" s="2267"/>
      <c r="AI50" s="2108"/>
      <c r="AJ50" s="2289"/>
      <c r="AK50" s="2108"/>
      <c r="AL50" s="326"/>
      <c r="AM50" s="326"/>
      <c r="AN50" s="326"/>
      <c r="AO50" s="329" t="str">
        <f>AP49&amp;"-"&amp;AR49</f>
        <v>46296.55385416667-46387.55396990741</v>
      </c>
      <c r="AP50" s="2310"/>
      <c r="AQ50" s="2108"/>
      <c r="AR50" s="2310"/>
      <c r="AS50" s="2108"/>
      <c r="AT50" s="1350"/>
      <c r="AU50" s="2255"/>
      <c r="AW50" s="501"/>
      <c r="AX50" s="501" t="str">
        <f>IF(T50="","",T50)</f>
        <v/>
      </c>
      <c r="AY50" s="501"/>
      <c r="AZ50" s="501"/>
      <c r="BA50" s="1156">
        <v>1</v>
      </c>
    </row>
    <row customHeight="1" ht="11.549999999999999">
      <c r="A51" s="1364" t="s">
        <v>173</v>
      </c>
      <c r="B51" s="1364" t="s">
        <v>174</v>
      </c>
      <c r="C51" s="1364" t="s">
        <v>175</v>
      </c>
      <c r="D51" s="1364" t="s">
        <v>176</v>
      </c>
      <c r="E51" s="2260"/>
      <c r="F51" s="2260"/>
      <c r="G51" s="2260"/>
      <c r="H51" s="2260"/>
      <c r="I51" s="2287"/>
      <c r="J51" s="2257"/>
      <c r="K51" s="1364"/>
      <c r="L51" s="1365"/>
      <c r="P51" s="2258"/>
      <c r="Q51" s="2258"/>
      <c r="R51" s="357"/>
      <c r="S51" s="1279"/>
      <c r="T51" s="289" t="s">
        <v>541</v>
      </c>
      <c r="U51" s="368"/>
      <c r="V51" s="368"/>
      <c r="W51" s="368"/>
      <c r="X51" s="368"/>
      <c r="Y51" s="368"/>
      <c r="Z51" s="368"/>
      <c r="AA51" s="368"/>
      <c r="AB51" s="368"/>
      <c r="AC51" s="368"/>
      <c r="AD51" s="368"/>
      <c r="AE51" s="368"/>
      <c r="AF51" s="368"/>
      <c r="AG51" s="368"/>
      <c r="AH51" s="368"/>
      <c r="AI51" s="368"/>
      <c r="AJ51" s="368"/>
      <c r="AK51" s="368"/>
      <c r="AL51" s="2865"/>
      <c r="AM51" s="2866"/>
      <c r="AN51" s="2867"/>
      <c r="AO51" s="2868"/>
      <c r="AP51" s="2869"/>
      <c r="AQ51" s="2870"/>
      <c r="AR51" s="2871"/>
      <c r="AS51" s="5260"/>
      <c r="AT51" s="325"/>
      <c r="AU51" s="2256"/>
      <c r="AW51" s="501"/>
      <c r="AX51" s="501" t="str">
        <f>IF(T51="","",T51)</f>
        <v>Добавить вид теплоносителя (параметры теплоносителя)</v>
      </c>
      <c r="AY51" s="501"/>
      <c r="AZ51" s="501"/>
      <c r="BA51" s="1156">
        <v>11</v>
      </c>
    </row>
    <row customHeight="1" ht="11.549999999999999">
      <c r="A52" s="1364" t="s">
        <v>173</v>
      </c>
      <c r="B52" s="1364" t="s">
        <v>174</v>
      </c>
      <c r="C52" s="1364" t="s">
        <v>175</v>
      </c>
      <c r="D52" s="1364" t="s">
        <v>176</v>
      </c>
      <c r="E52" s="2260"/>
      <c r="F52" s="2260"/>
      <c r="G52" s="2260"/>
      <c r="H52" s="2260"/>
      <c r="I52" s="2257"/>
      <c r="J52" s="1364"/>
      <c r="K52" s="1364"/>
      <c r="L52" s="1365"/>
      <c r="P52" s="2258"/>
      <c r="Q52" s="1221"/>
      <c r="R52" s="357"/>
      <c r="S52" s="1279"/>
      <c r="T52" s="288" t="s">
        <v>542</v>
      </c>
      <c r="U52" s="368"/>
      <c r="V52" s="368"/>
      <c r="W52" s="368"/>
      <c r="X52" s="368"/>
      <c r="Y52" s="368"/>
      <c r="Z52" s="368"/>
      <c r="AA52" s="368"/>
      <c r="AB52" s="368"/>
      <c r="AC52" s="367"/>
      <c r="AD52" s="368"/>
      <c r="AE52" s="368"/>
      <c r="AF52" s="368"/>
      <c r="AG52" s="368"/>
      <c r="AH52" s="368"/>
      <c r="AI52" s="368"/>
      <c r="AJ52" s="368"/>
      <c r="AK52" s="367"/>
      <c r="AL52" s="2873"/>
      <c r="AM52" s="2874"/>
      <c r="AN52" s="2875"/>
      <c r="AO52" s="2876"/>
      <c r="AP52" s="2877"/>
      <c r="AQ52" s="2878"/>
      <c r="AR52" s="2879"/>
      <c r="AS52" s="5261"/>
      <c r="AT52" s="368"/>
      <c r="AU52" s="304"/>
      <c r="AW52" s="501"/>
      <c r="AX52" s="501" t="str">
        <f>IF(T52="","",T52)</f>
        <v>Добавить группу потребителей</v>
      </c>
      <c r="AY52" s="501"/>
      <c r="AZ52" s="501"/>
      <c r="BA52" s="1156">
        <v>11</v>
      </c>
    </row>
    <row customHeight="1" ht="14.699999999999998">
      <c r="A53" s="1364" t="s">
        <v>173</v>
      </c>
      <c r="B53" s="1364" t="s">
        <v>174</v>
      </c>
      <c r="C53" s="1364" t="s">
        <v>175</v>
      </c>
      <c r="D53" s="1364" t="s">
        <v>176</v>
      </c>
      <c r="E53" s="2260"/>
      <c r="F53" s="2260"/>
      <c r="G53" s="2260"/>
      <c r="H53" s="2259"/>
      <c r="I53" s="1364"/>
      <c r="J53" s="1364"/>
      <c r="K53" s="1364"/>
      <c r="L53" s="1365"/>
      <c r="M53" s="1366"/>
      <c r="N53" s="1366"/>
      <c r="O53" s="538"/>
      <c r="P53" s="361"/>
      <c r="Q53" s="376"/>
      <c r="R53" s="356"/>
      <c r="S53" s="1279"/>
      <c r="T53" s="366" t="s">
        <v>543</v>
      </c>
      <c r="U53" s="368"/>
      <c r="V53" s="368"/>
      <c r="W53" s="368"/>
      <c r="X53" s="368"/>
      <c r="Y53" s="368"/>
      <c r="Z53" s="368"/>
      <c r="AA53" s="368"/>
      <c r="AB53" s="368"/>
      <c r="AC53" s="367"/>
      <c r="AD53" s="368"/>
      <c r="AE53" s="368"/>
      <c r="AF53" s="368"/>
      <c r="AG53" s="368"/>
      <c r="AH53" s="368"/>
      <c r="AI53" s="368"/>
      <c r="AJ53" s="368"/>
      <c r="AK53" s="367"/>
      <c r="AL53" s="2881"/>
      <c r="AM53" s="2882"/>
      <c r="AN53" s="2883"/>
      <c r="AO53" s="2884"/>
      <c r="AP53" s="2885"/>
      <c r="AQ53" s="2886"/>
      <c r="AR53" s="2887"/>
      <c r="AS53" s="5262"/>
      <c r="AT53" s="368"/>
      <c r="AU53" s="304"/>
      <c r="AW53" s="501"/>
      <c r="AX53" s="501" t="str">
        <f>IF(T53="","",T53)</f>
        <v>Добавить схему подключения</v>
      </c>
      <c r="AY53" s="501"/>
      <c r="AZ53" s="501"/>
      <c r="BA53" s="1156">
        <v>14</v>
      </c>
    </row>
    <row s="1643" customFormat="1" customHeight="1" ht="1.05">
      <c r="A54" s="1344" t="s">
        <v>173</v>
      </c>
      <c r="B54" s="1344" t="s">
        <v>174</v>
      </c>
      <c r="C54" s="1344" t="s">
        <v>175</v>
      </c>
      <c r="D54" s="1315"/>
      <c r="E54" s="2260"/>
      <c r="F54" s="2260"/>
      <c r="G54" s="2259"/>
      <c r="H54" s="1315"/>
      <c r="I54" s="1315"/>
      <c r="J54" s="1315"/>
      <c r="K54" s="1315"/>
      <c r="L54" s="1340"/>
      <c r="M54" s="1316"/>
      <c r="N54" s="1316"/>
      <c r="P54" s="1317"/>
      <c r="Q54" s="1318"/>
      <c r="R54" s="1317"/>
      <c r="S54" s="1323"/>
      <c r="T54" s="1326" t="s">
        <v>177</v>
      </c>
      <c r="U54" s="1325"/>
      <c r="V54" s="1325"/>
      <c r="W54" s="1325"/>
      <c r="X54" s="1325"/>
      <c r="Y54" s="1325"/>
      <c r="Z54" s="1325"/>
      <c r="AA54" s="1325"/>
      <c r="AB54" s="1325"/>
      <c r="AC54" s="1325"/>
      <c r="AD54" s="1325"/>
      <c r="AE54" s="1325"/>
      <c r="AF54" s="1325"/>
      <c r="AG54" s="1325"/>
      <c r="AH54" s="1325"/>
      <c r="AI54" s="1325"/>
      <c r="AJ54" s="1325"/>
      <c r="AK54" s="1325"/>
      <c r="AL54" s="1325"/>
      <c r="AM54" s="1325"/>
      <c r="AN54" s="1325"/>
      <c r="AO54" s="1325"/>
      <c r="AP54" s="1325"/>
      <c r="AQ54" s="1325"/>
      <c r="AR54" s="1325"/>
      <c r="AS54" s="5247"/>
      <c r="AT54" s="1325"/>
      <c r="AU54" s="1325"/>
      <c r="AW54" s="790"/>
      <c r="AX54" s="790" t="str">
        <f>IF(T54="","",T54)</f>
        <v>Добавить источник для дифференциации</v>
      </c>
      <c r="AY54" s="790"/>
      <c r="AZ54" s="790"/>
      <c r="BA54" s="519">
        <v>1</v>
      </c>
    </row>
    <row s="1643" customFormat="1" customHeight="1" ht="1.05">
      <c r="A55" s="1344" t="s">
        <v>173</v>
      </c>
      <c r="B55" s="1344" t="s">
        <v>174</v>
      </c>
      <c r="C55" s="1315"/>
      <c r="D55" s="1315"/>
      <c r="E55" s="2260"/>
      <c r="F55" s="2259"/>
      <c r="G55" s="1315"/>
      <c r="H55" s="1315"/>
      <c r="I55" s="1315"/>
      <c r="J55" s="1315"/>
      <c r="K55" s="1315"/>
      <c r="L55" s="1340"/>
      <c r="M55" s="1322"/>
      <c r="N55" s="1322"/>
      <c r="P55" s="1317"/>
      <c r="Q55" s="1318"/>
      <c r="R55" s="1317"/>
      <c r="S55" s="1323"/>
      <c r="T55" s="1326" t="s">
        <v>178</v>
      </c>
      <c r="U55" s="1325"/>
      <c r="V55" s="1325"/>
      <c r="W55" s="1325"/>
      <c r="X55" s="1325"/>
      <c r="Y55" s="1325"/>
      <c r="Z55" s="1325"/>
      <c r="AA55" s="1325"/>
      <c r="AB55" s="1325"/>
      <c r="AC55" s="1325"/>
      <c r="AD55" s="1325"/>
      <c r="AE55" s="1325"/>
      <c r="AF55" s="1325"/>
      <c r="AG55" s="1325"/>
      <c r="AH55" s="1325"/>
      <c r="AI55" s="1325"/>
      <c r="AJ55" s="1325"/>
      <c r="AK55" s="1325"/>
      <c r="AL55" s="1325"/>
      <c r="AM55" s="1325"/>
      <c r="AN55" s="1325"/>
      <c r="AO55" s="1325"/>
      <c r="AP55" s="1325"/>
      <c r="AQ55" s="1325"/>
      <c r="AR55" s="1325"/>
      <c r="AS55" s="5247"/>
      <c r="AT55" s="1325"/>
      <c r="AU55" s="1325"/>
      <c r="AW55" s="790"/>
      <c r="AX55" s="790" t="str">
        <f>IF(T55="","",T55)</f>
        <v>Добавить централизованную систему для дифференциации</v>
      </c>
      <c r="AY55" s="790"/>
      <c r="AZ55" s="790"/>
      <c r="BA55" s="519">
        <v>1</v>
      </c>
    </row>
    <row s="1851" customFormat="1" customHeight="1" ht="21">
      <c r="A56" s="1364"/>
      <c r="B56" s="1364" t="s">
        <v>180</v>
      </c>
      <c r="C56" s="1364"/>
      <c r="D56" s="1364"/>
      <c r="E56" s="2260"/>
      <c r="F56" s="2259" t="s">
        <v>107</v>
      </c>
      <c r="G56" s="1364"/>
      <c r="H56" s="1364"/>
      <c r="I56" s="1364"/>
      <c r="J56" s="1364"/>
      <c r="K56" s="1364"/>
      <c r="L56" s="1370"/>
      <c r="M56" s="1366"/>
      <c r="N56" s="1366"/>
      <c r="O56" s="1366"/>
      <c r="P56" s="2126"/>
      <c r="Q56" s="353"/>
      <c r="R56" s="354"/>
      <c r="S56" s="2274" t="str">
        <f>INDEX(PT_DIFFERENTIATION_NUM_TER,MATCH(B56,PT_DIFFERENTIATION_TER_ID,0))</f>
        <v>1.2</v>
      </c>
      <c r="T56" s="1523" t="s">
        <v>527</v>
      </c>
      <c r="U56" s="301"/>
      <c r="V56" s="2243"/>
      <c r="W56" s="2244"/>
      <c r="X56" s="2244"/>
      <c r="Y56" s="2244"/>
      <c r="Z56" s="2244"/>
      <c r="AA56" s="2244"/>
      <c r="AB56" s="2244"/>
      <c r="AC56" s="2245"/>
      <c r="AD56" s="2243" t="str">
        <f>INDEX(PT_DIFFERENTIATION_TER,MATCH(B56,PT_DIFFERENTIATION_TER_ID,0))</f>
        <v>Территория 2</v>
      </c>
      <c r="AE56" s="2244"/>
      <c r="AF56" s="2244"/>
      <c r="AG56" s="2244"/>
      <c r="AH56" s="2244"/>
      <c r="AI56" s="2244"/>
      <c r="AJ56" s="2244"/>
      <c r="AK56" s="2244"/>
      <c r="AL56" s="2243"/>
      <c r="AM56" s="2244"/>
      <c r="AN56" s="2244"/>
      <c r="AO56" s="2244"/>
      <c r="AP56" s="2244"/>
      <c r="AQ56" s="2244"/>
      <c r="AR56" s="2244"/>
      <c r="AS56" s="5240"/>
      <c r="AT56" s="2245"/>
      <c r="AU56" s="1259" t="s">
        <v>528</v>
      </c>
      <c r="AV56" s="1643"/>
      <c r="AW56" s="1625"/>
      <c r="AX56" s="1625" t="str">
        <f>IF(T56="","",T56)</f>
        <v>Территория действия тарифа</v>
      </c>
      <c r="AY56" s="1625"/>
      <c r="AZ56" s="1625"/>
      <c r="BA56" s="1636">
        <v>0</v>
      </c>
    </row>
    <row s="1851" customFormat="1" customHeight="1" ht="23.25">
      <c r="A57" s="1364"/>
      <c r="B57" s="1364"/>
      <c r="C57" s="1364" t="s">
        <v>181</v>
      </c>
      <c r="D57" s="1364"/>
      <c r="E57" s="2260"/>
      <c r="F57" s="2260">
        <v>1</v>
      </c>
      <c r="G57" s="2259">
        <v>1</v>
      </c>
      <c r="H57" s="1364"/>
      <c r="I57" s="1364"/>
      <c r="J57" s="1364"/>
      <c r="K57" s="1364"/>
      <c r="L57" s="1370"/>
      <c r="M57" s="1366"/>
      <c r="N57" s="1366"/>
      <c r="O57" s="1366"/>
      <c r="P57" s="355"/>
      <c r="Q57" s="353"/>
      <c r="R57" s="354"/>
      <c r="S57" s="2274" t="str">
        <f>INDEX(PT_DIFFERENTIATION_NUM_CS,MATCH(C57,PT_DIFFERENTIATION_CS_ID,0))</f>
        <v>1.2.1</v>
      </c>
      <c r="T57" s="310" t="s">
        <v>529</v>
      </c>
      <c r="U57" s="301"/>
      <c r="V57" s="2243"/>
      <c r="W57" s="2244"/>
      <c r="X57" s="2244"/>
      <c r="Y57" s="2244"/>
      <c r="Z57" s="2244"/>
      <c r="AA57" s="2244"/>
      <c r="AB57" s="2244"/>
      <c r="AC57" s="2245"/>
      <c r="AD57" s="2243" t="str">
        <f>INDEX(PT_DIFFERENTIATION_CS,MATCH(C57,PT_DIFFERENTIATION_CS_ID,0))</f>
        <v>открытая система теплоснабжения г. Кировск</v>
      </c>
      <c r="AE57" s="2244"/>
      <c r="AF57" s="2244"/>
      <c r="AG57" s="2244"/>
      <c r="AH57" s="2244"/>
      <c r="AI57" s="2244"/>
      <c r="AJ57" s="2244"/>
      <c r="AK57" s="2244"/>
      <c r="AL57" s="2243"/>
      <c r="AM57" s="2244"/>
      <c r="AN57" s="2244"/>
      <c r="AO57" s="2244"/>
      <c r="AP57" s="2244"/>
      <c r="AQ57" s="2244"/>
      <c r="AR57" s="2244"/>
      <c r="AS57" s="5240"/>
      <c r="AT57" s="2245"/>
      <c r="AU57" s="1259" t="s">
        <v>530</v>
      </c>
      <c r="AV57" s="1643"/>
      <c r="AW57" s="1625"/>
      <c r="AX57" s="1625" t="str">
        <f>IF(T57="","",T57)</f>
        <v>Наименование системы теплоснабжения </v>
      </c>
      <c r="AY57" s="1625"/>
      <c r="AZ57" s="1625"/>
      <c r="BA57" s="1636">
        <v>0</v>
      </c>
    </row>
    <row s="1851" customFormat="1" customHeight="1" ht="21">
      <c r="A58" s="1364"/>
      <c r="B58" s="1364"/>
      <c r="C58" s="1364"/>
      <c r="D58" s="1364" t="s">
        <v>182</v>
      </c>
      <c r="E58" s="2260"/>
      <c r="F58" s="2260">
        <v>1</v>
      </c>
      <c r="G58" s="2260"/>
      <c r="H58" s="2259">
        <v>1</v>
      </c>
      <c r="I58" s="1364"/>
      <c r="J58" s="1364"/>
      <c r="K58" s="1364"/>
      <c r="L58" s="1370"/>
      <c r="M58" s="1366"/>
      <c r="N58" s="1366"/>
      <c r="O58" s="1366"/>
      <c r="P58" s="355"/>
      <c r="Q58" s="353"/>
      <c r="R58" s="354"/>
      <c r="S58" s="2274" t="str">
        <f>INDEX(PT_DIFFERENTIATION_NUM_IST_TE,MATCH(D58,PT_DIFFERENTIATION_IST_TE_ID,0))</f>
        <v>1.2.1.1</v>
      </c>
      <c r="T58" s="311" t="s">
        <v>531</v>
      </c>
      <c r="U58" s="301"/>
      <c r="V58" s="2243"/>
      <c r="W58" s="2244"/>
      <c r="X58" s="2244"/>
      <c r="Y58" s="2244"/>
      <c r="Z58" s="2244"/>
      <c r="AA58" s="2244"/>
      <c r="AB58" s="2244"/>
      <c r="AC58" s="2245"/>
      <c r="AD58" s="2243" t="str">
        <f>INDEX(PT_DIFFERENTIATION_IST_TE,MATCH(D58,PT_DIFFERENTIATION_IST_TE_ID,0))</f>
        <v>Апатитская ТЭЦ</v>
      </c>
      <c r="AE58" s="2244"/>
      <c r="AF58" s="2244"/>
      <c r="AG58" s="2244"/>
      <c r="AH58" s="2244"/>
      <c r="AI58" s="2244"/>
      <c r="AJ58" s="2244"/>
      <c r="AK58" s="2244"/>
      <c r="AL58" s="2243"/>
      <c r="AM58" s="2244"/>
      <c r="AN58" s="2244"/>
      <c r="AO58" s="2244"/>
      <c r="AP58" s="2244"/>
      <c r="AQ58" s="2244"/>
      <c r="AR58" s="2244"/>
      <c r="AS58" s="5240"/>
      <c r="AT58" s="2245"/>
      <c r="AU58" s="1259" t="s">
        <v>532</v>
      </c>
      <c r="AV58" s="1643"/>
      <c r="AW58" s="1625"/>
      <c r="AX58" s="1625" t="str">
        <f>IF(T58="","",T58)</f>
        <v>Источник тепловой энергии  </v>
      </c>
      <c r="AY58" s="1625"/>
      <c r="AZ58" s="1625"/>
      <c r="BA58" s="1636">
        <v>0</v>
      </c>
    </row>
    <row s="1851" customFormat="1" customHeight="1" ht="47.25">
      <c r="A59" s="1364"/>
      <c r="B59" s="1364"/>
      <c r="C59" s="1364"/>
      <c r="D59" s="1364"/>
      <c r="E59" s="2260"/>
      <c r="F59" s="2260">
        <v>1</v>
      </c>
      <c r="G59" s="2260"/>
      <c r="H59" s="2260"/>
      <c r="I59" s="2257" t="str">
        <f>S58&amp;".1"</f>
        <v>1.2.1.1.1</v>
      </c>
      <c r="J59" s="1364"/>
      <c r="K59" s="1364"/>
      <c r="L59" s="1370" t="s">
        <v>533</v>
      </c>
      <c r="M59" s="1367"/>
      <c r="N59" s="1777"/>
      <c r="O59" s="1777"/>
      <c r="P59" s="2375">
        <v>1</v>
      </c>
      <c r="Q59" s="2375"/>
      <c r="R59" s="357"/>
      <c r="S59" s="2274" t="str">
        <f>$I59</f>
        <v>1.2.1.1.1</v>
      </c>
      <c r="T59" s="286" t="s">
        <v>534</v>
      </c>
      <c r="U59" s="301"/>
      <c r="V59" s="2246"/>
      <c r="W59" s="2247"/>
      <c r="X59" s="2247"/>
      <c r="Y59" s="2247"/>
      <c r="Z59" s="2247"/>
      <c r="AA59" s="2247"/>
      <c r="AB59" s="2247"/>
      <c r="AC59" s="2248"/>
      <c r="AD59" s="2246" t="s">
        <v>575</v>
      </c>
      <c r="AE59" s="2247"/>
      <c r="AF59" s="2247"/>
      <c r="AG59" s="2247"/>
      <c r="AH59" s="2247"/>
      <c r="AI59" s="2247"/>
      <c r="AJ59" s="2247"/>
      <c r="AK59" s="2247"/>
      <c r="AL59" s="2246"/>
      <c r="AM59" s="2247"/>
      <c r="AN59" s="2247"/>
      <c r="AO59" s="2247"/>
      <c r="AP59" s="2247"/>
      <c r="AQ59" s="2247"/>
      <c r="AR59" s="2247"/>
      <c r="AS59" s="5241"/>
      <c r="AT59" s="2248"/>
      <c r="AU59" s="1259" t="s">
        <v>535</v>
      </c>
      <c r="AV59" s="1643"/>
      <c r="AW59" s="1625"/>
      <c r="AX59" s="1625" t="str">
        <f>IF(T59="","",T59)</f>
        <v>Схема подключения теплопотребляющей установки к коллектору источника тепловой энергии</v>
      </c>
      <c r="AY59" s="1625"/>
      <c r="AZ59" s="1625"/>
      <c r="BA59" s="1636">
        <v>0</v>
      </c>
    </row>
    <row s="1851" customFormat="1" customHeight="1" ht="21">
      <c r="A60" s="1364"/>
      <c r="B60" s="1364"/>
      <c r="C60" s="1364"/>
      <c r="D60" s="1364"/>
      <c r="E60" s="2260"/>
      <c r="F60" s="2260">
        <v>1</v>
      </c>
      <c r="G60" s="2260"/>
      <c r="H60" s="2260"/>
      <c r="I60" s="2287"/>
      <c r="J60" s="2257" t="str">
        <f>I59&amp;".1"</f>
        <v>1.2.1.1.1.1</v>
      </c>
      <c r="K60" s="1364"/>
      <c r="L60" s="1370" t="s">
        <v>536</v>
      </c>
      <c r="M60" s="1367"/>
      <c r="N60" s="1367"/>
      <c r="O60" s="1777"/>
      <c r="P60" s="2375"/>
      <c r="Q60" s="2375">
        <v>1</v>
      </c>
      <c r="R60" s="358"/>
      <c r="S60" s="2274" t="str">
        <f>$J60</f>
        <v>1.2.1.1.1.1</v>
      </c>
      <c r="T60" s="287" t="s">
        <v>537</v>
      </c>
      <c r="U60" s="301"/>
      <c r="V60" s="2246"/>
      <c r="W60" s="2247"/>
      <c r="X60" s="2247"/>
      <c r="Y60" s="2247"/>
      <c r="Z60" s="2247"/>
      <c r="AA60" s="2247"/>
      <c r="AB60" s="2247"/>
      <c r="AC60" s="2248"/>
      <c r="AD60" s="2246" t="s">
        <v>576</v>
      </c>
      <c r="AE60" s="2247"/>
      <c r="AF60" s="2247"/>
      <c r="AG60" s="2247"/>
      <c r="AH60" s="2247"/>
      <c r="AI60" s="2247"/>
      <c r="AJ60" s="2247"/>
      <c r="AK60" s="2247"/>
      <c r="AL60" s="2246"/>
      <c r="AM60" s="2247"/>
      <c r="AN60" s="2247"/>
      <c r="AO60" s="2247"/>
      <c r="AP60" s="2247"/>
      <c r="AQ60" s="2247"/>
      <c r="AR60" s="2247"/>
      <c r="AS60" s="5241"/>
      <c r="AT60" s="2248"/>
      <c r="AU60" s="1259" t="s">
        <v>538</v>
      </c>
      <c r="AV60" s="1643"/>
      <c r="AW60" s="1625"/>
      <c r="AX60" s="1625" t="str">
        <f>IF(T60="","",T60)</f>
        <v>Группа потребителей</v>
      </c>
      <c r="AY60" s="1625"/>
      <c r="AZ60" s="1625"/>
      <c r="BA60" s="1636">
        <v>0</v>
      </c>
    </row>
    <row s="1851" customFormat="1" customHeight="1" ht="21">
      <c r="A61" s="1364"/>
      <c r="B61" s="1364"/>
      <c r="C61" s="1364"/>
      <c r="D61" s="1364"/>
      <c r="E61" s="2260"/>
      <c r="F61" s="2260">
        <v>1</v>
      </c>
      <c r="G61" s="2260"/>
      <c r="H61" s="2260"/>
      <c r="I61" s="2287"/>
      <c r="J61" s="2287"/>
      <c r="K61" s="2257" t="str">
        <f>J60&amp;".1"</f>
        <v>1.2.1.1.1.1.1</v>
      </c>
      <c r="L61" s="1370" t="s">
        <v>539</v>
      </c>
      <c r="M61" s="1367"/>
      <c r="N61" s="1367"/>
      <c r="O61" s="1367"/>
      <c r="P61" s="2375"/>
      <c r="Q61" s="2375"/>
      <c r="R61" s="358">
        <v>1</v>
      </c>
      <c r="S61" s="2274" t="str">
        <f>$K61</f>
        <v>1.2.1.1.1.1.1</v>
      </c>
      <c r="T61" s="1348" t="s">
        <v>577</v>
      </c>
      <c r="U61" s="301"/>
      <c r="V61" s="752"/>
      <c r="W61" s="326"/>
      <c r="X61" s="752"/>
      <c r="Y61" s="1258"/>
      <c r="Z61" s="2603"/>
      <c r="AA61" s="2108" t="s">
        <v>65</v>
      </c>
      <c r="AB61" s="2603"/>
      <c r="AC61" s="2108" t="s">
        <v>65</v>
      </c>
      <c r="AD61" s="752">
        <v>2143.27</v>
      </c>
      <c r="AE61" s="326"/>
      <c r="AF61" s="752"/>
      <c r="AG61" s="1258"/>
      <c r="AH61" s="2603">
        <v>46023.55462962963</v>
      </c>
      <c r="AI61" s="2108" t="s">
        <v>65</v>
      </c>
      <c r="AJ61" s="2603">
        <v>46295.5546875</v>
      </c>
      <c r="AK61" s="2108" t="s">
        <v>65</v>
      </c>
      <c r="AL61" s="752">
        <v>2143.27</v>
      </c>
      <c r="AM61" s="326"/>
      <c r="AN61" s="752"/>
      <c r="AO61" s="1258"/>
      <c r="AP61" s="2603">
        <v>46296.55486111111</v>
      </c>
      <c r="AQ61" s="2108" t="s">
        <v>65</v>
      </c>
      <c r="AR61" s="2603">
        <v>46387.55494212963</v>
      </c>
      <c r="AS61" s="2108" t="s">
        <v>65</v>
      </c>
      <c r="AT61" s="326"/>
      <c r="AU61" s="2254" t="s">
        <v>540</v>
      </c>
      <c r="AV61" s="1643">
        <f>STRCHECKDATE(V62:AT62)</f>
      </c>
      <c r="AW61" s="1625"/>
      <c r="AX61" s="1625" t="str">
        <f>IF(T61="","",T61)</f>
        <v>вода</v>
      </c>
      <c r="AY61" s="1625"/>
      <c r="AZ61" s="1625"/>
      <c r="BA61" s="1636">
        <v>0</v>
      </c>
    </row>
    <row s="1851" customFormat="1" customHeight="1" ht="0.75">
      <c r="A62" s="1364"/>
      <c r="B62" s="1364"/>
      <c r="C62" s="1364"/>
      <c r="D62" s="1364"/>
      <c r="E62" s="2260"/>
      <c r="F62" s="2260">
        <v>1</v>
      </c>
      <c r="G62" s="2260"/>
      <c r="H62" s="2260"/>
      <c r="I62" s="2287"/>
      <c r="J62" s="2287"/>
      <c r="K62" s="2257"/>
      <c r="L62" s="1370"/>
      <c r="M62" s="1367"/>
      <c r="N62" s="1367"/>
      <c r="O62" s="1367"/>
      <c r="P62" s="2375"/>
      <c r="Q62" s="2375"/>
      <c r="R62" s="358"/>
      <c r="S62" s="2514"/>
      <c r="T62" s="301"/>
      <c r="U62" s="301"/>
      <c r="V62" s="326"/>
      <c r="W62" s="326"/>
      <c r="X62" s="326"/>
      <c r="Y62" s="329" t="str">
        <f>Z61&amp;"-"&amp;AB61</f>
        <v>-</v>
      </c>
      <c r="Z62" s="2310"/>
      <c r="AA62" s="2108"/>
      <c r="AB62" s="2310"/>
      <c r="AC62" s="2108"/>
      <c r="AD62" s="326"/>
      <c r="AE62" s="326"/>
      <c r="AF62" s="326"/>
      <c r="AG62" s="329" t="str">
        <f>AH61&amp;"-"&amp;AJ61</f>
        <v>46023.55462962963-46295.5546875</v>
      </c>
      <c r="AH62" s="2310"/>
      <c r="AI62" s="2108"/>
      <c r="AJ62" s="2310"/>
      <c r="AK62" s="2108"/>
      <c r="AL62" s="326"/>
      <c r="AM62" s="326"/>
      <c r="AN62" s="326"/>
      <c r="AO62" s="329" t="str">
        <f>AP61&amp;"-"&amp;AR61</f>
        <v>46296.55486111111-46387.55494212963</v>
      </c>
      <c r="AP62" s="2310"/>
      <c r="AQ62" s="2108"/>
      <c r="AR62" s="2310"/>
      <c r="AS62" s="2108"/>
      <c r="AT62" s="326"/>
      <c r="AU62" s="2255"/>
      <c r="AV62" s="1643"/>
      <c r="AW62" s="1625"/>
      <c r="AX62" s="1625" t="str">
        <f>IF(T62="","",T62)</f>
        <v/>
      </c>
      <c r="AY62" s="1625"/>
      <c r="AZ62" s="1625"/>
      <c r="BA62" s="1636">
        <v>0</v>
      </c>
    </row>
    <row s="1851" customFormat="1" customHeight="1" ht="15">
      <c r="A63" s="1364"/>
      <c r="B63" s="1364"/>
      <c r="C63" s="1364"/>
      <c r="D63" s="1364"/>
      <c r="E63" s="2260"/>
      <c r="F63" s="2260">
        <v>1</v>
      </c>
      <c r="G63" s="2260"/>
      <c r="H63" s="2260"/>
      <c r="I63" s="2287"/>
      <c r="J63" s="2257"/>
      <c r="K63" s="1364"/>
      <c r="L63" s="1370"/>
      <c r="M63" s="1367"/>
      <c r="N63" s="1367"/>
      <c r="O63" s="1777"/>
      <c r="P63" s="2375"/>
      <c r="Q63" s="2375"/>
      <c r="R63" s="357"/>
      <c r="S63" s="2889"/>
      <c r="T63" s="2890" t="s">
        <v>541</v>
      </c>
      <c r="U63" s="2891"/>
      <c r="V63" s="2892"/>
      <c r="W63" s="2893"/>
      <c r="X63" s="2894"/>
      <c r="Y63" s="2895"/>
      <c r="Z63" s="2896"/>
      <c r="AA63" s="2897"/>
      <c r="AB63" s="2898"/>
      <c r="AC63" s="2899"/>
      <c r="AD63" s="2900"/>
      <c r="AE63" s="2901"/>
      <c r="AF63" s="2902"/>
      <c r="AG63" s="2903"/>
      <c r="AH63" s="2904"/>
      <c r="AI63" s="2905"/>
      <c r="AJ63" s="2906"/>
      <c r="AK63" s="2907"/>
      <c r="AL63" s="2908"/>
      <c r="AM63" s="2909"/>
      <c r="AN63" s="2910"/>
      <c r="AO63" s="2911"/>
      <c r="AP63" s="2912"/>
      <c r="AQ63" s="2913"/>
      <c r="AR63" s="2914"/>
      <c r="AS63" s="5263"/>
      <c r="AT63" s="2916"/>
      <c r="AU63" s="2256"/>
      <c r="AV63" s="1643"/>
      <c r="AW63" s="1625"/>
      <c r="AX63" s="1625" t="str">
        <f>IF(T63="","",T63)</f>
        <v>Добавить вид теплоносителя (параметры теплоносителя)</v>
      </c>
      <c r="AY63" s="1625"/>
      <c r="AZ63" s="1625"/>
      <c r="BA63" s="1636">
        <v>0</v>
      </c>
    </row>
    <row s="1851" customFormat="1" customHeight="1" ht="15">
      <c r="A64" s="1364"/>
      <c r="B64" s="1364"/>
      <c r="C64" s="1364"/>
      <c r="D64" s="1364"/>
      <c r="E64" s="2260"/>
      <c r="F64" s="2260">
        <v>1</v>
      </c>
      <c r="G64" s="2260"/>
      <c r="H64" s="2260"/>
      <c r="I64" s="2257"/>
      <c r="J64" s="1364"/>
      <c r="K64" s="1364"/>
      <c r="L64" s="1370"/>
      <c r="M64" s="1367"/>
      <c r="N64" s="1777"/>
      <c r="O64" s="1777"/>
      <c r="P64" s="2375"/>
      <c r="Q64" s="2375"/>
      <c r="R64" s="357"/>
      <c r="S64" s="2917"/>
      <c r="T64" s="2918" t="s">
        <v>542</v>
      </c>
      <c r="U64" s="2919"/>
      <c r="V64" s="2920"/>
      <c r="W64" s="2921"/>
      <c r="X64" s="2922"/>
      <c r="Y64" s="2923"/>
      <c r="Z64" s="2924"/>
      <c r="AA64" s="2925"/>
      <c r="AB64" s="2926"/>
      <c r="AC64" s="2927"/>
      <c r="AD64" s="2928"/>
      <c r="AE64" s="2929"/>
      <c r="AF64" s="2930"/>
      <c r="AG64" s="2931"/>
      <c r="AH64" s="2932"/>
      <c r="AI64" s="2933"/>
      <c r="AJ64" s="2934"/>
      <c r="AK64" s="2935"/>
      <c r="AL64" s="2936"/>
      <c r="AM64" s="2937"/>
      <c r="AN64" s="2938"/>
      <c r="AO64" s="2939"/>
      <c r="AP64" s="2940"/>
      <c r="AQ64" s="2941"/>
      <c r="AR64" s="2942"/>
      <c r="AS64" s="5264"/>
      <c r="AT64" s="2944"/>
      <c r="AU64" s="2945"/>
      <c r="AV64" s="1643"/>
      <c r="AW64" s="1625"/>
      <c r="AX64" s="1625" t="str">
        <f>IF(T64="","",T64)</f>
        <v>Добавить группу потребителей</v>
      </c>
      <c r="AY64" s="1625"/>
      <c r="AZ64" s="1625"/>
      <c r="BA64" s="1636">
        <v>0</v>
      </c>
    </row>
    <row s="1851" customFormat="1" customHeight="1" ht="14.25">
      <c r="A65" s="1364"/>
      <c r="B65" s="1364"/>
      <c r="C65" s="1364"/>
      <c r="D65" s="1364"/>
      <c r="E65" s="2260"/>
      <c r="F65" s="2260">
        <v>1</v>
      </c>
      <c r="G65" s="2260"/>
      <c r="H65" s="2259"/>
      <c r="I65" s="1364"/>
      <c r="J65" s="1364"/>
      <c r="K65" s="1364"/>
      <c r="L65" s="1370"/>
      <c r="M65" s="1366"/>
      <c r="N65" s="1366"/>
      <c r="O65" s="1367"/>
      <c r="P65" s="1824"/>
      <c r="Q65" s="376"/>
      <c r="R65" s="356"/>
      <c r="S65" s="2946"/>
      <c r="T65" s="2947" t="s">
        <v>543</v>
      </c>
      <c r="U65" s="2948"/>
      <c r="V65" s="2949"/>
      <c r="W65" s="2950"/>
      <c r="X65" s="2951"/>
      <c r="Y65" s="2952"/>
      <c r="Z65" s="2953"/>
      <c r="AA65" s="2954"/>
      <c r="AB65" s="2955"/>
      <c r="AC65" s="2956"/>
      <c r="AD65" s="2957"/>
      <c r="AE65" s="2958"/>
      <c r="AF65" s="2959"/>
      <c r="AG65" s="2960"/>
      <c r="AH65" s="2961"/>
      <c r="AI65" s="2962"/>
      <c r="AJ65" s="2963"/>
      <c r="AK65" s="2964"/>
      <c r="AL65" s="2965"/>
      <c r="AM65" s="2966"/>
      <c r="AN65" s="2967"/>
      <c r="AO65" s="2968"/>
      <c r="AP65" s="2969"/>
      <c r="AQ65" s="2970"/>
      <c r="AR65" s="2971"/>
      <c r="AS65" s="5265"/>
      <c r="AT65" s="2973"/>
      <c r="AU65" s="2974"/>
      <c r="AV65" s="1643"/>
      <c r="AW65" s="1625"/>
      <c r="AX65" s="1625" t="str">
        <f>IF(T65="","",T65)</f>
        <v>Добавить схему подключения</v>
      </c>
      <c r="AY65" s="1625"/>
      <c r="AZ65" s="1625"/>
      <c r="BA65" s="1636">
        <v>0</v>
      </c>
    </row>
    <row s="623" customFormat="1" customHeight="1" ht="0.75">
      <c r="A66" s="1344"/>
      <c r="B66" s="1344"/>
      <c r="C66" s="1344"/>
      <c r="D66" s="1344"/>
      <c r="E66" s="2260"/>
      <c r="F66" s="2260">
        <v>1</v>
      </c>
      <c r="G66" s="2259"/>
      <c r="H66" s="1344"/>
      <c r="I66" s="1344"/>
      <c r="J66" s="1344"/>
      <c r="K66" s="1344"/>
      <c r="L66" s="1546"/>
      <c r="M66" s="1316"/>
      <c r="N66" s="1316"/>
      <c r="O66" s="1643"/>
      <c r="P66" s="1317"/>
      <c r="Q66" s="1345"/>
      <c r="R66" s="1317"/>
      <c r="S66" s="1319"/>
      <c r="T66" s="1320" t="s">
        <v>177</v>
      </c>
      <c r="U66" s="1321"/>
      <c r="V66" s="1321"/>
      <c r="W66" s="1321"/>
      <c r="X66" s="1321"/>
      <c r="Y66" s="1321"/>
      <c r="Z66" s="1321"/>
      <c r="AA66" s="1321"/>
      <c r="AB66" s="1321"/>
      <c r="AC66" s="1321"/>
      <c r="AD66" s="1321"/>
      <c r="AE66" s="1321"/>
      <c r="AF66" s="1321"/>
      <c r="AG66" s="1321"/>
      <c r="AH66" s="1321"/>
      <c r="AI66" s="1321"/>
      <c r="AJ66" s="1321"/>
      <c r="AK66" s="1321"/>
      <c r="AL66" s="1321"/>
      <c r="AM66" s="1321"/>
      <c r="AN66" s="1321"/>
      <c r="AO66" s="1321"/>
      <c r="AP66" s="1321"/>
      <c r="AQ66" s="1321"/>
      <c r="AR66" s="1321"/>
      <c r="AS66" s="1321"/>
      <c r="AT66" s="1321"/>
      <c r="AU66" s="1321"/>
      <c r="AV66" s="1643"/>
      <c r="AW66" s="1625"/>
      <c r="AX66" s="1625" t="str">
        <f>IF(T66="","",T66)</f>
        <v>Добавить источник для дифференциации</v>
      </c>
      <c r="AY66" s="1625"/>
      <c r="AZ66" s="1625"/>
      <c r="BA66" s="1643">
        <v>0</v>
      </c>
    </row>
    <row s="623" customFormat="1" customHeight="1" ht="0.75">
      <c r="A67" s="1344"/>
      <c r="B67" s="1344"/>
      <c r="C67" s="1344"/>
      <c r="D67" s="1344"/>
      <c r="E67" s="2260"/>
      <c r="F67" s="2259">
        <v>1</v>
      </c>
      <c r="G67" s="1344"/>
      <c r="H67" s="1344"/>
      <c r="I67" s="1344"/>
      <c r="J67" s="1344"/>
      <c r="K67" s="1344"/>
      <c r="L67" s="1546"/>
      <c r="M67" s="1322"/>
      <c r="N67" s="1322"/>
      <c r="O67" s="1643"/>
      <c r="P67" s="1317"/>
      <c r="Q67" s="1345"/>
      <c r="R67" s="1317"/>
      <c r="S67" s="1323"/>
      <c r="T67" s="1324" t="s">
        <v>178</v>
      </c>
      <c r="U67" s="1325"/>
      <c r="V67" s="1325"/>
      <c r="W67" s="1325"/>
      <c r="X67" s="1325"/>
      <c r="Y67" s="1325"/>
      <c r="Z67" s="1325"/>
      <c r="AA67" s="1325"/>
      <c r="AB67" s="1325"/>
      <c r="AC67" s="1325"/>
      <c r="AD67" s="1325"/>
      <c r="AE67" s="1325"/>
      <c r="AF67" s="1325"/>
      <c r="AG67" s="1325"/>
      <c r="AH67" s="1325"/>
      <c r="AI67" s="1325"/>
      <c r="AJ67" s="1325"/>
      <c r="AK67" s="1325"/>
      <c r="AL67" s="1325"/>
      <c r="AM67" s="1325"/>
      <c r="AN67" s="1325"/>
      <c r="AO67" s="1325"/>
      <c r="AP67" s="1325"/>
      <c r="AQ67" s="1325"/>
      <c r="AR67" s="1325"/>
      <c r="AS67" s="1325"/>
      <c r="AT67" s="1325"/>
      <c r="AU67" s="1325"/>
      <c r="AV67" s="1643"/>
      <c r="AW67" s="1625"/>
      <c r="AX67" s="1625" t="str">
        <f>IF(T67="","",T67)</f>
        <v>Добавить централизованную систему для дифференциации</v>
      </c>
      <c r="AY67" s="1625"/>
      <c r="AZ67" s="1625"/>
      <c r="BA67" s="1643">
        <v>0</v>
      </c>
    </row>
    <row s="1643" customFormat="1" customHeight="1" ht="1.05">
      <c r="A68" s="1344" t="s">
        <v>173</v>
      </c>
      <c r="B68" s="1344"/>
      <c r="C68" s="1344"/>
      <c r="D68" s="1344"/>
      <c r="E68" s="2259"/>
      <c r="F68" s="1344"/>
      <c r="G68" s="1344"/>
      <c r="H68" s="1344"/>
      <c r="I68" s="1344"/>
      <c r="J68" s="1344"/>
      <c r="K68" s="1344"/>
      <c r="L68" s="1347"/>
      <c r="M68" s="1322"/>
      <c r="N68" s="1322"/>
      <c r="O68" s="519"/>
      <c r="P68" s="381"/>
      <c r="Q68" s="1345"/>
      <c r="R68" s="381"/>
      <c r="S68" s="1323"/>
      <c r="T68" s="1326" t="s">
        <v>183</v>
      </c>
      <c r="U68" s="1325"/>
      <c r="V68" s="1325"/>
      <c r="W68" s="1325"/>
      <c r="X68" s="1325"/>
      <c r="Y68" s="1325"/>
      <c r="Z68" s="1325"/>
      <c r="AA68" s="1325"/>
      <c r="AB68" s="1325"/>
      <c r="AC68" s="1325"/>
      <c r="AD68" s="1325"/>
      <c r="AE68" s="1325"/>
      <c r="AF68" s="1325"/>
      <c r="AG68" s="1325"/>
      <c r="AH68" s="1325"/>
      <c r="AI68" s="1325"/>
      <c r="AJ68" s="1325"/>
      <c r="AK68" s="1325"/>
      <c r="AL68" s="1325"/>
      <c r="AM68" s="1325"/>
      <c r="AN68" s="1325"/>
      <c r="AO68" s="1325"/>
      <c r="AP68" s="1325"/>
      <c r="AQ68" s="1325"/>
      <c r="AR68" s="1325"/>
      <c r="AS68" s="5247"/>
      <c r="AT68" s="1325"/>
      <c r="AU68" s="1325"/>
      <c r="AW68" s="501"/>
      <c r="AX68" s="501" t="str">
        <f>IF(T68="","",T68)</f>
        <v>Добавить территорию для дифференциации</v>
      </c>
      <c r="AY68" s="501"/>
      <c r="AZ68" s="501"/>
      <c r="BA68" s="512">
        <v>1</v>
      </c>
    </row>
    <row s="1851" customFormat="1" customHeight="1" ht="21">
      <c r="A69" s="1364" t="s">
        <v>185</v>
      </c>
      <c r="B69" s="1364"/>
      <c r="C69" s="1364"/>
      <c r="D69" s="1364"/>
      <c r="E69" s="2259" t="s">
        <v>107</v>
      </c>
      <c r="F69" s="1364"/>
      <c r="G69" s="1364"/>
      <c r="H69" s="1364"/>
      <c r="I69" s="1364"/>
      <c r="J69" s="1364"/>
      <c r="K69" s="1364"/>
      <c r="L69" s="1370"/>
      <c r="M69" s="1366"/>
      <c r="N69" s="1366"/>
      <c r="O69" s="1366"/>
      <c r="P69" s="2398"/>
      <c r="Q69" s="1824"/>
      <c r="R69" s="356"/>
      <c r="S69" s="2274" t="str">
        <f>INDEX(PT_DIFFERENTIATION_NUM_NTAR,MATCH(A69,PT_DIFFERENTIATION_NTAR_ID,0))</f>
        <v>2</v>
      </c>
      <c r="T69" s="1526" t="s">
        <v>136</v>
      </c>
      <c r="U69" s="301"/>
      <c r="V69" s="2243"/>
      <c r="W69" s="2244"/>
      <c r="X69" s="2244"/>
      <c r="Y69" s="2244"/>
      <c r="Z69" s="2244"/>
      <c r="AA69" s="2244"/>
      <c r="AB69" s="2244"/>
      <c r="AC69" s="2245"/>
      <c r="AD69" s="2243" t="str">
        <f>INDEX(PT_DIFFERENTIATION_NTAR,MATCH(A69,PT_DIFFERENTIATION_NTAR_ID,0))</f>
        <v>Льготные тарифы на тепловую энергию, поставляемую группе потребителей "население". Для потребителей, в случае отсутствия дифференциации тарифов по схеме подключения. Муниципальный округ город Апатиты с подведомственной территорией Мурманской области</v>
      </c>
      <c r="AE69" s="2244"/>
      <c r="AF69" s="2244"/>
      <c r="AG69" s="2244"/>
      <c r="AH69" s="2244"/>
      <c r="AI69" s="2244"/>
      <c r="AJ69" s="2244"/>
      <c r="AK69" s="2244"/>
      <c r="AL69" s="2243"/>
      <c r="AM69" s="2244"/>
      <c r="AN69" s="2244"/>
      <c r="AO69" s="2244"/>
      <c r="AP69" s="2244"/>
      <c r="AQ69" s="2244"/>
      <c r="AR69" s="2244"/>
      <c r="AS69" s="5240"/>
      <c r="AT69" s="2245"/>
      <c r="AU69" s="1259" t="s">
        <v>526</v>
      </c>
      <c r="AV69" s="1643"/>
      <c r="AW69" s="1625"/>
      <c r="AX69" s="1625" t="str">
        <f>IF(T69="","",T69)</f>
        <v>Наименование тарифа</v>
      </c>
      <c r="AY69" s="1625"/>
      <c r="AZ69" s="1625"/>
      <c r="BA69" s="1636">
        <v>0</v>
      </c>
    </row>
    <row s="1851" customFormat="1" customHeight="1" ht="21">
      <c r="A70" s="1364"/>
      <c r="B70" s="1364" t="s">
        <v>186</v>
      </c>
      <c r="C70" s="1364"/>
      <c r="D70" s="1364"/>
      <c r="E70" s="2260">
        <v>1</v>
      </c>
      <c r="F70" s="2259">
        <v>1</v>
      </c>
      <c r="G70" s="1364"/>
      <c r="H70" s="1364"/>
      <c r="I70" s="1364"/>
      <c r="J70" s="1364"/>
      <c r="K70" s="1364"/>
      <c r="L70" s="1370"/>
      <c r="M70" s="1366"/>
      <c r="N70" s="1366"/>
      <c r="O70" s="1366"/>
      <c r="P70" s="2126"/>
      <c r="Q70" s="353"/>
      <c r="R70" s="354"/>
      <c r="S70" s="2274" t="str">
        <f>INDEX(PT_DIFFERENTIATION_NUM_TER,MATCH(B70,PT_DIFFERENTIATION_TER_ID,0))</f>
        <v>2.1</v>
      </c>
      <c r="T70" s="1523" t="s">
        <v>527</v>
      </c>
      <c r="U70" s="301"/>
      <c r="V70" s="2243"/>
      <c r="W70" s="2244"/>
      <c r="X70" s="2244"/>
      <c r="Y70" s="2244"/>
      <c r="Z70" s="2244"/>
      <c r="AA70" s="2244"/>
      <c r="AB70" s="2244"/>
      <c r="AC70" s="2245"/>
      <c r="AD70" s="2243" t="str">
        <f>INDEX(PT_DIFFERENTIATION_TER,MATCH(B70,PT_DIFFERENTIATION_TER_ID,0))</f>
        <v>Территория 1</v>
      </c>
      <c r="AE70" s="2244"/>
      <c r="AF70" s="2244"/>
      <c r="AG70" s="2244"/>
      <c r="AH70" s="2244"/>
      <c r="AI70" s="2244"/>
      <c r="AJ70" s="2244"/>
      <c r="AK70" s="2244"/>
      <c r="AL70" s="2243"/>
      <c r="AM70" s="2244"/>
      <c r="AN70" s="2244"/>
      <c r="AO70" s="2244"/>
      <c r="AP70" s="2244"/>
      <c r="AQ70" s="2244"/>
      <c r="AR70" s="2244"/>
      <c r="AS70" s="5240"/>
      <c r="AT70" s="2245"/>
      <c r="AU70" s="1259" t="s">
        <v>528</v>
      </c>
      <c r="AV70" s="1643"/>
      <c r="AW70" s="1625"/>
      <c r="AX70" s="1625" t="str">
        <f>IF(T70="","",T70)</f>
        <v>Территория действия тарифа</v>
      </c>
      <c r="AY70" s="1625"/>
      <c r="AZ70" s="1625"/>
      <c r="BA70" s="1636">
        <v>0</v>
      </c>
    </row>
    <row s="1851" customFormat="1" customHeight="1" ht="23.25">
      <c r="A71" s="1364"/>
      <c r="B71" s="1364"/>
      <c r="C71" s="1364" t="s">
        <v>187</v>
      </c>
      <c r="D71" s="1364"/>
      <c r="E71" s="2260">
        <v>1</v>
      </c>
      <c r="F71" s="2260"/>
      <c r="G71" s="2259">
        <v>1</v>
      </c>
      <c r="H71" s="1364"/>
      <c r="I71" s="1364"/>
      <c r="J71" s="1364"/>
      <c r="K71" s="1364"/>
      <c r="L71" s="1370"/>
      <c r="M71" s="1366"/>
      <c r="N71" s="1366"/>
      <c r="O71" s="1366"/>
      <c r="P71" s="355"/>
      <c r="Q71" s="353"/>
      <c r="R71" s="354"/>
      <c r="S71" s="2274" t="str">
        <f>INDEX(PT_DIFFERENTIATION_NUM_CS,MATCH(C71,PT_DIFFERENTIATION_CS_ID,0))</f>
        <v>2.1.1</v>
      </c>
      <c r="T71" s="310" t="s">
        <v>529</v>
      </c>
      <c r="U71" s="301"/>
      <c r="V71" s="2243"/>
      <c r="W71" s="2244"/>
      <c r="X71" s="2244"/>
      <c r="Y71" s="2244"/>
      <c r="Z71" s="2244"/>
      <c r="AA71" s="2244"/>
      <c r="AB71" s="2244"/>
      <c r="AC71" s="2245"/>
      <c r="AD71" s="2243" t="str">
        <f>INDEX(PT_DIFFERENTIATION_CS,MATCH(C71,PT_DIFFERENTIATION_CS_ID,0))</f>
        <v>открытая система теплоснабжения г. Апатиты</v>
      </c>
      <c r="AE71" s="2244"/>
      <c r="AF71" s="2244"/>
      <c r="AG71" s="2244"/>
      <c r="AH71" s="2244"/>
      <c r="AI71" s="2244"/>
      <c r="AJ71" s="2244"/>
      <c r="AK71" s="2244"/>
      <c r="AL71" s="2243"/>
      <c r="AM71" s="2244"/>
      <c r="AN71" s="2244"/>
      <c r="AO71" s="2244"/>
      <c r="AP71" s="2244"/>
      <c r="AQ71" s="2244"/>
      <c r="AR71" s="2244"/>
      <c r="AS71" s="5240"/>
      <c r="AT71" s="2245"/>
      <c r="AU71" s="1259" t="s">
        <v>530</v>
      </c>
      <c r="AV71" s="1643"/>
      <c r="AW71" s="1625"/>
      <c r="AX71" s="1625" t="str">
        <f>IF(T71="","",T71)</f>
        <v>Наименование системы теплоснабжения </v>
      </c>
      <c r="AY71" s="1625"/>
      <c r="AZ71" s="1625"/>
      <c r="BA71" s="1636">
        <v>0</v>
      </c>
    </row>
    <row s="1851" customFormat="1" customHeight="1" ht="21">
      <c r="A72" s="1364"/>
      <c r="B72" s="1364"/>
      <c r="C72" s="1364"/>
      <c r="D72" s="1364" t="s">
        <v>188</v>
      </c>
      <c r="E72" s="2260">
        <v>1</v>
      </c>
      <c r="F72" s="2260"/>
      <c r="G72" s="2260"/>
      <c r="H72" s="2259">
        <v>1</v>
      </c>
      <c r="I72" s="1364"/>
      <c r="J72" s="1364"/>
      <c r="K72" s="1364"/>
      <c r="L72" s="1370"/>
      <c r="M72" s="1366"/>
      <c r="N72" s="1366"/>
      <c r="O72" s="1366"/>
      <c r="P72" s="355"/>
      <c r="Q72" s="353"/>
      <c r="R72" s="354"/>
      <c r="S72" s="2274" t="str">
        <f>INDEX(PT_DIFFERENTIATION_NUM_IST_TE,MATCH(D72,PT_DIFFERENTIATION_IST_TE_ID,0))</f>
        <v>2.1.1.1</v>
      </c>
      <c r="T72" s="311" t="s">
        <v>531</v>
      </c>
      <c r="U72" s="301"/>
      <c r="V72" s="2243"/>
      <c r="W72" s="2244"/>
      <c r="X72" s="2244"/>
      <c r="Y72" s="2244"/>
      <c r="Z72" s="2244"/>
      <c r="AA72" s="2244"/>
      <c r="AB72" s="2244"/>
      <c r="AC72" s="2245"/>
      <c r="AD72" s="2243" t="str">
        <f>INDEX(PT_DIFFERENTIATION_IST_TE,MATCH(D72,PT_DIFFERENTIATION_IST_TE_ID,0))</f>
        <v>Апатитская ТЭЦ</v>
      </c>
      <c r="AE72" s="2244"/>
      <c r="AF72" s="2244"/>
      <c r="AG72" s="2244"/>
      <c r="AH72" s="2244"/>
      <c r="AI72" s="2244"/>
      <c r="AJ72" s="2244"/>
      <c r="AK72" s="2244"/>
      <c r="AL72" s="2243"/>
      <c r="AM72" s="2244"/>
      <c r="AN72" s="2244"/>
      <c r="AO72" s="2244"/>
      <c r="AP72" s="2244"/>
      <c r="AQ72" s="2244"/>
      <c r="AR72" s="2244"/>
      <c r="AS72" s="5240"/>
      <c r="AT72" s="2245"/>
      <c r="AU72" s="1259" t="s">
        <v>532</v>
      </c>
      <c r="AV72" s="1643"/>
      <c r="AW72" s="1625"/>
      <c r="AX72" s="1625" t="str">
        <f>IF(T72="","",T72)</f>
        <v>Источник тепловой энергии  </v>
      </c>
      <c r="AY72" s="1625"/>
      <c r="AZ72" s="1625"/>
      <c r="BA72" s="1636">
        <v>0</v>
      </c>
    </row>
    <row s="1851" customFormat="1" customHeight="1" ht="47.25">
      <c r="A73" s="1364"/>
      <c r="B73" s="1364"/>
      <c r="C73" s="1364"/>
      <c r="D73" s="1364"/>
      <c r="E73" s="2260">
        <v>1</v>
      </c>
      <c r="F73" s="2260"/>
      <c r="G73" s="2260"/>
      <c r="H73" s="2260"/>
      <c r="I73" s="2257" t="str">
        <f>S72&amp;".1"</f>
        <v>2.1.1.1.1</v>
      </c>
      <c r="J73" s="1364"/>
      <c r="K73" s="1364"/>
      <c r="L73" s="1370" t="s">
        <v>533</v>
      </c>
      <c r="M73" s="1367"/>
      <c r="N73" s="1777"/>
      <c r="O73" s="1777"/>
      <c r="P73" s="2375">
        <v>1</v>
      </c>
      <c r="Q73" s="2375"/>
      <c r="R73" s="357"/>
      <c r="S73" s="2274" t="str">
        <f>$I73</f>
        <v>2.1.1.1.1</v>
      </c>
      <c r="T73" s="286" t="s">
        <v>534</v>
      </c>
      <c r="U73" s="301"/>
      <c r="V73" s="2246"/>
      <c r="W73" s="2247"/>
      <c r="X73" s="2247"/>
      <c r="Y73" s="2247"/>
      <c r="Z73" s="2247"/>
      <c r="AA73" s="2247"/>
      <c r="AB73" s="2247"/>
      <c r="AC73" s="2248"/>
      <c r="AD73" s="2246" t="s">
        <v>576</v>
      </c>
      <c r="AE73" s="2247"/>
      <c r="AF73" s="2247"/>
      <c r="AG73" s="2247"/>
      <c r="AH73" s="2247"/>
      <c r="AI73" s="2247"/>
      <c r="AJ73" s="2247"/>
      <c r="AK73" s="2247"/>
      <c r="AL73" s="2246"/>
      <c r="AM73" s="2247"/>
      <c r="AN73" s="2247"/>
      <c r="AO73" s="2247"/>
      <c r="AP73" s="2247"/>
      <c r="AQ73" s="2247"/>
      <c r="AR73" s="2247"/>
      <c r="AS73" s="5241"/>
      <c r="AT73" s="2248"/>
      <c r="AU73" s="1259" t="s">
        <v>535</v>
      </c>
      <c r="AV73" s="1643"/>
      <c r="AW73" s="1625"/>
      <c r="AX73" s="1625" t="str">
        <f>IF(T73="","",T73)</f>
        <v>Схема подключения теплопотребляющей установки к коллектору источника тепловой энергии</v>
      </c>
      <c r="AY73" s="1625"/>
      <c r="AZ73" s="1625"/>
      <c r="BA73" s="1636">
        <v>0</v>
      </c>
    </row>
    <row s="1851" customFormat="1" customHeight="1" ht="21">
      <c r="A74" s="1364"/>
      <c r="B74" s="1364"/>
      <c r="C74" s="1364"/>
      <c r="D74" s="1364"/>
      <c r="E74" s="2260">
        <v>1</v>
      </c>
      <c r="F74" s="2260"/>
      <c r="G74" s="2260"/>
      <c r="H74" s="2260"/>
      <c r="I74" s="2287"/>
      <c r="J74" s="2257" t="str">
        <f>I73&amp;".1"</f>
        <v>2.1.1.1.1.1</v>
      </c>
      <c r="K74" s="1364"/>
      <c r="L74" s="1370" t="s">
        <v>536</v>
      </c>
      <c r="M74" s="1367"/>
      <c r="N74" s="1367"/>
      <c r="O74" s="1777"/>
      <c r="P74" s="2375"/>
      <c r="Q74" s="2375">
        <v>1</v>
      </c>
      <c r="R74" s="358"/>
      <c r="S74" s="2274" t="str">
        <f>$J74</f>
        <v>2.1.1.1.1.1</v>
      </c>
      <c r="T74" s="287" t="s">
        <v>537</v>
      </c>
      <c r="U74" s="301"/>
      <c r="V74" s="2246"/>
      <c r="W74" s="2247"/>
      <c r="X74" s="2247"/>
      <c r="Y74" s="2247"/>
      <c r="Z74" s="2247"/>
      <c r="AA74" s="2247"/>
      <c r="AB74" s="2247"/>
      <c r="AC74" s="2248"/>
      <c r="AD74" s="2246" t="s">
        <v>578</v>
      </c>
      <c r="AE74" s="2247"/>
      <c r="AF74" s="2247"/>
      <c r="AG74" s="2247"/>
      <c r="AH74" s="2247"/>
      <c r="AI74" s="2247"/>
      <c r="AJ74" s="2247"/>
      <c r="AK74" s="2247"/>
      <c r="AL74" s="2246"/>
      <c r="AM74" s="2247"/>
      <c r="AN74" s="2247"/>
      <c r="AO74" s="2247"/>
      <c r="AP74" s="2247"/>
      <c r="AQ74" s="2247"/>
      <c r="AR74" s="2247"/>
      <c r="AS74" s="5241"/>
      <c r="AT74" s="2248"/>
      <c r="AU74" s="1259" t="s">
        <v>538</v>
      </c>
      <c r="AV74" s="1643"/>
      <c r="AW74" s="1625"/>
      <c r="AX74" s="1625" t="str">
        <f>IF(T74="","",T74)</f>
        <v>Группа потребителей</v>
      </c>
      <c r="AY74" s="1625"/>
      <c r="AZ74" s="1625"/>
      <c r="BA74" s="1636">
        <v>0</v>
      </c>
    </row>
    <row s="1851" customFormat="1" customHeight="1" ht="21">
      <c r="A75" s="1364"/>
      <c r="B75" s="1364"/>
      <c r="C75" s="1364"/>
      <c r="D75" s="1364"/>
      <c r="E75" s="2260">
        <v>1</v>
      </c>
      <c r="F75" s="2260"/>
      <c r="G75" s="2260"/>
      <c r="H75" s="2260"/>
      <c r="I75" s="2287"/>
      <c r="J75" s="2287"/>
      <c r="K75" s="2257" t="str">
        <f>J74&amp;".1"</f>
        <v>2.1.1.1.1.1.1</v>
      </c>
      <c r="L75" s="1370" t="s">
        <v>539</v>
      </c>
      <c r="M75" s="1367"/>
      <c r="N75" s="1367"/>
      <c r="O75" s="1367"/>
      <c r="P75" s="2375"/>
      <c r="Q75" s="2375"/>
      <c r="R75" s="358">
        <v>1</v>
      </c>
      <c r="S75" s="2274" t="str">
        <f>$K75</f>
        <v>2.1.1.1.1.1.1</v>
      </c>
      <c r="T75" s="1348" t="s">
        <v>577</v>
      </c>
      <c r="U75" s="301"/>
      <c r="V75" s="752"/>
      <c r="W75" s="326"/>
      <c r="X75" s="752"/>
      <c r="Y75" s="1258"/>
      <c r="Z75" s="2603"/>
      <c r="AA75" s="2108" t="s">
        <v>65</v>
      </c>
      <c r="AB75" s="2603"/>
      <c r="AC75" s="2108" t="s">
        <v>65</v>
      </c>
      <c r="AD75" s="752">
        <v>3633.01</v>
      </c>
      <c r="AE75" s="326"/>
      <c r="AF75" s="752"/>
      <c r="AG75" s="1258"/>
      <c r="AH75" s="2603">
        <v>46023</v>
      </c>
      <c r="AI75" s="2108" t="s">
        <v>65</v>
      </c>
      <c r="AJ75" s="2603">
        <v>46295</v>
      </c>
      <c r="AK75" s="2108" t="s">
        <v>65</v>
      </c>
      <c r="AL75" s="752">
        <v>4109.3</v>
      </c>
      <c r="AM75" s="326"/>
      <c r="AN75" s="752"/>
      <c r="AO75" s="1258"/>
      <c r="AP75" s="2603">
        <v>46296</v>
      </c>
      <c r="AQ75" s="2108" t="s">
        <v>65</v>
      </c>
      <c r="AR75" s="2603">
        <v>46387</v>
      </c>
      <c r="AS75" s="2108" t="s">
        <v>65</v>
      </c>
      <c r="AT75" s="326"/>
      <c r="AU75" s="2254" t="s">
        <v>540</v>
      </c>
      <c r="AV75" s="1643">
        <f>STRCHECKDATE(V76:AT76)</f>
      </c>
      <c r="AW75" s="1625"/>
      <c r="AX75" s="1625" t="str">
        <f>IF(T75="","",T75)</f>
        <v>вода</v>
      </c>
      <c r="AY75" s="1625"/>
      <c r="AZ75" s="1625"/>
      <c r="BA75" s="1636">
        <v>0</v>
      </c>
    </row>
    <row s="1851" customFormat="1" customHeight="1" ht="0.75">
      <c r="A76" s="1364"/>
      <c r="B76" s="1364"/>
      <c r="C76" s="1364"/>
      <c r="D76" s="1364"/>
      <c r="E76" s="2260">
        <v>1</v>
      </c>
      <c r="F76" s="2260"/>
      <c r="G76" s="2260"/>
      <c r="H76" s="2260"/>
      <c r="I76" s="2287"/>
      <c r="J76" s="2287"/>
      <c r="K76" s="2257"/>
      <c r="L76" s="1370"/>
      <c r="M76" s="1367"/>
      <c r="N76" s="1367"/>
      <c r="O76" s="1367"/>
      <c r="P76" s="2375"/>
      <c r="Q76" s="2375"/>
      <c r="R76" s="358"/>
      <c r="S76" s="2514"/>
      <c r="T76" s="301"/>
      <c r="U76" s="301"/>
      <c r="V76" s="326"/>
      <c r="W76" s="326"/>
      <c r="X76" s="326"/>
      <c r="Y76" s="329" t="str">
        <f>Z75&amp;"-"&amp;AB75</f>
        <v>-</v>
      </c>
      <c r="Z76" s="2310"/>
      <c r="AA76" s="2108"/>
      <c r="AB76" s="2310"/>
      <c r="AC76" s="2108"/>
      <c r="AD76" s="326"/>
      <c r="AE76" s="326"/>
      <c r="AF76" s="326"/>
      <c r="AG76" s="329" t="str">
        <f>AH75&amp;"-"&amp;AJ75</f>
        <v>46023-46295</v>
      </c>
      <c r="AH76" s="2310"/>
      <c r="AI76" s="2108"/>
      <c r="AJ76" s="2310"/>
      <c r="AK76" s="2108"/>
      <c r="AL76" s="326"/>
      <c r="AM76" s="326"/>
      <c r="AN76" s="326"/>
      <c r="AO76" s="329" t="str">
        <f>AP75&amp;"-"&amp;AR75</f>
        <v>46296-46387</v>
      </c>
      <c r="AP76" s="2310"/>
      <c r="AQ76" s="2108"/>
      <c r="AR76" s="2310"/>
      <c r="AS76" s="2108"/>
      <c r="AT76" s="326"/>
      <c r="AU76" s="2255"/>
      <c r="AV76" s="1643"/>
      <c r="AW76" s="1625"/>
      <c r="AX76" s="1625" t="str">
        <f>IF(T76="","",T76)</f>
        <v/>
      </c>
      <c r="AY76" s="1625"/>
      <c r="AZ76" s="1625"/>
      <c r="BA76" s="1636">
        <v>0</v>
      </c>
    </row>
    <row s="1851" customFormat="1" customHeight="1" ht="15">
      <c r="A77" s="1364"/>
      <c r="B77" s="1364"/>
      <c r="C77" s="1364"/>
      <c r="D77" s="1364"/>
      <c r="E77" s="2260">
        <v>1</v>
      </c>
      <c r="F77" s="2260"/>
      <c r="G77" s="2260"/>
      <c r="H77" s="2260"/>
      <c r="I77" s="2287"/>
      <c r="J77" s="2257"/>
      <c r="K77" s="1364"/>
      <c r="L77" s="1370"/>
      <c r="M77" s="1367"/>
      <c r="N77" s="1367"/>
      <c r="O77" s="1777"/>
      <c r="P77" s="2375"/>
      <c r="Q77" s="2375"/>
      <c r="R77" s="357"/>
      <c r="S77" s="2975"/>
      <c r="T77" s="2976" t="s">
        <v>541</v>
      </c>
      <c r="U77" s="2977"/>
      <c r="V77" s="2978"/>
      <c r="W77" s="2979"/>
      <c r="X77" s="2980"/>
      <c r="Y77" s="2981"/>
      <c r="Z77" s="2982"/>
      <c r="AA77" s="2983"/>
      <c r="AB77" s="2984"/>
      <c r="AC77" s="2985"/>
      <c r="AD77" s="2986"/>
      <c r="AE77" s="2987"/>
      <c r="AF77" s="2988"/>
      <c r="AG77" s="2989"/>
      <c r="AH77" s="2990"/>
      <c r="AI77" s="2991"/>
      <c r="AJ77" s="2992"/>
      <c r="AK77" s="2993"/>
      <c r="AL77" s="2994"/>
      <c r="AM77" s="2995"/>
      <c r="AN77" s="2996"/>
      <c r="AO77" s="2997"/>
      <c r="AP77" s="2998"/>
      <c r="AQ77" s="2999"/>
      <c r="AR77" s="3000"/>
      <c r="AS77" s="5266"/>
      <c r="AT77" s="3002"/>
      <c r="AU77" s="2256"/>
      <c r="AV77" s="1643"/>
      <c r="AW77" s="1625"/>
      <c r="AX77" s="1625" t="str">
        <f>IF(T77="","",T77)</f>
        <v>Добавить вид теплоносителя (параметры теплоносителя)</v>
      </c>
      <c r="AY77" s="1625"/>
      <c r="AZ77" s="1625"/>
      <c r="BA77" s="1636">
        <v>0</v>
      </c>
    </row>
    <row s="1851" customFormat="1" customHeight="1" ht="15">
      <c r="A78" s="1364"/>
      <c r="B78" s="1364"/>
      <c r="C78" s="1364"/>
      <c r="D78" s="1364"/>
      <c r="E78" s="2260">
        <v>1</v>
      </c>
      <c r="F78" s="2260"/>
      <c r="G78" s="2260"/>
      <c r="H78" s="2260"/>
      <c r="I78" s="2257"/>
      <c r="J78" s="1364"/>
      <c r="K78" s="1364"/>
      <c r="L78" s="1370"/>
      <c r="M78" s="1367"/>
      <c r="N78" s="1777"/>
      <c r="O78" s="1777"/>
      <c r="P78" s="2375"/>
      <c r="Q78" s="2375"/>
      <c r="R78" s="357"/>
      <c r="S78" s="3003"/>
      <c r="T78" s="3004" t="s">
        <v>542</v>
      </c>
      <c r="U78" s="3005"/>
      <c r="V78" s="3006"/>
      <c r="W78" s="3007"/>
      <c r="X78" s="3008"/>
      <c r="Y78" s="3009"/>
      <c r="Z78" s="3010"/>
      <c r="AA78" s="3011"/>
      <c r="AB78" s="3012"/>
      <c r="AC78" s="3013"/>
      <c r="AD78" s="3014"/>
      <c r="AE78" s="3015"/>
      <c r="AF78" s="3016"/>
      <c r="AG78" s="3017"/>
      <c r="AH78" s="3018"/>
      <c r="AI78" s="3019"/>
      <c r="AJ78" s="3020"/>
      <c r="AK78" s="3021"/>
      <c r="AL78" s="3022"/>
      <c r="AM78" s="3023"/>
      <c r="AN78" s="3024"/>
      <c r="AO78" s="3025"/>
      <c r="AP78" s="3026"/>
      <c r="AQ78" s="3027"/>
      <c r="AR78" s="3028"/>
      <c r="AS78" s="5267"/>
      <c r="AT78" s="3030"/>
      <c r="AU78" s="3031"/>
      <c r="AV78" s="1643"/>
      <c r="AW78" s="1625"/>
      <c r="AX78" s="1625" t="str">
        <f>IF(T78="","",T78)</f>
        <v>Добавить группу потребителей</v>
      </c>
      <c r="AY78" s="1625"/>
      <c r="AZ78" s="1625"/>
      <c r="BA78" s="1636">
        <v>0</v>
      </c>
    </row>
    <row s="1851" customFormat="1" customHeight="1" ht="14.25">
      <c r="A79" s="1364"/>
      <c r="B79" s="1364"/>
      <c r="C79" s="1364"/>
      <c r="D79" s="1364"/>
      <c r="E79" s="2260">
        <v>1</v>
      </c>
      <c r="F79" s="2260"/>
      <c r="G79" s="2260"/>
      <c r="H79" s="2259"/>
      <c r="I79" s="1364"/>
      <c r="J79" s="1364"/>
      <c r="K79" s="1364"/>
      <c r="L79" s="1370"/>
      <c r="M79" s="1366"/>
      <c r="N79" s="1366"/>
      <c r="O79" s="1367"/>
      <c r="P79" s="1824"/>
      <c r="Q79" s="376"/>
      <c r="R79" s="356"/>
      <c r="S79" s="3032"/>
      <c r="T79" s="3033" t="s">
        <v>543</v>
      </c>
      <c r="U79" s="3034"/>
      <c r="V79" s="3035"/>
      <c r="W79" s="3036"/>
      <c r="X79" s="3037"/>
      <c r="Y79" s="3038"/>
      <c r="Z79" s="3039"/>
      <c r="AA79" s="3040"/>
      <c r="AB79" s="3041"/>
      <c r="AC79" s="3042"/>
      <c r="AD79" s="3043"/>
      <c r="AE79" s="3044"/>
      <c r="AF79" s="3045"/>
      <c r="AG79" s="3046"/>
      <c r="AH79" s="3047"/>
      <c r="AI79" s="3048"/>
      <c r="AJ79" s="3049"/>
      <c r="AK79" s="3050"/>
      <c r="AL79" s="3051"/>
      <c r="AM79" s="3052"/>
      <c r="AN79" s="3053"/>
      <c r="AO79" s="3054"/>
      <c r="AP79" s="3055"/>
      <c r="AQ79" s="3056"/>
      <c r="AR79" s="3057"/>
      <c r="AS79" s="5268"/>
      <c r="AT79" s="3059"/>
      <c r="AU79" s="3060"/>
      <c r="AV79" s="1643"/>
      <c r="AW79" s="1625"/>
      <c r="AX79" s="1625" t="str">
        <f>IF(T79="","",T79)</f>
        <v>Добавить схему подключения</v>
      </c>
      <c r="AY79" s="1625"/>
      <c r="AZ79" s="1625"/>
      <c r="BA79" s="1636">
        <v>0</v>
      </c>
    </row>
    <row s="623" customFormat="1" customHeight="1" ht="0.75">
      <c r="A80" s="1344"/>
      <c r="B80" s="1344"/>
      <c r="C80" s="1344"/>
      <c r="D80" s="1344"/>
      <c r="E80" s="2260">
        <v>1</v>
      </c>
      <c r="F80" s="2260"/>
      <c r="G80" s="2259"/>
      <c r="H80" s="1344"/>
      <c r="I80" s="1344"/>
      <c r="J80" s="1344"/>
      <c r="K80" s="1344"/>
      <c r="L80" s="1546"/>
      <c r="M80" s="1316"/>
      <c r="N80" s="1316"/>
      <c r="O80" s="1643"/>
      <c r="P80" s="1317"/>
      <c r="Q80" s="1345"/>
      <c r="R80" s="1317"/>
      <c r="S80" s="1319"/>
      <c r="T80" s="1320" t="s">
        <v>177</v>
      </c>
      <c r="U80" s="1321"/>
      <c r="V80" s="1321"/>
      <c r="W80" s="1321"/>
      <c r="X80" s="1321"/>
      <c r="Y80" s="1321"/>
      <c r="Z80" s="1321"/>
      <c r="AA80" s="1321"/>
      <c r="AB80" s="1321"/>
      <c r="AC80" s="1321"/>
      <c r="AD80" s="1321"/>
      <c r="AE80" s="1321"/>
      <c r="AF80" s="1321"/>
      <c r="AG80" s="1321"/>
      <c r="AH80" s="1321"/>
      <c r="AI80" s="1321"/>
      <c r="AJ80" s="1321"/>
      <c r="AK80" s="1321"/>
      <c r="AL80" s="1321"/>
      <c r="AM80" s="1321"/>
      <c r="AN80" s="1321"/>
      <c r="AO80" s="1321"/>
      <c r="AP80" s="1321"/>
      <c r="AQ80" s="1321"/>
      <c r="AR80" s="1321"/>
      <c r="AS80" s="1321"/>
      <c r="AT80" s="1321"/>
      <c r="AU80" s="1321"/>
      <c r="AV80" s="1643"/>
      <c r="AW80" s="1625"/>
      <c r="AX80" s="1625" t="str">
        <f>IF(T80="","",T80)</f>
        <v>Добавить источник для дифференциации</v>
      </c>
      <c r="AY80" s="1625"/>
      <c r="AZ80" s="1625"/>
      <c r="BA80" s="1643">
        <v>0</v>
      </c>
    </row>
    <row s="623" customFormat="1" customHeight="1" ht="0.75">
      <c r="A81" s="1344"/>
      <c r="B81" s="1344"/>
      <c r="C81" s="1344"/>
      <c r="D81" s="1344"/>
      <c r="E81" s="2260">
        <v>1</v>
      </c>
      <c r="F81" s="2259"/>
      <c r="G81" s="1344"/>
      <c r="H81" s="1344"/>
      <c r="I81" s="1344"/>
      <c r="J81" s="1344"/>
      <c r="K81" s="1344"/>
      <c r="L81" s="1546"/>
      <c r="M81" s="1322"/>
      <c r="N81" s="1322"/>
      <c r="O81" s="1643"/>
      <c r="P81" s="1317"/>
      <c r="Q81" s="1345"/>
      <c r="R81" s="1317"/>
      <c r="S81" s="1323"/>
      <c r="T81" s="1324" t="s">
        <v>178</v>
      </c>
      <c r="U81" s="1325"/>
      <c r="V81" s="1325"/>
      <c r="W81" s="1325"/>
      <c r="X81" s="1325"/>
      <c r="Y81" s="1325"/>
      <c r="Z81" s="1325"/>
      <c r="AA81" s="1325"/>
      <c r="AB81" s="1325"/>
      <c r="AC81" s="1325"/>
      <c r="AD81" s="1325"/>
      <c r="AE81" s="1325"/>
      <c r="AF81" s="1325"/>
      <c r="AG81" s="1325"/>
      <c r="AH81" s="1325"/>
      <c r="AI81" s="1325"/>
      <c r="AJ81" s="1325"/>
      <c r="AK81" s="1325"/>
      <c r="AL81" s="1325"/>
      <c r="AM81" s="1325"/>
      <c r="AN81" s="1325"/>
      <c r="AO81" s="1325"/>
      <c r="AP81" s="1325"/>
      <c r="AQ81" s="1325"/>
      <c r="AR81" s="1325"/>
      <c r="AS81" s="1325"/>
      <c r="AT81" s="1325"/>
      <c r="AU81" s="1325"/>
      <c r="AV81" s="1643"/>
      <c r="AW81" s="1625"/>
      <c r="AX81" s="1625" t="str">
        <f>IF(T81="","",T81)</f>
        <v>Добавить централизованную систему для дифференциации</v>
      </c>
      <c r="AY81" s="1625"/>
      <c r="AZ81" s="1625"/>
      <c r="BA81" s="1643">
        <v>0</v>
      </c>
    </row>
    <row s="1851" customFormat="1" customHeight="1" ht="21">
      <c r="A82" s="1364"/>
      <c r="B82" s="1364" t="s">
        <v>189</v>
      </c>
      <c r="C82" s="1364"/>
      <c r="D82" s="1364"/>
      <c r="E82" s="2260"/>
      <c r="F82" s="2259" t="s">
        <v>107</v>
      </c>
      <c r="G82" s="1364"/>
      <c r="H82" s="1364"/>
      <c r="I82" s="1364"/>
      <c r="J82" s="1364"/>
      <c r="K82" s="1364"/>
      <c r="L82" s="1370"/>
      <c r="M82" s="1366"/>
      <c r="N82" s="1366"/>
      <c r="O82" s="1366"/>
      <c r="P82" s="2126"/>
      <c r="Q82" s="353"/>
      <c r="R82" s="354"/>
      <c r="S82" s="2274" t="str">
        <f>INDEX(PT_DIFFERENTIATION_NUM_TER,MATCH(B82,PT_DIFFERENTIATION_TER_ID,0))</f>
        <v>2.2</v>
      </c>
      <c r="T82" s="1523" t="s">
        <v>527</v>
      </c>
      <c r="U82" s="301"/>
      <c r="V82" s="2243"/>
      <c r="W82" s="2244"/>
      <c r="X82" s="2244"/>
      <c r="Y82" s="2244"/>
      <c r="Z82" s="2244"/>
      <c r="AA82" s="2244"/>
      <c r="AB82" s="2244"/>
      <c r="AC82" s="2245"/>
      <c r="AD82" s="2243" t="str">
        <f>INDEX(PT_DIFFERENTIATION_TER,MATCH(B82,PT_DIFFERENTIATION_TER_ID,0))</f>
        <v>Территория 2</v>
      </c>
      <c r="AE82" s="2244"/>
      <c r="AF82" s="2244"/>
      <c r="AG82" s="2244"/>
      <c r="AH82" s="2244"/>
      <c r="AI82" s="2244"/>
      <c r="AJ82" s="2244"/>
      <c r="AK82" s="2244"/>
      <c r="AL82" s="2243"/>
      <c r="AM82" s="2244"/>
      <c r="AN82" s="2244"/>
      <c r="AO82" s="2244"/>
      <c r="AP82" s="2244"/>
      <c r="AQ82" s="2244"/>
      <c r="AR82" s="2244"/>
      <c r="AS82" s="5240"/>
      <c r="AT82" s="2245"/>
      <c r="AU82" s="1259" t="s">
        <v>528</v>
      </c>
      <c r="AV82" s="1643"/>
      <c r="AW82" s="1625"/>
      <c r="AX82" s="1625" t="str">
        <f>IF(T82="","",T82)</f>
        <v>Территория действия тарифа</v>
      </c>
      <c r="AY82" s="1625"/>
      <c r="AZ82" s="1625"/>
      <c r="BA82" s="1636">
        <v>0</v>
      </c>
    </row>
    <row s="1851" customFormat="1" customHeight="1" ht="23.25">
      <c r="A83" s="1364"/>
      <c r="B83" s="1364"/>
      <c r="C83" s="1364" t="s">
        <v>190</v>
      </c>
      <c r="D83" s="1364"/>
      <c r="E83" s="2260"/>
      <c r="F83" s="2260">
        <v>1</v>
      </c>
      <c r="G83" s="2259">
        <v>1</v>
      </c>
      <c r="H83" s="1364"/>
      <c r="I83" s="1364"/>
      <c r="J83" s="1364"/>
      <c r="K83" s="1364"/>
      <c r="L83" s="1370"/>
      <c r="M83" s="1366"/>
      <c r="N83" s="1366"/>
      <c r="O83" s="1366"/>
      <c r="P83" s="355"/>
      <c r="Q83" s="353"/>
      <c r="R83" s="354"/>
      <c r="S83" s="2274" t="str">
        <f>INDEX(PT_DIFFERENTIATION_NUM_CS,MATCH(C83,PT_DIFFERENTIATION_CS_ID,0))</f>
        <v>2.2.1</v>
      </c>
      <c r="T83" s="310" t="s">
        <v>529</v>
      </c>
      <c r="U83" s="301"/>
      <c r="V83" s="2243"/>
      <c r="W83" s="2244"/>
      <c r="X83" s="2244"/>
      <c r="Y83" s="2244"/>
      <c r="Z83" s="2244"/>
      <c r="AA83" s="2244"/>
      <c r="AB83" s="2244"/>
      <c r="AC83" s="2245"/>
      <c r="AD83" s="2243" t="str">
        <f>INDEX(PT_DIFFERENTIATION_CS,MATCH(C83,PT_DIFFERENTIATION_CS_ID,0))</f>
        <v>открытая система теплоснабжения г. Кировск</v>
      </c>
      <c r="AE83" s="2244"/>
      <c r="AF83" s="2244"/>
      <c r="AG83" s="2244"/>
      <c r="AH83" s="2244"/>
      <c r="AI83" s="2244"/>
      <c r="AJ83" s="2244"/>
      <c r="AK83" s="2244"/>
      <c r="AL83" s="2243"/>
      <c r="AM83" s="2244"/>
      <c r="AN83" s="2244"/>
      <c r="AO83" s="2244"/>
      <c r="AP83" s="2244"/>
      <c r="AQ83" s="2244"/>
      <c r="AR83" s="2244"/>
      <c r="AS83" s="5240"/>
      <c r="AT83" s="2245"/>
      <c r="AU83" s="1259" t="s">
        <v>530</v>
      </c>
      <c r="AV83" s="1643"/>
      <c r="AW83" s="1625"/>
      <c r="AX83" s="1625" t="str">
        <f>IF(T83="","",T83)</f>
        <v>Наименование системы теплоснабжения </v>
      </c>
      <c r="AY83" s="1625"/>
      <c r="AZ83" s="1625"/>
      <c r="BA83" s="1636">
        <v>0</v>
      </c>
    </row>
    <row s="1851" customFormat="1" customHeight="1" ht="21">
      <c r="A84" s="1364"/>
      <c r="B84" s="1364"/>
      <c r="C84" s="1364"/>
      <c r="D84" s="1364" t="s">
        <v>191</v>
      </c>
      <c r="E84" s="2260"/>
      <c r="F84" s="2260">
        <v>1</v>
      </c>
      <c r="G84" s="2260"/>
      <c r="H84" s="2259">
        <v>1</v>
      </c>
      <c r="I84" s="1364"/>
      <c r="J84" s="1364"/>
      <c r="K84" s="1364"/>
      <c r="L84" s="1370"/>
      <c r="M84" s="1366"/>
      <c r="N84" s="1366"/>
      <c r="O84" s="1366"/>
      <c r="P84" s="355"/>
      <c r="Q84" s="353"/>
      <c r="R84" s="354"/>
      <c r="S84" s="2274" t="str">
        <f>INDEX(PT_DIFFERENTIATION_NUM_IST_TE,MATCH(D84,PT_DIFFERENTIATION_IST_TE_ID,0))</f>
        <v>2.2.1.1</v>
      </c>
      <c r="T84" s="311" t="s">
        <v>531</v>
      </c>
      <c r="U84" s="301"/>
      <c r="V84" s="2243"/>
      <c r="W84" s="2244"/>
      <c r="X84" s="2244"/>
      <c r="Y84" s="2244"/>
      <c r="Z84" s="2244"/>
      <c r="AA84" s="2244"/>
      <c r="AB84" s="2244"/>
      <c r="AC84" s="2245"/>
      <c r="AD84" s="2243" t="str">
        <f>INDEX(PT_DIFFERENTIATION_IST_TE,MATCH(D84,PT_DIFFERENTIATION_IST_TE_ID,0))</f>
        <v>Апатитская ТЭЦ</v>
      </c>
      <c r="AE84" s="2244"/>
      <c r="AF84" s="2244"/>
      <c r="AG84" s="2244"/>
      <c r="AH84" s="2244"/>
      <c r="AI84" s="2244"/>
      <c r="AJ84" s="2244"/>
      <c r="AK84" s="2244"/>
      <c r="AL84" s="2243"/>
      <c r="AM84" s="2244"/>
      <c r="AN84" s="2244"/>
      <c r="AO84" s="2244"/>
      <c r="AP84" s="2244"/>
      <c r="AQ84" s="2244"/>
      <c r="AR84" s="2244"/>
      <c r="AS84" s="5240"/>
      <c r="AT84" s="2245"/>
      <c r="AU84" s="1259" t="s">
        <v>532</v>
      </c>
      <c r="AV84" s="1643"/>
      <c r="AW84" s="1625"/>
      <c r="AX84" s="1625" t="str">
        <f>IF(T84="","",T84)</f>
        <v>Источник тепловой энергии  </v>
      </c>
      <c r="AY84" s="1625"/>
      <c r="AZ84" s="1625"/>
      <c r="BA84" s="1636">
        <v>0</v>
      </c>
    </row>
    <row s="1851" customFormat="1" customHeight="1" ht="47.25">
      <c r="A85" s="1364"/>
      <c r="B85" s="1364"/>
      <c r="C85" s="1364"/>
      <c r="D85" s="1364"/>
      <c r="E85" s="2260"/>
      <c r="F85" s="2260">
        <v>1</v>
      </c>
      <c r="G85" s="2260"/>
      <c r="H85" s="2260"/>
      <c r="I85" s="2257" t="str">
        <f>S84&amp;".1"</f>
        <v>2.2.1.1.1</v>
      </c>
      <c r="J85" s="1364"/>
      <c r="K85" s="1364"/>
      <c r="L85" s="1370" t="s">
        <v>533</v>
      </c>
      <c r="M85" s="1367"/>
      <c r="N85" s="1777"/>
      <c r="O85" s="1777"/>
      <c r="P85" s="2375">
        <v>1</v>
      </c>
      <c r="Q85" s="2375"/>
      <c r="R85" s="357"/>
      <c r="S85" s="2274" t="str">
        <f>$I85</f>
        <v>2.2.1.1.1</v>
      </c>
      <c r="T85" s="286" t="s">
        <v>534</v>
      </c>
      <c r="U85" s="301"/>
      <c r="V85" s="2246"/>
      <c r="W85" s="2247"/>
      <c r="X85" s="2247"/>
      <c r="Y85" s="2247"/>
      <c r="Z85" s="2247"/>
      <c r="AA85" s="2247"/>
      <c r="AB85" s="2247"/>
      <c r="AC85" s="2248"/>
      <c r="AD85" s="2246" t="s">
        <v>576</v>
      </c>
      <c r="AE85" s="2247"/>
      <c r="AF85" s="2247"/>
      <c r="AG85" s="2247"/>
      <c r="AH85" s="2247"/>
      <c r="AI85" s="2247"/>
      <c r="AJ85" s="2247"/>
      <c r="AK85" s="2247"/>
      <c r="AL85" s="2246"/>
      <c r="AM85" s="2247"/>
      <c r="AN85" s="2247"/>
      <c r="AO85" s="2247"/>
      <c r="AP85" s="2247"/>
      <c r="AQ85" s="2247"/>
      <c r="AR85" s="2247"/>
      <c r="AS85" s="5241"/>
      <c r="AT85" s="2248"/>
      <c r="AU85" s="1259" t="s">
        <v>535</v>
      </c>
      <c r="AV85" s="1643"/>
      <c r="AW85" s="1625"/>
      <c r="AX85" s="1625" t="str">
        <f>IF(T85="","",T85)</f>
        <v>Схема подключения теплопотребляющей установки к коллектору источника тепловой энергии</v>
      </c>
      <c r="AY85" s="1625"/>
      <c r="AZ85" s="1625"/>
      <c r="BA85" s="1636">
        <v>0</v>
      </c>
    </row>
    <row s="1851" customFormat="1" customHeight="1" ht="21">
      <c r="A86" s="1364"/>
      <c r="B86" s="1364"/>
      <c r="C86" s="1364"/>
      <c r="D86" s="1364"/>
      <c r="E86" s="2260"/>
      <c r="F86" s="2260">
        <v>1</v>
      </c>
      <c r="G86" s="2260"/>
      <c r="H86" s="2260"/>
      <c r="I86" s="2287"/>
      <c r="J86" s="2257" t="str">
        <f>I85&amp;".1"</f>
        <v>2.2.1.1.1.1</v>
      </c>
      <c r="K86" s="1364"/>
      <c r="L86" s="1370" t="s">
        <v>536</v>
      </c>
      <c r="M86" s="1367"/>
      <c r="N86" s="1367"/>
      <c r="O86" s="1777"/>
      <c r="P86" s="2375"/>
      <c r="Q86" s="2375">
        <v>1</v>
      </c>
      <c r="R86" s="358"/>
      <c r="S86" s="2274" t="str">
        <f>$J86</f>
        <v>2.2.1.1.1.1</v>
      </c>
      <c r="T86" s="287" t="s">
        <v>537</v>
      </c>
      <c r="U86" s="301"/>
      <c r="V86" s="2246"/>
      <c r="W86" s="2247"/>
      <c r="X86" s="2247"/>
      <c r="Y86" s="2247"/>
      <c r="Z86" s="2247"/>
      <c r="AA86" s="2247"/>
      <c r="AB86" s="2247"/>
      <c r="AC86" s="2248"/>
      <c r="AD86" s="2246" t="s">
        <v>578</v>
      </c>
      <c r="AE86" s="2247"/>
      <c r="AF86" s="2247"/>
      <c r="AG86" s="2247"/>
      <c r="AH86" s="2247"/>
      <c r="AI86" s="2247"/>
      <c r="AJ86" s="2247"/>
      <c r="AK86" s="2247"/>
      <c r="AL86" s="2246"/>
      <c r="AM86" s="2247"/>
      <c r="AN86" s="2247"/>
      <c r="AO86" s="2247"/>
      <c r="AP86" s="2247"/>
      <c r="AQ86" s="2247"/>
      <c r="AR86" s="2247"/>
      <c r="AS86" s="5241"/>
      <c r="AT86" s="2248"/>
      <c r="AU86" s="1259" t="s">
        <v>538</v>
      </c>
      <c r="AV86" s="1643"/>
      <c r="AW86" s="1625"/>
      <c r="AX86" s="1625" t="str">
        <f>IF(T86="","",T86)</f>
        <v>Группа потребителей</v>
      </c>
      <c r="AY86" s="1625"/>
      <c r="AZ86" s="1625"/>
      <c r="BA86" s="1636">
        <v>0</v>
      </c>
    </row>
    <row s="1851" customFormat="1" customHeight="1" ht="21">
      <c r="A87" s="1364"/>
      <c r="B87" s="1364"/>
      <c r="C87" s="1364"/>
      <c r="D87" s="1364"/>
      <c r="E87" s="2260"/>
      <c r="F87" s="2260">
        <v>1</v>
      </c>
      <c r="G87" s="2260"/>
      <c r="H87" s="2260"/>
      <c r="I87" s="2287"/>
      <c r="J87" s="2287"/>
      <c r="K87" s="2257" t="str">
        <f>J86&amp;".1"</f>
        <v>2.2.1.1.1.1.1</v>
      </c>
      <c r="L87" s="1370" t="s">
        <v>539</v>
      </c>
      <c r="M87" s="1367"/>
      <c r="N87" s="1367"/>
      <c r="O87" s="1367"/>
      <c r="P87" s="2375"/>
      <c r="Q87" s="2375"/>
      <c r="R87" s="358">
        <v>1</v>
      </c>
      <c r="S87" s="2274" t="str">
        <f>$K87</f>
        <v>2.2.1.1.1.1.1</v>
      </c>
      <c r="T87" s="1348" t="s">
        <v>577</v>
      </c>
      <c r="U87" s="301"/>
      <c r="V87" s="752"/>
      <c r="W87" s="326"/>
      <c r="X87" s="752"/>
      <c r="Y87" s="1258"/>
      <c r="Z87" s="2603"/>
      <c r="AA87" s="2108" t="s">
        <v>65</v>
      </c>
      <c r="AB87" s="2603"/>
      <c r="AC87" s="2108" t="s">
        <v>65</v>
      </c>
      <c r="AD87" s="752">
        <v>3892.21</v>
      </c>
      <c r="AE87" s="326"/>
      <c r="AF87" s="752"/>
      <c r="AG87" s="1258"/>
      <c r="AH87" s="2603">
        <v>46023</v>
      </c>
      <c r="AI87" s="2108" t="s">
        <v>65</v>
      </c>
      <c r="AJ87" s="2603">
        <v>46295</v>
      </c>
      <c r="AK87" s="2108" t="s">
        <v>65</v>
      </c>
      <c r="AL87" s="752">
        <v>3892.21</v>
      </c>
      <c r="AM87" s="326"/>
      <c r="AN87" s="752"/>
      <c r="AO87" s="1258"/>
      <c r="AP87" s="2603">
        <v>46296</v>
      </c>
      <c r="AQ87" s="2108" t="s">
        <v>65</v>
      </c>
      <c r="AR87" s="2603">
        <v>46387</v>
      </c>
      <c r="AS87" s="2108" t="s">
        <v>65</v>
      </c>
      <c r="AT87" s="326"/>
      <c r="AU87" s="2254" t="s">
        <v>540</v>
      </c>
      <c r="AV87" s="1643">
        <f>STRCHECKDATE(V88:AT88)</f>
      </c>
      <c r="AW87" s="1625"/>
      <c r="AX87" s="1625" t="str">
        <f>IF(T87="","",T87)</f>
        <v>вода</v>
      </c>
      <c r="AY87" s="1625"/>
      <c r="AZ87" s="1625"/>
      <c r="BA87" s="1636">
        <v>0</v>
      </c>
    </row>
    <row s="1851" customFormat="1" customHeight="1" ht="0.75">
      <c r="A88" s="1364"/>
      <c r="B88" s="1364"/>
      <c r="C88" s="1364"/>
      <c r="D88" s="1364"/>
      <c r="E88" s="2260"/>
      <c r="F88" s="2260">
        <v>1</v>
      </c>
      <c r="G88" s="2260"/>
      <c r="H88" s="2260"/>
      <c r="I88" s="2287"/>
      <c r="J88" s="2287"/>
      <c r="K88" s="2257"/>
      <c r="L88" s="1370"/>
      <c r="M88" s="1367"/>
      <c r="N88" s="1367"/>
      <c r="O88" s="1367"/>
      <c r="P88" s="2375"/>
      <c r="Q88" s="2375"/>
      <c r="R88" s="358"/>
      <c r="S88" s="2514"/>
      <c r="T88" s="301"/>
      <c r="U88" s="301"/>
      <c r="V88" s="326"/>
      <c r="W88" s="326"/>
      <c r="X88" s="326"/>
      <c r="Y88" s="329" t="str">
        <f>Z87&amp;"-"&amp;AB87</f>
        <v>-</v>
      </c>
      <c r="Z88" s="2310"/>
      <c r="AA88" s="2108"/>
      <c r="AB88" s="2310"/>
      <c r="AC88" s="2108"/>
      <c r="AD88" s="326"/>
      <c r="AE88" s="326"/>
      <c r="AF88" s="326"/>
      <c r="AG88" s="329" t="str">
        <f>AH87&amp;"-"&amp;AJ87</f>
        <v>46023-46295</v>
      </c>
      <c r="AH88" s="2310"/>
      <c r="AI88" s="2108"/>
      <c r="AJ88" s="2310"/>
      <c r="AK88" s="2108"/>
      <c r="AL88" s="326"/>
      <c r="AM88" s="326"/>
      <c r="AN88" s="326"/>
      <c r="AO88" s="329" t="str">
        <f>AP87&amp;"-"&amp;AR87</f>
        <v>46296-46387</v>
      </c>
      <c r="AP88" s="2310"/>
      <c r="AQ88" s="2108"/>
      <c r="AR88" s="2310"/>
      <c r="AS88" s="2108"/>
      <c r="AT88" s="326"/>
      <c r="AU88" s="2255"/>
      <c r="AV88" s="1643"/>
      <c r="AW88" s="1625"/>
      <c r="AX88" s="1625" t="str">
        <f>IF(T88="","",T88)</f>
        <v/>
      </c>
      <c r="AY88" s="1625"/>
      <c r="AZ88" s="1625"/>
      <c r="BA88" s="1636">
        <v>0</v>
      </c>
    </row>
    <row s="1851" customFormat="1" customHeight="1" ht="15">
      <c r="A89" s="1364"/>
      <c r="B89" s="1364"/>
      <c r="C89" s="1364"/>
      <c r="D89" s="1364"/>
      <c r="E89" s="2260"/>
      <c r="F89" s="2260">
        <v>1</v>
      </c>
      <c r="G89" s="2260"/>
      <c r="H89" s="2260"/>
      <c r="I89" s="2287"/>
      <c r="J89" s="2257"/>
      <c r="K89" s="1364"/>
      <c r="L89" s="1370"/>
      <c r="M89" s="1367"/>
      <c r="N89" s="1367"/>
      <c r="O89" s="1777"/>
      <c r="P89" s="2375"/>
      <c r="Q89" s="2375"/>
      <c r="R89" s="357"/>
      <c r="S89" s="3061"/>
      <c r="T89" s="3062" t="s">
        <v>541</v>
      </c>
      <c r="U89" s="3063"/>
      <c r="V89" s="3064"/>
      <c r="W89" s="3065"/>
      <c r="X89" s="3066"/>
      <c r="Y89" s="3067"/>
      <c r="Z89" s="3068"/>
      <c r="AA89" s="3069"/>
      <c r="AB89" s="3070"/>
      <c r="AC89" s="3071"/>
      <c r="AD89" s="3072"/>
      <c r="AE89" s="3073"/>
      <c r="AF89" s="3074"/>
      <c r="AG89" s="3075"/>
      <c r="AH89" s="3076"/>
      <c r="AI89" s="3077"/>
      <c r="AJ89" s="3078"/>
      <c r="AK89" s="3079"/>
      <c r="AL89" s="3080"/>
      <c r="AM89" s="3081"/>
      <c r="AN89" s="3082"/>
      <c r="AO89" s="3083"/>
      <c r="AP89" s="3084"/>
      <c r="AQ89" s="3085"/>
      <c r="AR89" s="3086"/>
      <c r="AS89" s="5269"/>
      <c r="AT89" s="3088"/>
      <c r="AU89" s="2256"/>
      <c r="AV89" s="1643"/>
      <c r="AW89" s="1625"/>
      <c r="AX89" s="1625" t="str">
        <f>IF(T89="","",T89)</f>
        <v>Добавить вид теплоносителя (параметры теплоносителя)</v>
      </c>
      <c r="AY89" s="1625"/>
      <c r="AZ89" s="1625"/>
      <c r="BA89" s="1636">
        <v>0</v>
      </c>
    </row>
    <row s="1851" customFormat="1" customHeight="1" ht="15">
      <c r="A90" s="1364"/>
      <c r="B90" s="1364"/>
      <c r="C90" s="1364"/>
      <c r="D90" s="1364"/>
      <c r="E90" s="2260"/>
      <c r="F90" s="2260">
        <v>1</v>
      </c>
      <c r="G90" s="2260"/>
      <c r="H90" s="2260"/>
      <c r="I90" s="2257"/>
      <c r="J90" s="1364"/>
      <c r="K90" s="1364"/>
      <c r="L90" s="1370"/>
      <c r="M90" s="1367"/>
      <c r="N90" s="1777"/>
      <c r="O90" s="1777"/>
      <c r="P90" s="2375"/>
      <c r="Q90" s="2375"/>
      <c r="R90" s="357"/>
      <c r="S90" s="3089"/>
      <c r="T90" s="3090" t="s">
        <v>542</v>
      </c>
      <c r="U90" s="3091"/>
      <c r="V90" s="3092"/>
      <c r="W90" s="3093"/>
      <c r="X90" s="3094"/>
      <c r="Y90" s="3095"/>
      <c r="Z90" s="3096"/>
      <c r="AA90" s="3097"/>
      <c r="AB90" s="3098"/>
      <c r="AC90" s="3099"/>
      <c r="AD90" s="3100"/>
      <c r="AE90" s="3101"/>
      <c r="AF90" s="3102"/>
      <c r="AG90" s="3103"/>
      <c r="AH90" s="3104"/>
      <c r="AI90" s="3105"/>
      <c r="AJ90" s="3106"/>
      <c r="AK90" s="3107"/>
      <c r="AL90" s="3108"/>
      <c r="AM90" s="3109"/>
      <c r="AN90" s="3110"/>
      <c r="AO90" s="3111"/>
      <c r="AP90" s="3112"/>
      <c r="AQ90" s="3113"/>
      <c r="AR90" s="3114"/>
      <c r="AS90" s="5270"/>
      <c r="AT90" s="3116"/>
      <c r="AU90" s="3117"/>
      <c r="AV90" s="1643"/>
      <c r="AW90" s="1625"/>
      <c r="AX90" s="1625" t="str">
        <f>IF(T90="","",T90)</f>
        <v>Добавить группу потребителей</v>
      </c>
      <c r="AY90" s="1625"/>
      <c r="AZ90" s="1625"/>
      <c r="BA90" s="1636">
        <v>0</v>
      </c>
    </row>
    <row s="1851" customFormat="1" customHeight="1" ht="14.25">
      <c r="A91" s="1364"/>
      <c r="B91" s="1364"/>
      <c r="C91" s="1364"/>
      <c r="D91" s="1364"/>
      <c r="E91" s="2260"/>
      <c r="F91" s="2260">
        <v>1</v>
      </c>
      <c r="G91" s="2260"/>
      <c r="H91" s="2259"/>
      <c r="I91" s="1364"/>
      <c r="J91" s="1364"/>
      <c r="K91" s="1364"/>
      <c r="L91" s="1370"/>
      <c r="M91" s="1366"/>
      <c r="N91" s="1366"/>
      <c r="O91" s="1367"/>
      <c r="P91" s="1824"/>
      <c r="Q91" s="376"/>
      <c r="R91" s="356"/>
      <c r="S91" s="3118"/>
      <c r="T91" s="3119" t="s">
        <v>543</v>
      </c>
      <c r="U91" s="3120"/>
      <c r="V91" s="3121"/>
      <c r="W91" s="3122"/>
      <c r="X91" s="3123"/>
      <c r="Y91" s="3124"/>
      <c r="Z91" s="3125"/>
      <c r="AA91" s="3126"/>
      <c r="AB91" s="3127"/>
      <c r="AC91" s="3128"/>
      <c r="AD91" s="3129"/>
      <c r="AE91" s="3130"/>
      <c r="AF91" s="3131"/>
      <c r="AG91" s="3132"/>
      <c r="AH91" s="3133"/>
      <c r="AI91" s="3134"/>
      <c r="AJ91" s="3135"/>
      <c r="AK91" s="3136"/>
      <c r="AL91" s="3137"/>
      <c r="AM91" s="3138"/>
      <c r="AN91" s="3139"/>
      <c r="AO91" s="3140"/>
      <c r="AP91" s="3141"/>
      <c r="AQ91" s="3142"/>
      <c r="AR91" s="3143"/>
      <c r="AS91" s="5271"/>
      <c r="AT91" s="3145"/>
      <c r="AU91" s="3146"/>
      <c r="AV91" s="1643"/>
      <c r="AW91" s="1625"/>
      <c r="AX91" s="1625" t="str">
        <f>IF(T91="","",T91)</f>
        <v>Добавить схему подключения</v>
      </c>
      <c r="AY91" s="1625"/>
      <c r="AZ91" s="1625"/>
      <c r="BA91" s="1636">
        <v>0</v>
      </c>
    </row>
    <row s="623" customFormat="1" customHeight="1" ht="0.75">
      <c r="A92" s="1344"/>
      <c r="B92" s="1344"/>
      <c r="C92" s="1344"/>
      <c r="D92" s="1344"/>
      <c r="E92" s="2260"/>
      <c r="F92" s="2260">
        <v>1</v>
      </c>
      <c r="G92" s="2259"/>
      <c r="H92" s="1344"/>
      <c r="I92" s="1344"/>
      <c r="J92" s="1344"/>
      <c r="K92" s="1344"/>
      <c r="L92" s="1546"/>
      <c r="M92" s="1316"/>
      <c r="N92" s="1316"/>
      <c r="O92" s="1643"/>
      <c r="P92" s="1317"/>
      <c r="Q92" s="1345"/>
      <c r="R92" s="1317"/>
      <c r="S92" s="1319"/>
      <c r="T92" s="1320" t="s">
        <v>177</v>
      </c>
      <c r="U92" s="1321"/>
      <c r="V92" s="1321"/>
      <c r="W92" s="1321"/>
      <c r="X92" s="1321"/>
      <c r="Y92" s="1321"/>
      <c r="Z92" s="1321"/>
      <c r="AA92" s="1321"/>
      <c r="AB92" s="1321"/>
      <c r="AC92" s="1321"/>
      <c r="AD92" s="1321"/>
      <c r="AE92" s="1321"/>
      <c r="AF92" s="1321"/>
      <c r="AG92" s="1321"/>
      <c r="AH92" s="1321"/>
      <c r="AI92" s="1321"/>
      <c r="AJ92" s="1321"/>
      <c r="AK92" s="1321"/>
      <c r="AL92" s="1321"/>
      <c r="AM92" s="1321"/>
      <c r="AN92" s="1321"/>
      <c r="AO92" s="1321"/>
      <c r="AP92" s="1321"/>
      <c r="AQ92" s="1321"/>
      <c r="AR92" s="1321"/>
      <c r="AS92" s="1321"/>
      <c r="AT92" s="1321"/>
      <c r="AU92" s="1321"/>
      <c r="AV92" s="1643"/>
      <c r="AW92" s="1625"/>
      <c r="AX92" s="1625" t="str">
        <f>IF(T92="","",T92)</f>
        <v>Добавить источник для дифференциации</v>
      </c>
      <c r="AY92" s="1625"/>
      <c r="AZ92" s="1625"/>
      <c r="BA92" s="1643">
        <v>0</v>
      </c>
    </row>
    <row s="623" customFormat="1" customHeight="1" ht="0.75">
      <c r="A93" s="1344"/>
      <c r="B93" s="1344"/>
      <c r="C93" s="1344"/>
      <c r="D93" s="1344"/>
      <c r="E93" s="2260"/>
      <c r="F93" s="2259">
        <v>1</v>
      </c>
      <c r="G93" s="1344"/>
      <c r="H93" s="1344"/>
      <c r="I93" s="1344"/>
      <c r="J93" s="1344"/>
      <c r="K93" s="1344"/>
      <c r="L93" s="1546"/>
      <c r="M93" s="1322"/>
      <c r="N93" s="1322"/>
      <c r="O93" s="1643"/>
      <c r="P93" s="1317"/>
      <c r="Q93" s="1345"/>
      <c r="R93" s="1317"/>
      <c r="S93" s="1323"/>
      <c r="T93" s="1324" t="s">
        <v>178</v>
      </c>
      <c r="U93" s="1325"/>
      <c r="V93" s="1325"/>
      <c r="W93" s="1325"/>
      <c r="X93" s="1325"/>
      <c r="Y93" s="1325"/>
      <c r="Z93" s="1325"/>
      <c r="AA93" s="1325"/>
      <c r="AB93" s="1325"/>
      <c r="AC93" s="1325"/>
      <c r="AD93" s="1325"/>
      <c r="AE93" s="1325"/>
      <c r="AF93" s="1325"/>
      <c r="AG93" s="1325"/>
      <c r="AH93" s="1325"/>
      <c r="AI93" s="1325"/>
      <c r="AJ93" s="1325"/>
      <c r="AK93" s="1325"/>
      <c r="AL93" s="1325"/>
      <c r="AM93" s="1325"/>
      <c r="AN93" s="1325"/>
      <c r="AO93" s="1325"/>
      <c r="AP93" s="1325"/>
      <c r="AQ93" s="1325"/>
      <c r="AR93" s="1325"/>
      <c r="AS93" s="1325"/>
      <c r="AT93" s="1325"/>
      <c r="AU93" s="1325"/>
      <c r="AV93" s="1643"/>
      <c r="AW93" s="1625"/>
      <c r="AX93" s="1625" t="str">
        <f>IF(T93="","",T93)</f>
        <v>Добавить централизованную систему для дифференциации</v>
      </c>
      <c r="AY93" s="1625"/>
      <c r="AZ93" s="1625"/>
      <c r="BA93" s="1643">
        <v>0</v>
      </c>
    </row>
    <row s="623" customFormat="1" customHeight="1" ht="0.75">
      <c r="A94" s="1344"/>
      <c r="B94" s="1344"/>
      <c r="C94" s="1344"/>
      <c r="D94" s="1344"/>
      <c r="E94" s="2259">
        <v>1</v>
      </c>
      <c r="F94" s="1344"/>
      <c r="G94" s="1344"/>
      <c r="H94" s="1344"/>
      <c r="I94" s="1344"/>
      <c r="J94" s="1344"/>
      <c r="K94" s="1344"/>
      <c r="L94" s="1546"/>
      <c r="M94" s="1322"/>
      <c r="N94" s="1322"/>
      <c r="O94" s="1643"/>
      <c r="P94" s="1317"/>
      <c r="Q94" s="1345"/>
      <c r="R94" s="1317"/>
      <c r="S94" s="1323"/>
      <c r="T94" s="1326" t="s">
        <v>183</v>
      </c>
      <c r="U94" s="1325"/>
      <c r="V94" s="1325"/>
      <c r="W94" s="1325"/>
      <c r="X94" s="1325"/>
      <c r="Y94" s="1325"/>
      <c r="Z94" s="1325"/>
      <c r="AA94" s="1325"/>
      <c r="AB94" s="1325"/>
      <c r="AC94" s="1325"/>
      <c r="AD94" s="1325"/>
      <c r="AE94" s="1325"/>
      <c r="AF94" s="1325"/>
      <c r="AG94" s="1325"/>
      <c r="AH94" s="1325"/>
      <c r="AI94" s="1325"/>
      <c r="AJ94" s="1325"/>
      <c r="AK94" s="1325"/>
      <c r="AL94" s="1325"/>
      <c r="AM94" s="1325"/>
      <c r="AN94" s="1325"/>
      <c r="AO94" s="1325"/>
      <c r="AP94" s="1325"/>
      <c r="AQ94" s="1325"/>
      <c r="AR94" s="1325"/>
      <c r="AS94" s="1325"/>
      <c r="AT94" s="1325"/>
      <c r="AU94" s="1325"/>
      <c r="AV94" s="1643"/>
      <c r="AW94" s="1625"/>
      <c r="AX94" s="1625" t="str">
        <f>IF(T94="","",T94)</f>
        <v>Добавить территорию для дифференциации</v>
      </c>
      <c r="AY94" s="1625"/>
      <c r="AZ94" s="1625"/>
      <c r="BA94" s="1643">
        <v>0</v>
      </c>
    </row>
    <row s="1851" customFormat="1" customHeight="1" ht="21">
      <c r="A95" s="1364" t="s">
        <v>193</v>
      </c>
      <c r="B95" s="1364"/>
      <c r="C95" s="1364"/>
      <c r="D95" s="1364"/>
      <c r="E95" s="2259" t="s">
        <v>94</v>
      </c>
      <c r="F95" s="1364"/>
      <c r="G95" s="1364"/>
      <c r="H95" s="1364"/>
      <c r="I95" s="1364"/>
      <c r="J95" s="1364"/>
      <c r="K95" s="1364"/>
      <c r="L95" s="1370"/>
      <c r="M95" s="1366"/>
      <c r="N95" s="1366"/>
      <c r="O95" s="1366"/>
      <c r="P95" s="2398"/>
      <c r="Q95" s="1824"/>
      <c r="R95" s="356"/>
      <c r="S95" s="2274" t="str">
        <f>INDEX(PT_DIFFERENTIATION_NUM_NTAR,MATCH(A95,PT_DIFFERENTIATION_NTAR_ID,0))</f>
        <v>3</v>
      </c>
      <c r="T95" s="1526" t="s">
        <v>136</v>
      </c>
      <c r="U95" s="301"/>
      <c r="V95" s="2243"/>
      <c r="W95" s="2244"/>
      <c r="X95" s="2244"/>
      <c r="Y95" s="2244"/>
      <c r="Z95" s="2244"/>
      <c r="AA95" s="2244"/>
      <c r="AB95" s="2244"/>
      <c r="AC95" s="2245"/>
      <c r="AD95" s="2243" t="str">
        <f>INDEX(PT_DIFFERENTIATION_NTAR,MATCH(A95,PT_DIFFERENTIATION_NTAR_ID,0))</f>
        <v>Льготные тарифы на тепловую энергию, поставляемую группе потребителей "потребители (кроме населения)". Для потребителей, подключенных к тепловым сетям ПАО "ТГК-1". Муниципальный округ город Апатиты с подведомственной территорией Мурманской области</v>
      </c>
      <c r="AE95" s="2244"/>
      <c r="AF95" s="2244"/>
      <c r="AG95" s="2244"/>
      <c r="AH95" s="2244"/>
      <c r="AI95" s="2244"/>
      <c r="AJ95" s="2244"/>
      <c r="AK95" s="2244"/>
      <c r="AL95" s="2243"/>
      <c r="AM95" s="2244"/>
      <c r="AN95" s="2244"/>
      <c r="AO95" s="2244"/>
      <c r="AP95" s="2244"/>
      <c r="AQ95" s="2244"/>
      <c r="AR95" s="2244"/>
      <c r="AS95" s="5240"/>
      <c r="AT95" s="2245"/>
      <c r="AU95" s="1259" t="s">
        <v>526</v>
      </c>
      <c r="AV95" s="1643"/>
      <c r="AW95" s="1625"/>
      <c r="AX95" s="1625" t="str">
        <f>IF(T95="","",T95)</f>
        <v>Наименование тарифа</v>
      </c>
      <c r="AY95" s="1625"/>
      <c r="AZ95" s="1625"/>
      <c r="BA95" s="1636">
        <v>0</v>
      </c>
    </row>
    <row s="1851" customFormat="1" customHeight="1" ht="21">
      <c r="A96" s="1364"/>
      <c r="B96" s="1364" t="s">
        <v>194</v>
      </c>
      <c r="C96" s="1364"/>
      <c r="D96" s="1364"/>
      <c r="E96" s="2260" t="s">
        <v>107</v>
      </c>
      <c r="F96" s="2259">
        <v>1</v>
      </c>
      <c r="G96" s="1364"/>
      <c r="H96" s="1364"/>
      <c r="I96" s="1364"/>
      <c r="J96" s="1364"/>
      <c r="K96" s="1364"/>
      <c r="L96" s="1370"/>
      <c r="M96" s="1366"/>
      <c r="N96" s="1366"/>
      <c r="O96" s="1366"/>
      <c r="P96" s="2126"/>
      <c r="Q96" s="353"/>
      <c r="R96" s="354"/>
      <c r="S96" s="2274" t="str">
        <f>INDEX(PT_DIFFERENTIATION_NUM_TER,MATCH(B96,PT_DIFFERENTIATION_TER_ID,0))</f>
        <v>3.1</v>
      </c>
      <c r="T96" s="1523" t="s">
        <v>527</v>
      </c>
      <c r="U96" s="301"/>
      <c r="V96" s="2243"/>
      <c r="W96" s="2244"/>
      <c r="X96" s="2244"/>
      <c r="Y96" s="2244"/>
      <c r="Z96" s="2244"/>
      <c r="AA96" s="2244"/>
      <c r="AB96" s="2244"/>
      <c r="AC96" s="2245"/>
      <c r="AD96" s="2243" t="str">
        <f>INDEX(PT_DIFFERENTIATION_TER,MATCH(B96,PT_DIFFERENTIATION_TER_ID,0))</f>
        <v>Территория 1</v>
      </c>
      <c r="AE96" s="2244"/>
      <c r="AF96" s="2244"/>
      <c r="AG96" s="2244"/>
      <c r="AH96" s="2244"/>
      <c r="AI96" s="2244"/>
      <c r="AJ96" s="2244"/>
      <c r="AK96" s="2244"/>
      <c r="AL96" s="2243"/>
      <c r="AM96" s="2244"/>
      <c r="AN96" s="2244"/>
      <c r="AO96" s="2244"/>
      <c r="AP96" s="2244"/>
      <c r="AQ96" s="2244"/>
      <c r="AR96" s="2244"/>
      <c r="AS96" s="5240"/>
      <c r="AT96" s="2245"/>
      <c r="AU96" s="1259" t="s">
        <v>528</v>
      </c>
      <c r="AV96" s="1643"/>
      <c r="AW96" s="1625"/>
      <c r="AX96" s="1625" t="str">
        <f>IF(T96="","",T96)</f>
        <v>Территория действия тарифа</v>
      </c>
      <c r="AY96" s="1625"/>
      <c r="AZ96" s="1625"/>
      <c r="BA96" s="1636">
        <v>0</v>
      </c>
    </row>
    <row s="1851" customFormat="1" customHeight="1" ht="23.25">
      <c r="A97" s="1364"/>
      <c r="B97" s="1364"/>
      <c r="C97" s="1364" t="s">
        <v>195</v>
      </c>
      <c r="D97" s="1364"/>
      <c r="E97" s="2260" t="s">
        <v>107</v>
      </c>
      <c r="F97" s="2260"/>
      <c r="G97" s="2259">
        <v>1</v>
      </c>
      <c r="H97" s="1364"/>
      <c r="I97" s="1364"/>
      <c r="J97" s="1364"/>
      <c r="K97" s="1364"/>
      <c r="L97" s="1370"/>
      <c r="M97" s="1366"/>
      <c r="N97" s="1366"/>
      <c r="O97" s="1366"/>
      <c r="P97" s="355"/>
      <c r="Q97" s="353"/>
      <c r="R97" s="354"/>
      <c r="S97" s="2274" t="str">
        <f>INDEX(PT_DIFFERENTIATION_NUM_CS,MATCH(C97,PT_DIFFERENTIATION_CS_ID,0))</f>
        <v>3.1.1</v>
      </c>
      <c r="T97" s="310" t="s">
        <v>529</v>
      </c>
      <c r="U97" s="301"/>
      <c r="V97" s="2243"/>
      <c r="W97" s="2244"/>
      <c r="X97" s="2244"/>
      <c r="Y97" s="2244"/>
      <c r="Z97" s="2244"/>
      <c r="AA97" s="2244"/>
      <c r="AB97" s="2244"/>
      <c r="AC97" s="2245"/>
      <c r="AD97" s="2243" t="str">
        <f>INDEX(PT_DIFFERENTIATION_CS,MATCH(C97,PT_DIFFERENTIATION_CS_ID,0))</f>
        <v>открытая система теплоснабжения г. Апатиты</v>
      </c>
      <c r="AE97" s="2244"/>
      <c r="AF97" s="2244"/>
      <c r="AG97" s="2244"/>
      <c r="AH97" s="2244"/>
      <c r="AI97" s="2244"/>
      <c r="AJ97" s="2244"/>
      <c r="AK97" s="2244"/>
      <c r="AL97" s="2243"/>
      <c r="AM97" s="2244"/>
      <c r="AN97" s="2244"/>
      <c r="AO97" s="2244"/>
      <c r="AP97" s="2244"/>
      <c r="AQ97" s="2244"/>
      <c r="AR97" s="2244"/>
      <c r="AS97" s="5240"/>
      <c r="AT97" s="2245"/>
      <c r="AU97" s="1259" t="s">
        <v>530</v>
      </c>
      <c r="AV97" s="1643"/>
      <c r="AW97" s="1625"/>
      <c r="AX97" s="1625" t="str">
        <f>IF(T97="","",T97)</f>
        <v>Наименование системы теплоснабжения </v>
      </c>
      <c r="AY97" s="1625"/>
      <c r="AZ97" s="1625"/>
      <c r="BA97" s="1636">
        <v>0</v>
      </c>
    </row>
    <row s="1851" customFormat="1" customHeight="1" ht="21">
      <c r="A98" s="1364"/>
      <c r="B98" s="1364"/>
      <c r="C98" s="1364"/>
      <c r="D98" s="1364" t="s">
        <v>196</v>
      </c>
      <c r="E98" s="2260" t="s">
        <v>107</v>
      </c>
      <c r="F98" s="2260"/>
      <c r="G98" s="2260"/>
      <c r="H98" s="2259">
        <v>1</v>
      </c>
      <c r="I98" s="1364"/>
      <c r="J98" s="1364"/>
      <c r="K98" s="1364"/>
      <c r="L98" s="1370"/>
      <c r="M98" s="1366"/>
      <c r="N98" s="1366"/>
      <c r="O98" s="1366"/>
      <c r="P98" s="355"/>
      <c r="Q98" s="353"/>
      <c r="R98" s="354"/>
      <c r="S98" s="2274" t="str">
        <f>INDEX(PT_DIFFERENTIATION_NUM_IST_TE,MATCH(D98,PT_DIFFERENTIATION_IST_TE_ID,0))</f>
        <v>3.1.1.1</v>
      </c>
      <c r="T98" s="311" t="s">
        <v>531</v>
      </c>
      <c r="U98" s="301"/>
      <c r="V98" s="2243"/>
      <c r="W98" s="2244"/>
      <c r="X98" s="2244"/>
      <c r="Y98" s="2244"/>
      <c r="Z98" s="2244"/>
      <c r="AA98" s="2244"/>
      <c r="AB98" s="2244"/>
      <c r="AC98" s="2245"/>
      <c r="AD98" s="2243" t="str">
        <f>INDEX(PT_DIFFERENTIATION_IST_TE,MATCH(D98,PT_DIFFERENTIATION_IST_TE_ID,0))</f>
        <v>Апатитская ТЭЦ</v>
      </c>
      <c r="AE98" s="2244"/>
      <c r="AF98" s="2244"/>
      <c r="AG98" s="2244"/>
      <c r="AH98" s="2244"/>
      <c r="AI98" s="2244"/>
      <c r="AJ98" s="2244"/>
      <c r="AK98" s="2244"/>
      <c r="AL98" s="2243"/>
      <c r="AM98" s="2244"/>
      <c r="AN98" s="2244"/>
      <c r="AO98" s="2244"/>
      <c r="AP98" s="2244"/>
      <c r="AQ98" s="2244"/>
      <c r="AR98" s="2244"/>
      <c r="AS98" s="5240"/>
      <c r="AT98" s="2245"/>
      <c r="AU98" s="1259" t="s">
        <v>532</v>
      </c>
      <c r="AV98" s="1643"/>
      <c r="AW98" s="1625"/>
      <c r="AX98" s="1625" t="str">
        <f>IF(T98="","",T98)</f>
        <v>Источник тепловой энергии  </v>
      </c>
      <c r="AY98" s="1625"/>
      <c r="AZ98" s="1625"/>
      <c r="BA98" s="1636">
        <v>0</v>
      </c>
    </row>
    <row s="1851" customFormat="1" customHeight="1" ht="47.25">
      <c r="A99" s="1364"/>
      <c r="B99" s="1364"/>
      <c r="C99" s="1364"/>
      <c r="D99" s="1364"/>
      <c r="E99" s="2260" t="s">
        <v>107</v>
      </c>
      <c r="F99" s="2260"/>
      <c r="G99" s="2260"/>
      <c r="H99" s="2260"/>
      <c r="I99" s="2257" t="str">
        <f>S98&amp;".1"</f>
        <v>3.1.1.1.1</v>
      </c>
      <c r="J99" s="1364"/>
      <c r="K99" s="1364"/>
      <c r="L99" s="1370" t="s">
        <v>533</v>
      </c>
      <c r="M99" s="1367"/>
      <c r="N99" s="1777"/>
      <c r="O99" s="1777"/>
      <c r="P99" s="2375">
        <v>1</v>
      </c>
      <c r="Q99" s="2375"/>
      <c r="R99" s="357"/>
      <c r="S99" s="2274" t="str">
        <f>$I99</f>
        <v>3.1.1.1.1</v>
      </c>
      <c r="T99" s="286" t="s">
        <v>534</v>
      </c>
      <c r="U99" s="301"/>
      <c r="V99" s="2246"/>
      <c r="W99" s="2247"/>
      <c r="X99" s="2247"/>
      <c r="Y99" s="2247"/>
      <c r="Z99" s="2247"/>
      <c r="AA99" s="2247"/>
      <c r="AB99" s="2247"/>
      <c r="AC99" s="2248"/>
      <c r="AD99" s="2246" t="s">
        <v>576</v>
      </c>
      <c r="AE99" s="2247"/>
      <c r="AF99" s="2247"/>
      <c r="AG99" s="2247"/>
      <c r="AH99" s="2247"/>
      <c r="AI99" s="2247"/>
      <c r="AJ99" s="2247"/>
      <c r="AK99" s="2247"/>
      <c r="AL99" s="2246"/>
      <c r="AM99" s="2247"/>
      <c r="AN99" s="2247"/>
      <c r="AO99" s="2247"/>
      <c r="AP99" s="2247"/>
      <c r="AQ99" s="2247"/>
      <c r="AR99" s="2247"/>
      <c r="AS99" s="5241"/>
      <c r="AT99" s="2248"/>
      <c r="AU99" s="1259" t="s">
        <v>535</v>
      </c>
      <c r="AV99" s="1643"/>
      <c r="AW99" s="1625"/>
      <c r="AX99" s="1625" t="str">
        <f>IF(T99="","",T99)</f>
        <v>Схема подключения теплопотребляющей установки к коллектору источника тепловой энергии</v>
      </c>
      <c r="AY99" s="1625"/>
      <c r="AZ99" s="1625"/>
      <c r="BA99" s="1636">
        <v>0</v>
      </c>
    </row>
    <row s="1851" customFormat="1" customHeight="1" ht="21">
      <c r="A100" s="1364"/>
      <c r="B100" s="1364"/>
      <c r="C100" s="1364"/>
      <c r="D100" s="1364"/>
      <c r="E100" s="2260" t="s">
        <v>107</v>
      </c>
      <c r="F100" s="2260"/>
      <c r="G100" s="2260"/>
      <c r="H100" s="2260"/>
      <c r="I100" s="2287"/>
      <c r="J100" s="2257" t="str">
        <f>I99&amp;".1"</f>
        <v>3.1.1.1.1.1</v>
      </c>
      <c r="K100" s="1364"/>
      <c r="L100" s="1370" t="s">
        <v>536</v>
      </c>
      <c r="M100" s="1367"/>
      <c r="N100" s="1367"/>
      <c r="O100" s="1777"/>
      <c r="P100" s="2375"/>
      <c r="Q100" s="2375">
        <v>1</v>
      </c>
      <c r="R100" s="358"/>
      <c r="S100" s="2274" t="str">
        <f>$J100</f>
        <v>3.1.1.1.1.1</v>
      </c>
      <c r="T100" s="287" t="s">
        <v>537</v>
      </c>
      <c r="U100" s="301"/>
      <c r="V100" s="2246"/>
      <c r="W100" s="2247"/>
      <c r="X100" s="2247"/>
      <c r="Y100" s="2247"/>
      <c r="Z100" s="2247"/>
      <c r="AA100" s="2247"/>
      <c r="AB100" s="2247"/>
      <c r="AC100" s="2248"/>
      <c r="AD100" s="2246" t="s">
        <v>576</v>
      </c>
      <c r="AE100" s="2247"/>
      <c r="AF100" s="2247"/>
      <c r="AG100" s="2247"/>
      <c r="AH100" s="2247"/>
      <c r="AI100" s="2247"/>
      <c r="AJ100" s="2247"/>
      <c r="AK100" s="2247"/>
      <c r="AL100" s="2246"/>
      <c r="AM100" s="2247"/>
      <c r="AN100" s="2247"/>
      <c r="AO100" s="2247"/>
      <c r="AP100" s="2247"/>
      <c r="AQ100" s="2247"/>
      <c r="AR100" s="2247"/>
      <c r="AS100" s="5241"/>
      <c r="AT100" s="2248"/>
      <c r="AU100" s="1259" t="s">
        <v>538</v>
      </c>
      <c r="AV100" s="1643"/>
      <c r="AW100" s="1625"/>
      <c r="AX100" s="1625" t="str">
        <f>IF(T100="","",T100)</f>
        <v>Группа потребителей</v>
      </c>
      <c r="AY100" s="1625"/>
      <c r="AZ100" s="1625"/>
      <c r="BA100" s="1636">
        <v>0</v>
      </c>
    </row>
    <row s="1851" customFormat="1" customHeight="1" ht="21">
      <c r="A101" s="1364"/>
      <c r="B101" s="1364"/>
      <c r="C101" s="1364"/>
      <c r="D101" s="1364"/>
      <c r="E101" s="2260" t="s">
        <v>107</v>
      </c>
      <c r="F101" s="2260"/>
      <c r="G101" s="2260"/>
      <c r="H101" s="2260"/>
      <c r="I101" s="2287"/>
      <c r="J101" s="2287"/>
      <c r="K101" s="2257" t="str">
        <f>J100&amp;".1"</f>
        <v>3.1.1.1.1.1.1</v>
      </c>
      <c r="L101" s="1370" t="s">
        <v>539</v>
      </c>
      <c r="M101" s="1367"/>
      <c r="N101" s="1367"/>
      <c r="O101" s="1367"/>
      <c r="P101" s="2375"/>
      <c r="Q101" s="2375"/>
      <c r="R101" s="358">
        <v>1</v>
      </c>
      <c r="S101" s="2274" t="str">
        <f>$K101</f>
        <v>3.1.1.1.1.1.1</v>
      </c>
      <c r="T101" s="1348" t="s">
        <v>577</v>
      </c>
      <c r="U101" s="301"/>
      <c r="V101" s="752"/>
      <c r="W101" s="326"/>
      <c r="X101" s="752"/>
      <c r="Y101" s="1258"/>
      <c r="Z101" s="2603"/>
      <c r="AA101" s="2108" t="s">
        <v>65</v>
      </c>
      <c r="AB101" s="2603"/>
      <c r="AC101" s="2108" t="s">
        <v>65</v>
      </c>
      <c r="AD101" s="752">
        <v>2633.01</v>
      </c>
      <c r="AE101" s="326"/>
      <c r="AF101" s="752"/>
      <c r="AG101" s="1258"/>
      <c r="AH101" s="2603">
        <v>46023</v>
      </c>
      <c r="AI101" s="2108" t="s">
        <v>65</v>
      </c>
      <c r="AJ101" s="2603">
        <v>46295</v>
      </c>
      <c r="AK101" s="2108" t="s">
        <v>65</v>
      </c>
      <c r="AL101" s="752">
        <v>4353.17</v>
      </c>
      <c r="AM101" s="326"/>
      <c r="AN101" s="752"/>
      <c r="AO101" s="1258"/>
      <c r="AP101" s="2603">
        <v>46296</v>
      </c>
      <c r="AQ101" s="2108" t="s">
        <v>65</v>
      </c>
      <c r="AR101" s="2603">
        <v>46387</v>
      </c>
      <c r="AS101" s="2108" t="s">
        <v>65</v>
      </c>
      <c r="AT101" s="326"/>
      <c r="AU101" s="2254" t="s">
        <v>540</v>
      </c>
      <c r="AV101" s="1643">
        <f>STRCHECKDATE(V102:AT102)</f>
      </c>
      <c r="AW101" s="1625"/>
      <c r="AX101" s="1625" t="str">
        <f>IF(T101="","",T101)</f>
        <v>вода</v>
      </c>
      <c r="AY101" s="1625"/>
      <c r="AZ101" s="1625"/>
      <c r="BA101" s="1636">
        <v>0</v>
      </c>
    </row>
    <row s="1851" customFormat="1" customHeight="1" ht="0.75">
      <c r="A102" s="1364"/>
      <c r="B102" s="1364"/>
      <c r="C102" s="1364"/>
      <c r="D102" s="1364"/>
      <c r="E102" s="2260" t="s">
        <v>107</v>
      </c>
      <c r="F102" s="2260"/>
      <c r="G102" s="2260"/>
      <c r="H102" s="2260"/>
      <c r="I102" s="2287"/>
      <c r="J102" s="2287"/>
      <c r="K102" s="2257"/>
      <c r="L102" s="1370"/>
      <c r="M102" s="1367"/>
      <c r="N102" s="1367"/>
      <c r="O102" s="1367"/>
      <c r="P102" s="2375"/>
      <c r="Q102" s="2375"/>
      <c r="R102" s="358"/>
      <c r="S102" s="2514"/>
      <c r="T102" s="301"/>
      <c r="U102" s="301"/>
      <c r="V102" s="326"/>
      <c r="W102" s="326"/>
      <c r="X102" s="326"/>
      <c r="Y102" s="329" t="str">
        <f>Z101&amp;"-"&amp;AB101</f>
        <v>-</v>
      </c>
      <c r="Z102" s="2310"/>
      <c r="AA102" s="2108"/>
      <c r="AB102" s="2310"/>
      <c r="AC102" s="2108"/>
      <c r="AD102" s="326"/>
      <c r="AE102" s="326"/>
      <c r="AF102" s="326"/>
      <c r="AG102" s="329" t="str">
        <f>AH101&amp;"-"&amp;AJ101</f>
        <v>46023-46295</v>
      </c>
      <c r="AH102" s="2310"/>
      <c r="AI102" s="2108"/>
      <c r="AJ102" s="2310"/>
      <c r="AK102" s="2108"/>
      <c r="AL102" s="326"/>
      <c r="AM102" s="326"/>
      <c r="AN102" s="326"/>
      <c r="AO102" s="329" t="str">
        <f>AP101&amp;"-"&amp;AR101</f>
        <v>46296-46387</v>
      </c>
      <c r="AP102" s="2310"/>
      <c r="AQ102" s="2108"/>
      <c r="AR102" s="2310"/>
      <c r="AS102" s="2108"/>
      <c r="AT102" s="326"/>
      <c r="AU102" s="2255"/>
      <c r="AV102" s="1643"/>
      <c r="AW102" s="1625"/>
      <c r="AX102" s="1625" t="str">
        <f>IF(T102="","",T102)</f>
        <v/>
      </c>
      <c r="AY102" s="1625"/>
      <c r="AZ102" s="1625"/>
      <c r="BA102" s="1636">
        <v>0</v>
      </c>
    </row>
    <row s="1851" customFormat="1" customHeight="1" ht="15">
      <c r="A103" s="1364"/>
      <c r="B103" s="1364"/>
      <c r="C103" s="1364"/>
      <c r="D103" s="1364"/>
      <c r="E103" s="2260" t="s">
        <v>107</v>
      </c>
      <c r="F103" s="2260"/>
      <c r="G103" s="2260"/>
      <c r="H103" s="2260"/>
      <c r="I103" s="2287"/>
      <c r="J103" s="2257"/>
      <c r="K103" s="1364"/>
      <c r="L103" s="1370"/>
      <c r="M103" s="1367"/>
      <c r="N103" s="1367"/>
      <c r="O103" s="1777"/>
      <c r="P103" s="2375"/>
      <c r="Q103" s="2375"/>
      <c r="R103" s="357"/>
      <c r="S103" s="3147"/>
      <c r="T103" s="3148" t="s">
        <v>541</v>
      </c>
      <c r="U103" s="3149"/>
      <c r="V103" s="3150"/>
      <c r="W103" s="3151"/>
      <c r="X103" s="3152"/>
      <c r="Y103" s="3153"/>
      <c r="Z103" s="3154"/>
      <c r="AA103" s="3155"/>
      <c r="AB103" s="3156"/>
      <c r="AC103" s="3157"/>
      <c r="AD103" s="3158"/>
      <c r="AE103" s="3159"/>
      <c r="AF103" s="3160"/>
      <c r="AG103" s="3161"/>
      <c r="AH103" s="3162"/>
      <c r="AI103" s="3163"/>
      <c r="AJ103" s="3164"/>
      <c r="AK103" s="3165"/>
      <c r="AL103" s="3166"/>
      <c r="AM103" s="3167"/>
      <c r="AN103" s="3168"/>
      <c r="AO103" s="3169"/>
      <c r="AP103" s="3170"/>
      <c r="AQ103" s="3171"/>
      <c r="AR103" s="3172"/>
      <c r="AS103" s="5272"/>
      <c r="AT103" s="3174"/>
      <c r="AU103" s="2256"/>
      <c r="AV103" s="1643"/>
      <c r="AW103" s="1625"/>
      <c r="AX103" s="1625" t="str">
        <f>IF(T103="","",T103)</f>
        <v>Добавить вид теплоносителя (параметры теплоносителя)</v>
      </c>
      <c r="AY103" s="1625"/>
      <c r="AZ103" s="1625"/>
      <c r="BA103" s="1636">
        <v>0</v>
      </c>
    </row>
    <row s="1851" customFormat="1" customHeight="1" ht="15">
      <c r="A104" s="1364"/>
      <c r="B104" s="1364"/>
      <c r="C104" s="1364"/>
      <c r="D104" s="1364"/>
      <c r="E104" s="2260" t="s">
        <v>107</v>
      </c>
      <c r="F104" s="2260"/>
      <c r="G104" s="2260"/>
      <c r="H104" s="2260"/>
      <c r="I104" s="2257"/>
      <c r="J104" s="1364"/>
      <c r="K104" s="1364"/>
      <c r="L104" s="1370"/>
      <c r="M104" s="1367"/>
      <c r="N104" s="1777"/>
      <c r="O104" s="1777"/>
      <c r="P104" s="2375"/>
      <c r="Q104" s="2375"/>
      <c r="R104" s="357"/>
      <c r="S104" s="3175"/>
      <c r="T104" s="3176" t="s">
        <v>542</v>
      </c>
      <c r="U104" s="3177"/>
      <c r="V104" s="3178"/>
      <c r="W104" s="3179"/>
      <c r="X104" s="3180"/>
      <c r="Y104" s="3181"/>
      <c r="Z104" s="3182"/>
      <c r="AA104" s="3183"/>
      <c r="AB104" s="3184"/>
      <c r="AC104" s="3185"/>
      <c r="AD104" s="3186"/>
      <c r="AE104" s="3187"/>
      <c r="AF104" s="3188"/>
      <c r="AG104" s="3189"/>
      <c r="AH104" s="3190"/>
      <c r="AI104" s="3191"/>
      <c r="AJ104" s="3192"/>
      <c r="AK104" s="3193"/>
      <c r="AL104" s="3194"/>
      <c r="AM104" s="3195"/>
      <c r="AN104" s="3196"/>
      <c r="AO104" s="3197"/>
      <c r="AP104" s="3198"/>
      <c r="AQ104" s="3199"/>
      <c r="AR104" s="3200"/>
      <c r="AS104" s="5273"/>
      <c r="AT104" s="3202"/>
      <c r="AU104" s="3203"/>
      <c r="AV104" s="1643"/>
      <c r="AW104" s="1625"/>
      <c r="AX104" s="1625" t="str">
        <f>IF(T104="","",T104)</f>
        <v>Добавить группу потребителей</v>
      </c>
      <c r="AY104" s="1625"/>
      <c r="AZ104" s="1625"/>
      <c r="BA104" s="1636">
        <v>0</v>
      </c>
    </row>
    <row s="1851" customFormat="1" customHeight="1" ht="14.25">
      <c r="A105" s="1364"/>
      <c r="B105" s="1364"/>
      <c r="C105" s="1364"/>
      <c r="D105" s="1364"/>
      <c r="E105" s="2260" t="s">
        <v>107</v>
      </c>
      <c r="F105" s="2260"/>
      <c r="G105" s="2260"/>
      <c r="H105" s="2259"/>
      <c r="I105" s="1364"/>
      <c r="J105" s="1364"/>
      <c r="K105" s="1364"/>
      <c r="L105" s="1370"/>
      <c r="M105" s="1366"/>
      <c r="N105" s="1366"/>
      <c r="O105" s="1367"/>
      <c r="P105" s="1824"/>
      <c r="Q105" s="376"/>
      <c r="R105" s="356"/>
      <c r="S105" s="3204"/>
      <c r="T105" s="3205" t="s">
        <v>543</v>
      </c>
      <c r="U105" s="3206"/>
      <c r="V105" s="3207"/>
      <c r="W105" s="3208"/>
      <c r="X105" s="3209"/>
      <c r="Y105" s="3210"/>
      <c r="Z105" s="3211"/>
      <c r="AA105" s="3212"/>
      <c r="AB105" s="3213"/>
      <c r="AC105" s="3214"/>
      <c r="AD105" s="3215"/>
      <c r="AE105" s="3216"/>
      <c r="AF105" s="3217"/>
      <c r="AG105" s="3218"/>
      <c r="AH105" s="3219"/>
      <c r="AI105" s="3220"/>
      <c r="AJ105" s="3221"/>
      <c r="AK105" s="3222"/>
      <c r="AL105" s="3223"/>
      <c r="AM105" s="3224"/>
      <c r="AN105" s="3225"/>
      <c r="AO105" s="3226"/>
      <c r="AP105" s="3227"/>
      <c r="AQ105" s="3228"/>
      <c r="AR105" s="3229"/>
      <c r="AS105" s="5274"/>
      <c r="AT105" s="3231"/>
      <c r="AU105" s="3232"/>
      <c r="AV105" s="1643"/>
      <c r="AW105" s="1625"/>
      <c r="AX105" s="1625" t="str">
        <f>IF(T105="","",T105)</f>
        <v>Добавить схему подключения</v>
      </c>
      <c r="AY105" s="1625"/>
      <c r="AZ105" s="1625"/>
      <c r="BA105" s="1636">
        <v>0</v>
      </c>
    </row>
    <row s="623" customFormat="1" customHeight="1" ht="0.75">
      <c r="A106" s="1344"/>
      <c r="B106" s="1344"/>
      <c r="C106" s="1344"/>
      <c r="D106" s="1344"/>
      <c r="E106" s="2260" t="s">
        <v>107</v>
      </c>
      <c r="F106" s="2260"/>
      <c r="G106" s="2259"/>
      <c r="H106" s="1344"/>
      <c r="I106" s="1344"/>
      <c r="J106" s="1344"/>
      <c r="K106" s="1344"/>
      <c r="L106" s="1546"/>
      <c r="M106" s="1316"/>
      <c r="N106" s="1316"/>
      <c r="O106" s="1643"/>
      <c r="P106" s="1317"/>
      <c r="Q106" s="1345"/>
      <c r="R106" s="1317"/>
      <c r="S106" s="1319"/>
      <c r="T106" s="1320" t="s">
        <v>177</v>
      </c>
      <c r="U106" s="1321"/>
      <c r="V106" s="1321"/>
      <c r="W106" s="1321"/>
      <c r="X106" s="1321"/>
      <c r="Y106" s="1321"/>
      <c r="Z106" s="1321"/>
      <c r="AA106" s="1321"/>
      <c r="AB106" s="1321"/>
      <c r="AC106" s="1321"/>
      <c r="AD106" s="1321"/>
      <c r="AE106" s="1321"/>
      <c r="AF106" s="1321"/>
      <c r="AG106" s="1321"/>
      <c r="AH106" s="1321"/>
      <c r="AI106" s="1321"/>
      <c r="AJ106" s="1321"/>
      <c r="AK106" s="1321"/>
      <c r="AL106" s="1321"/>
      <c r="AM106" s="1321"/>
      <c r="AN106" s="1321"/>
      <c r="AO106" s="1321"/>
      <c r="AP106" s="1321"/>
      <c r="AQ106" s="1321"/>
      <c r="AR106" s="1321"/>
      <c r="AS106" s="1321"/>
      <c r="AT106" s="1321"/>
      <c r="AU106" s="1321"/>
      <c r="AV106" s="1643"/>
      <c r="AW106" s="1625"/>
      <c r="AX106" s="1625" t="str">
        <f>IF(T106="","",T106)</f>
        <v>Добавить источник для дифференциации</v>
      </c>
      <c r="AY106" s="1625"/>
      <c r="AZ106" s="1625"/>
      <c r="BA106" s="1643">
        <v>0</v>
      </c>
    </row>
    <row s="623" customFormat="1" customHeight="1" ht="0.75">
      <c r="A107" s="1344"/>
      <c r="B107" s="1344"/>
      <c r="C107" s="1344"/>
      <c r="D107" s="1344"/>
      <c r="E107" s="2260" t="s">
        <v>107</v>
      </c>
      <c r="F107" s="2259"/>
      <c r="G107" s="1344"/>
      <c r="H107" s="1344"/>
      <c r="I107" s="1344"/>
      <c r="J107" s="1344"/>
      <c r="K107" s="1344"/>
      <c r="L107" s="1546"/>
      <c r="M107" s="1322"/>
      <c r="N107" s="1322"/>
      <c r="O107" s="1643"/>
      <c r="P107" s="1317"/>
      <c r="Q107" s="1345"/>
      <c r="R107" s="1317"/>
      <c r="S107" s="1323"/>
      <c r="T107" s="1324" t="s">
        <v>178</v>
      </c>
      <c r="U107" s="1325"/>
      <c r="V107" s="1325"/>
      <c r="W107" s="1325"/>
      <c r="X107" s="1325"/>
      <c r="Y107" s="1325"/>
      <c r="Z107" s="1325"/>
      <c r="AA107" s="1325"/>
      <c r="AB107" s="1325"/>
      <c r="AC107" s="1325"/>
      <c r="AD107" s="1325"/>
      <c r="AE107" s="1325"/>
      <c r="AF107" s="1325"/>
      <c r="AG107" s="1325"/>
      <c r="AH107" s="1325"/>
      <c r="AI107" s="1325"/>
      <c r="AJ107" s="1325"/>
      <c r="AK107" s="1325"/>
      <c r="AL107" s="1325"/>
      <c r="AM107" s="1325"/>
      <c r="AN107" s="1325"/>
      <c r="AO107" s="1325"/>
      <c r="AP107" s="1325"/>
      <c r="AQ107" s="1325"/>
      <c r="AR107" s="1325"/>
      <c r="AS107" s="1325"/>
      <c r="AT107" s="1325"/>
      <c r="AU107" s="1325"/>
      <c r="AV107" s="1643"/>
      <c r="AW107" s="1625"/>
      <c r="AX107" s="1625" t="str">
        <f>IF(T107="","",T107)</f>
        <v>Добавить централизованную систему для дифференциации</v>
      </c>
      <c r="AY107" s="1625"/>
      <c r="AZ107" s="1625"/>
      <c r="BA107" s="1643">
        <v>0</v>
      </c>
    </row>
    <row s="623" customFormat="1" customHeight="1" ht="0.75">
      <c r="A108" s="1344"/>
      <c r="B108" s="1344"/>
      <c r="C108" s="1344"/>
      <c r="D108" s="1344"/>
      <c r="E108" s="2259" t="s">
        <v>107</v>
      </c>
      <c r="F108" s="1344"/>
      <c r="G108" s="1344"/>
      <c r="H108" s="1344"/>
      <c r="I108" s="1344"/>
      <c r="J108" s="1344"/>
      <c r="K108" s="1344"/>
      <c r="L108" s="1546"/>
      <c r="M108" s="1322"/>
      <c r="N108" s="1322"/>
      <c r="O108" s="1643"/>
      <c r="P108" s="1317"/>
      <c r="Q108" s="1345"/>
      <c r="R108" s="1317"/>
      <c r="S108" s="1323"/>
      <c r="T108" s="1326" t="s">
        <v>183</v>
      </c>
      <c r="U108" s="1325"/>
      <c r="V108" s="1325"/>
      <c r="W108" s="1325"/>
      <c r="X108" s="1325"/>
      <c r="Y108" s="1325"/>
      <c r="Z108" s="1325"/>
      <c r="AA108" s="1325"/>
      <c r="AB108" s="1325"/>
      <c r="AC108" s="1325"/>
      <c r="AD108" s="1325"/>
      <c r="AE108" s="1325"/>
      <c r="AF108" s="1325"/>
      <c r="AG108" s="1325"/>
      <c r="AH108" s="1325"/>
      <c r="AI108" s="1325"/>
      <c r="AJ108" s="1325"/>
      <c r="AK108" s="1325"/>
      <c r="AL108" s="1325"/>
      <c r="AM108" s="1325"/>
      <c r="AN108" s="1325"/>
      <c r="AO108" s="1325"/>
      <c r="AP108" s="1325"/>
      <c r="AQ108" s="1325"/>
      <c r="AR108" s="1325"/>
      <c r="AS108" s="1325"/>
      <c r="AT108" s="1325"/>
      <c r="AU108" s="1325"/>
      <c r="AV108" s="1643"/>
      <c r="AW108" s="1625"/>
      <c r="AX108" s="1625" t="str">
        <f>IF(T108="","",T108)</f>
        <v>Добавить территорию для дифференциации</v>
      </c>
      <c r="AY108" s="1625"/>
      <c r="AZ108" s="1625"/>
      <c r="BA108" s="1643">
        <v>0</v>
      </c>
    </row>
    <row s="1851" customFormat="1" customHeight="1" ht="21">
      <c r="A109" s="1364" t="s">
        <v>198</v>
      </c>
      <c r="B109" s="1364"/>
      <c r="C109" s="1364"/>
      <c r="D109" s="1364"/>
      <c r="E109" s="2259" t="s">
        <v>95</v>
      </c>
      <c r="F109" s="1364"/>
      <c r="G109" s="1364"/>
      <c r="H109" s="1364"/>
      <c r="I109" s="1364"/>
      <c r="J109" s="1364"/>
      <c r="K109" s="1364"/>
      <c r="L109" s="1370"/>
      <c r="M109" s="1366"/>
      <c r="N109" s="1366"/>
      <c r="O109" s="1366"/>
      <c r="P109" s="2398"/>
      <c r="Q109" s="1824"/>
      <c r="R109" s="356"/>
      <c r="S109" s="2274" t="str">
        <f>INDEX(PT_DIFFERENTIATION_NUM_NTAR,MATCH(A109,PT_DIFFERENTIATION_NTAR_ID,0))</f>
        <v>4</v>
      </c>
      <c r="T109" s="1526" t="s">
        <v>136</v>
      </c>
      <c r="U109" s="301"/>
      <c r="V109" s="2243"/>
      <c r="W109" s="2244"/>
      <c r="X109" s="2244"/>
      <c r="Y109" s="2244"/>
      <c r="Z109" s="2244"/>
      <c r="AA109" s="2244"/>
      <c r="AB109" s="2244"/>
      <c r="AC109" s="2245"/>
      <c r="AD109" s="2243" t="str">
        <f>INDEX(PT_DIFFERENTIATION_NTAR,MATCH(A109,PT_DIFFERENTIATION_NTAR_ID,0))</f>
        <v>Льготные тарифы на тепловую энергию, поставляемую группе потребителей "потребители (кроме населения)". Для потребителей, подключенных к тепловым сетям АО "Апатитыэнерго". Муниципальный округ город Апатиты с подведомственной территорией Мурманской области</v>
      </c>
      <c r="AE109" s="2244"/>
      <c r="AF109" s="2244"/>
      <c r="AG109" s="2244"/>
      <c r="AH109" s="2244"/>
      <c r="AI109" s="2244"/>
      <c r="AJ109" s="2244"/>
      <c r="AK109" s="2244"/>
      <c r="AL109" s="2243"/>
      <c r="AM109" s="2244"/>
      <c r="AN109" s="2244"/>
      <c r="AO109" s="2244"/>
      <c r="AP109" s="2244"/>
      <c r="AQ109" s="2244"/>
      <c r="AR109" s="2244"/>
      <c r="AS109" s="5240"/>
      <c r="AT109" s="2245"/>
      <c r="AU109" s="1259" t="s">
        <v>526</v>
      </c>
      <c r="AV109" s="1643"/>
      <c r="AW109" s="1625"/>
      <c r="AX109" s="1625" t="str">
        <f>IF(T109="","",T109)</f>
        <v>Наименование тарифа</v>
      </c>
      <c r="AY109" s="1625"/>
      <c r="AZ109" s="1625"/>
      <c r="BA109" s="1636">
        <v>0</v>
      </c>
    </row>
    <row s="1851" customFormat="1" customHeight="1" ht="21">
      <c r="A110" s="1364"/>
      <c r="B110" s="1364" t="s">
        <v>199</v>
      </c>
      <c r="C110" s="1364"/>
      <c r="D110" s="1364"/>
      <c r="E110" s="2260" t="s">
        <v>94</v>
      </c>
      <c r="F110" s="2259">
        <v>1</v>
      </c>
      <c r="G110" s="1364"/>
      <c r="H110" s="1364"/>
      <c r="I110" s="1364"/>
      <c r="J110" s="1364"/>
      <c r="K110" s="1364"/>
      <c r="L110" s="1370"/>
      <c r="M110" s="1366"/>
      <c r="N110" s="1366"/>
      <c r="O110" s="1366"/>
      <c r="P110" s="2126"/>
      <c r="Q110" s="353"/>
      <c r="R110" s="354"/>
      <c r="S110" s="2274" t="str">
        <f>INDEX(PT_DIFFERENTIATION_NUM_TER,MATCH(B110,PT_DIFFERENTIATION_TER_ID,0))</f>
        <v>4.1</v>
      </c>
      <c r="T110" s="1523" t="s">
        <v>527</v>
      </c>
      <c r="U110" s="301"/>
      <c r="V110" s="2243"/>
      <c r="W110" s="2244"/>
      <c r="X110" s="2244"/>
      <c r="Y110" s="2244"/>
      <c r="Z110" s="2244"/>
      <c r="AA110" s="2244"/>
      <c r="AB110" s="2244"/>
      <c r="AC110" s="2245"/>
      <c r="AD110" s="2243" t="str">
        <f>INDEX(PT_DIFFERENTIATION_TER,MATCH(B110,PT_DIFFERENTIATION_TER_ID,0))</f>
        <v>Территория 1</v>
      </c>
      <c r="AE110" s="2244"/>
      <c r="AF110" s="2244"/>
      <c r="AG110" s="2244"/>
      <c r="AH110" s="2244"/>
      <c r="AI110" s="2244"/>
      <c r="AJ110" s="2244"/>
      <c r="AK110" s="2244"/>
      <c r="AL110" s="2243"/>
      <c r="AM110" s="2244"/>
      <c r="AN110" s="2244"/>
      <c r="AO110" s="2244"/>
      <c r="AP110" s="2244"/>
      <c r="AQ110" s="2244"/>
      <c r="AR110" s="2244"/>
      <c r="AS110" s="5240"/>
      <c r="AT110" s="2245"/>
      <c r="AU110" s="1259" t="s">
        <v>528</v>
      </c>
      <c r="AV110" s="1643"/>
      <c r="AW110" s="1625"/>
      <c r="AX110" s="1625" t="str">
        <f>IF(T110="","",T110)</f>
        <v>Территория действия тарифа</v>
      </c>
      <c r="AY110" s="1625"/>
      <c r="AZ110" s="1625"/>
      <c r="BA110" s="1636">
        <v>0</v>
      </c>
    </row>
    <row s="1851" customFormat="1" customHeight="1" ht="23.25">
      <c r="A111" s="1364"/>
      <c r="B111" s="1364"/>
      <c r="C111" s="1364" t="s">
        <v>200</v>
      </c>
      <c r="D111" s="1364"/>
      <c r="E111" s="2260" t="s">
        <v>94</v>
      </c>
      <c r="F111" s="2260"/>
      <c r="G111" s="2259">
        <v>1</v>
      </c>
      <c r="H111" s="1364"/>
      <c r="I111" s="1364"/>
      <c r="J111" s="1364"/>
      <c r="K111" s="1364"/>
      <c r="L111" s="1370"/>
      <c r="M111" s="1366"/>
      <c r="N111" s="1366"/>
      <c r="O111" s="1366"/>
      <c r="P111" s="355"/>
      <c r="Q111" s="353"/>
      <c r="R111" s="354"/>
      <c r="S111" s="2274" t="str">
        <f>INDEX(PT_DIFFERENTIATION_NUM_CS,MATCH(C111,PT_DIFFERENTIATION_CS_ID,0))</f>
        <v>4.1.1</v>
      </c>
      <c r="T111" s="310" t="s">
        <v>529</v>
      </c>
      <c r="U111" s="301"/>
      <c r="V111" s="2243"/>
      <c r="W111" s="2244"/>
      <c r="X111" s="2244"/>
      <c r="Y111" s="2244"/>
      <c r="Z111" s="2244"/>
      <c r="AA111" s="2244"/>
      <c r="AB111" s="2244"/>
      <c r="AC111" s="2245"/>
      <c r="AD111" s="2243" t="str">
        <f>INDEX(PT_DIFFERENTIATION_CS,MATCH(C111,PT_DIFFERENTIATION_CS_ID,0))</f>
        <v>открытая система теплоснабжения г. Апатиты</v>
      </c>
      <c r="AE111" s="2244"/>
      <c r="AF111" s="2244"/>
      <c r="AG111" s="2244"/>
      <c r="AH111" s="2244"/>
      <c r="AI111" s="2244"/>
      <c r="AJ111" s="2244"/>
      <c r="AK111" s="2244"/>
      <c r="AL111" s="2243"/>
      <c r="AM111" s="2244"/>
      <c r="AN111" s="2244"/>
      <c r="AO111" s="2244"/>
      <c r="AP111" s="2244"/>
      <c r="AQ111" s="2244"/>
      <c r="AR111" s="2244"/>
      <c r="AS111" s="5240"/>
      <c r="AT111" s="2245"/>
      <c r="AU111" s="1259" t="s">
        <v>530</v>
      </c>
      <c r="AV111" s="1643"/>
      <c r="AW111" s="1625"/>
      <c r="AX111" s="1625" t="str">
        <f>IF(T111="","",T111)</f>
        <v>Наименование системы теплоснабжения </v>
      </c>
      <c r="AY111" s="1625"/>
      <c r="AZ111" s="1625"/>
      <c r="BA111" s="1636">
        <v>0</v>
      </c>
    </row>
    <row s="1851" customFormat="1" customHeight="1" ht="21">
      <c r="A112" s="1364"/>
      <c r="B112" s="1364"/>
      <c r="C112" s="1364"/>
      <c r="D112" s="1364" t="s">
        <v>201</v>
      </c>
      <c r="E112" s="2260" t="s">
        <v>94</v>
      </c>
      <c r="F112" s="2260"/>
      <c r="G112" s="2260"/>
      <c r="H112" s="2259">
        <v>1</v>
      </c>
      <c r="I112" s="1364"/>
      <c r="J112" s="1364"/>
      <c r="K112" s="1364"/>
      <c r="L112" s="1370"/>
      <c r="M112" s="1366"/>
      <c r="N112" s="1366"/>
      <c r="O112" s="1366"/>
      <c r="P112" s="355"/>
      <c r="Q112" s="353"/>
      <c r="R112" s="354"/>
      <c r="S112" s="2274" t="str">
        <f>INDEX(PT_DIFFERENTIATION_NUM_IST_TE,MATCH(D112,PT_DIFFERENTIATION_IST_TE_ID,0))</f>
        <v>4.1.1.1</v>
      </c>
      <c r="T112" s="311" t="s">
        <v>531</v>
      </c>
      <c r="U112" s="301"/>
      <c r="V112" s="2243"/>
      <c r="W112" s="2244"/>
      <c r="X112" s="2244"/>
      <c r="Y112" s="2244"/>
      <c r="Z112" s="2244"/>
      <c r="AA112" s="2244"/>
      <c r="AB112" s="2244"/>
      <c r="AC112" s="2245"/>
      <c r="AD112" s="2243" t="str">
        <f>INDEX(PT_DIFFERENTIATION_IST_TE,MATCH(D112,PT_DIFFERENTIATION_IST_TE_ID,0))</f>
        <v>Апатитская ТЭЦ</v>
      </c>
      <c r="AE112" s="2244"/>
      <c r="AF112" s="2244"/>
      <c r="AG112" s="2244"/>
      <c r="AH112" s="2244"/>
      <c r="AI112" s="2244"/>
      <c r="AJ112" s="2244"/>
      <c r="AK112" s="2244"/>
      <c r="AL112" s="2243"/>
      <c r="AM112" s="2244"/>
      <c r="AN112" s="2244"/>
      <c r="AO112" s="2244"/>
      <c r="AP112" s="2244"/>
      <c r="AQ112" s="2244"/>
      <c r="AR112" s="2244"/>
      <c r="AS112" s="5240"/>
      <c r="AT112" s="2245"/>
      <c r="AU112" s="1259" t="s">
        <v>532</v>
      </c>
      <c r="AV112" s="1643"/>
      <c r="AW112" s="1625"/>
      <c r="AX112" s="1625" t="str">
        <f>IF(T112="","",T112)</f>
        <v>Источник тепловой энергии  </v>
      </c>
      <c r="AY112" s="1625"/>
      <c r="AZ112" s="1625"/>
      <c r="BA112" s="1636">
        <v>0</v>
      </c>
    </row>
    <row s="1851" customFormat="1" customHeight="1" ht="47.25">
      <c r="A113" s="1364"/>
      <c r="B113" s="1364"/>
      <c r="C113" s="1364"/>
      <c r="D113" s="1364"/>
      <c r="E113" s="2260" t="s">
        <v>94</v>
      </c>
      <c r="F113" s="2260"/>
      <c r="G113" s="2260"/>
      <c r="H113" s="2260"/>
      <c r="I113" s="2257" t="str">
        <f>S112&amp;".1"</f>
        <v>4.1.1.1.1</v>
      </c>
      <c r="J113" s="1364"/>
      <c r="K113" s="1364"/>
      <c r="L113" s="1370" t="s">
        <v>533</v>
      </c>
      <c r="M113" s="1367"/>
      <c r="N113" s="1777"/>
      <c r="O113" s="1777"/>
      <c r="P113" s="2375">
        <v>1</v>
      </c>
      <c r="Q113" s="2375"/>
      <c r="R113" s="357"/>
      <c r="S113" s="2274" t="str">
        <f>$I113</f>
        <v>4.1.1.1.1</v>
      </c>
      <c r="T113" s="286" t="s">
        <v>534</v>
      </c>
      <c r="U113" s="301"/>
      <c r="V113" s="2246"/>
      <c r="W113" s="2247"/>
      <c r="X113" s="2247"/>
      <c r="Y113" s="2247"/>
      <c r="Z113" s="2247"/>
      <c r="AA113" s="2247"/>
      <c r="AB113" s="2247"/>
      <c r="AC113" s="2248"/>
      <c r="AD113" s="2246" t="s">
        <v>576</v>
      </c>
      <c r="AE113" s="2247"/>
      <c r="AF113" s="2247"/>
      <c r="AG113" s="2247"/>
      <c r="AH113" s="2247"/>
      <c r="AI113" s="2247"/>
      <c r="AJ113" s="2247"/>
      <c r="AK113" s="2247"/>
      <c r="AL113" s="2246"/>
      <c r="AM113" s="2247"/>
      <c r="AN113" s="2247"/>
      <c r="AO113" s="2247"/>
      <c r="AP113" s="2247"/>
      <c r="AQ113" s="2247"/>
      <c r="AR113" s="2247"/>
      <c r="AS113" s="5241"/>
      <c r="AT113" s="2248"/>
      <c r="AU113" s="1259" t="s">
        <v>535</v>
      </c>
      <c r="AV113" s="1643"/>
      <c r="AW113" s="1625"/>
      <c r="AX113" s="1625" t="str">
        <f>IF(T113="","",T113)</f>
        <v>Схема подключения теплопотребляющей установки к коллектору источника тепловой энергии</v>
      </c>
      <c r="AY113" s="1625"/>
      <c r="AZ113" s="1625"/>
      <c r="BA113" s="1636">
        <v>0</v>
      </c>
    </row>
    <row s="1851" customFormat="1" customHeight="1" ht="21">
      <c r="A114" s="1364"/>
      <c r="B114" s="1364"/>
      <c r="C114" s="1364"/>
      <c r="D114" s="1364"/>
      <c r="E114" s="2260" t="s">
        <v>94</v>
      </c>
      <c r="F114" s="2260"/>
      <c r="G114" s="2260"/>
      <c r="H114" s="2260"/>
      <c r="I114" s="2287"/>
      <c r="J114" s="2257" t="str">
        <f>I113&amp;".1"</f>
        <v>4.1.1.1.1.1</v>
      </c>
      <c r="K114" s="1364"/>
      <c r="L114" s="1370" t="s">
        <v>536</v>
      </c>
      <c r="M114" s="1367"/>
      <c r="N114" s="1367"/>
      <c r="O114" s="1777"/>
      <c r="P114" s="2375"/>
      <c r="Q114" s="2375">
        <v>1</v>
      </c>
      <c r="R114" s="358"/>
      <c r="S114" s="2274" t="str">
        <f>$J114</f>
        <v>4.1.1.1.1.1</v>
      </c>
      <c r="T114" s="287" t="s">
        <v>537</v>
      </c>
      <c r="U114" s="301"/>
      <c r="V114" s="2246"/>
      <c r="W114" s="2247"/>
      <c r="X114" s="2247"/>
      <c r="Y114" s="2247"/>
      <c r="Z114" s="2247"/>
      <c r="AA114" s="2247"/>
      <c r="AB114" s="2247"/>
      <c r="AC114" s="2248"/>
      <c r="AD114" s="2246" t="s">
        <v>576</v>
      </c>
      <c r="AE114" s="2247"/>
      <c r="AF114" s="2247"/>
      <c r="AG114" s="2247"/>
      <c r="AH114" s="2247"/>
      <c r="AI114" s="2247"/>
      <c r="AJ114" s="2247"/>
      <c r="AK114" s="2247"/>
      <c r="AL114" s="2246"/>
      <c r="AM114" s="2247"/>
      <c r="AN114" s="2247"/>
      <c r="AO114" s="2247"/>
      <c r="AP114" s="2247"/>
      <c r="AQ114" s="2247"/>
      <c r="AR114" s="2247"/>
      <c r="AS114" s="5241"/>
      <c r="AT114" s="2248"/>
      <c r="AU114" s="1259" t="s">
        <v>538</v>
      </c>
      <c r="AV114" s="1643"/>
      <c r="AW114" s="1625"/>
      <c r="AX114" s="1625" t="str">
        <f>IF(T114="","",T114)</f>
        <v>Группа потребителей</v>
      </c>
      <c r="AY114" s="1625"/>
      <c r="AZ114" s="1625"/>
      <c r="BA114" s="1636">
        <v>0</v>
      </c>
    </row>
    <row s="1851" customFormat="1" customHeight="1" ht="21">
      <c r="A115" s="1364"/>
      <c r="B115" s="1364"/>
      <c r="C115" s="1364"/>
      <c r="D115" s="1364"/>
      <c r="E115" s="2260" t="s">
        <v>94</v>
      </c>
      <c r="F115" s="2260"/>
      <c r="G115" s="2260"/>
      <c r="H115" s="2260"/>
      <c r="I115" s="2287"/>
      <c r="J115" s="2287"/>
      <c r="K115" s="2257" t="str">
        <f>J114&amp;".1"</f>
        <v>4.1.1.1.1.1.1</v>
      </c>
      <c r="L115" s="1370" t="s">
        <v>539</v>
      </c>
      <c r="M115" s="1367"/>
      <c r="N115" s="1367"/>
      <c r="O115" s="1367"/>
      <c r="P115" s="2375"/>
      <c r="Q115" s="2375"/>
      <c r="R115" s="358">
        <v>1</v>
      </c>
      <c r="S115" s="2274" t="str">
        <f>$K115</f>
        <v>4.1.1.1.1.1.1</v>
      </c>
      <c r="T115" s="1348" t="s">
        <v>577</v>
      </c>
      <c r="U115" s="301"/>
      <c r="V115" s="752"/>
      <c r="W115" s="326"/>
      <c r="X115" s="752"/>
      <c r="Y115" s="1258"/>
      <c r="Z115" s="2603"/>
      <c r="AA115" s="2108" t="s">
        <v>65</v>
      </c>
      <c r="AB115" s="2603"/>
      <c r="AC115" s="2108" t="s">
        <v>65</v>
      </c>
      <c r="AD115" s="752">
        <v>3190.34</v>
      </c>
      <c r="AE115" s="326"/>
      <c r="AF115" s="752"/>
      <c r="AG115" s="1258"/>
      <c r="AH115" s="2603">
        <v>46023</v>
      </c>
      <c r="AI115" s="2108" t="s">
        <v>65</v>
      </c>
      <c r="AJ115" s="2603">
        <v>46295</v>
      </c>
      <c r="AK115" s="2108" t="s">
        <v>65</v>
      </c>
      <c r="AL115" s="752">
        <v>3190.34</v>
      </c>
      <c r="AM115" s="326"/>
      <c r="AN115" s="752"/>
      <c r="AO115" s="1258"/>
      <c r="AP115" s="2603">
        <v>46296</v>
      </c>
      <c r="AQ115" s="2108" t="s">
        <v>65</v>
      </c>
      <c r="AR115" s="2603">
        <v>46387</v>
      </c>
      <c r="AS115" s="2108" t="s">
        <v>65</v>
      </c>
      <c r="AT115" s="326"/>
      <c r="AU115" s="2254" t="s">
        <v>540</v>
      </c>
      <c r="AV115" s="1643">
        <f>STRCHECKDATE(V116:AT116)</f>
      </c>
      <c r="AW115" s="1625"/>
      <c r="AX115" s="1625" t="str">
        <f>IF(T115="","",T115)</f>
        <v>вода</v>
      </c>
      <c r="AY115" s="1625"/>
      <c r="AZ115" s="1625"/>
      <c r="BA115" s="1636">
        <v>0</v>
      </c>
    </row>
    <row s="1851" customFormat="1" customHeight="1" ht="0.75">
      <c r="A116" s="1364"/>
      <c r="B116" s="1364"/>
      <c r="C116" s="1364"/>
      <c r="D116" s="1364"/>
      <c r="E116" s="2260" t="s">
        <v>94</v>
      </c>
      <c r="F116" s="2260"/>
      <c r="G116" s="2260"/>
      <c r="H116" s="2260"/>
      <c r="I116" s="2287"/>
      <c r="J116" s="2287"/>
      <c r="K116" s="2257"/>
      <c r="L116" s="1370"/>
      <c r="M116" s="1367"/>
      <c r="N116" s="1367"/>
      <c r="O116" s="1367"/>
      <c r="P116" s="2375"/>
      <c r="Q116" s="2375"/>
      <c r="R116" s="358"/>
      <c r="S116" s="2514"/>
      <c r="T116" s="301"/>
      <c r="U116" s="301"/>
      <c r="V116" s="326"/>
      <c r="W116" s="326"/>
      <c r="X116" s="326"/>
      <c r="Y116" s="329" t="str">
        <f>Z115&amp;"-"&amp;AB115</f>
        <v>-</v>
      </c>
      <c r="Z116" s="2310"/>
      <c r="AA116" s="2108"/>
      <c r="AB116" s="2310"/>
      <c r="AC116" s="2108"/>
      <c r="AD116" s="326"/>
      <c r="AE116" s="326"/>
      <c r="AF116" s="326"/>
      <c r="AG116" s="329" t="str">
        <f>AH115&amp;"-"&amp;AJ115</f>
        <v>46023-46295</v>
      </c>
      <c r="AH116" s="2310"/>
      <c r="AI116" s="2108"/>
      <c r="AJ116" s="2310"/>
      <c r="AK116" s="2108"/>
      <c r="AL116" s="326"/>
      <c r="AM116" s="326"/>
      <c r="AN116" s="326"/>
      <c r="AO116" s="329" t="str">
        <f>AP115&amp;"-"&amp;AR115</f>
        <v>46296-46387</v>
      </c>
      <c r="AP116" s="2310"/>
      <c r="AQ116" s="2108"/>
      <c r="AR116" s="2310"/>
      <c r="AS116" s="2108"/>
      <c r="AT116" s="326"/>
      <c r="AU116" s="2255"/>
      <c r="AV116" s="1643"/>
      <c r="AW116" s="1625"/>
      <c r="AX116" s="1625" t="str">
        <f>IF(T116="","",T116)</f>
        <v/>
      </c>
      <c r="AY116" s="1625"/>
      <c r="AZ116" s="1625"/>
      <c r="BA116" s="1636">
        <v>0</v>
      </c>
    </row>
    <row s="1851" customFormat="1" customHeight="1" ht="15">
      <c r="A117" s="1364"/>
      <c r="B117" s="1364"/>
      <c r="C117" s="1364"/>
      <c r="D117" s="1364"/>
      <c r="E117" s="2260" t="s">
        <v>94</v>
      </c>
      <c r="F117" s="2260"/>
      <c r="G117" s="2260"/>
      <c r="H117" s="2260"/>
      <c r="I117" s="2287"/>
      <c r="J117" s="2257"/>
      <c r="K117" s="1364"/>
      <c r="L117" s="1370"/>
      <c r="M117" s="1367"/>
      <c r="N117" s="1367"/>
      <c r="O117" s="1777"/>
      <c r="P117" s="2375"/>
      <c r="Q117" s="2375"/>
      <c r="R117" s="357"/>
      <c r="S117" s="3233"/>
      <c r="T117" s="3234" t="s">
        <v>541</v>
      </c>
      <c r="U117" s="3235"/>
      <c r="V117" s="3236"/>
      <c r="W117" s="3237"/>
      <c r="X117" s="3238"/>
      <c r="Y117" s="3239"/>
      <c r="Z117" s="3240"/>
      <c r="AA117" s="3241"/>
      <c r="AB117" s="3242"/>
      <c r="AC117" s="3243"/>
      <c r="AD117" s="3244"/>
      <c r="AE117" s="3245"/>
      <c r="AF117" s="3246"/>
      <c r="AG117" s="3247"/>
      <c r="AH117" s="3248"/>
      <c r="AI117" s="3249"/>
      <c r="AJ117" s="3250"/>
      <c r="AK117" s="3251"/>
      <c r="AL117" s="3252"/>
      <c r="AM117" s="3253"/>
      <c r="AN117" s="3254"/>
      <c r="AO117" s="3255"/>
      <c r="AP117" s="3256"/>
      <c r="AQ117" s="3257"/>
      <c r="AR117" s="3258"/>
      <c r="AS117" s="5275"/>
      <c r="AT117" s="3260"/>
      <c r="AU117" s="2256"/>
      <c r="AV117" s="1643"/>
      <c r="AW117" s="1625"/>
      <c r="AX117" s="1625" t="str">
        <f>IF(T117="","",T117)</f>
        <v>Добавить вид теплоносителя (параметры теплоносителя)</v>
      </c>
      <c r="AY117" s="1625"/>
      <c r="AZ117" s="1625"/>
      <c r="BA117" s="1636">
        <v>0</v>
      </c>
    </row>
    <row s="1851" customFormat="1" customHeight="1" ht="15">
      <c r="A118" s="1364"/>
      <c r="B118" s="1364"/>
      <c r="C118" s="1364"/>
      <c r="D118" s="1364"/>
      <c r="E118" s="2260" t="s">
        <v>94</v>
      </c>
      <c r="F118" s="2260"/>
      <c r="G118" s="2260"/>
      <c r="H118" s="2260"/>
      <c r="I118" s="2257"/>
      <c r="J118" s="1364"/>
      <c r="K118" s="1364"/>
      <c r="L118" s="1370"/>
      <c r="M118" s="1367"/>
      <c r="N118" s="1777"/>
      <c r="O118" s="1777"/>
      <c r="P118" s="2375"/>
      <c r="Q118" s="2375"/>
      <c r="R118" s="357"/>
      <c r="S118" s="3261"/>
      <c r="T118" s="3262" t="s">
        <v>542</v>
      </c>
      <c r="U118" s="3263"/>
      <c r="V118" s="3264"/>
      <c r="W118" s="3265"/>
      <c r="X118" s="3266"/>
      <c r="Y118" s="3267"/>
      <c r="Z118" s="3268"/>
      <c r="AA118" s="3269"/>
      <c r="AB118" s="3270"/>
      <c r="AC118" s="3271"/>
      <c r="AD118" s="3272"/>
      <c r="AE118" s="3273"/>
      <c r="AF118" s="3274"/>
      <c r="AG118" s="3275"/>
      <c r="AH118" s="3276"/>
      <c r="AI118" s="3277"/>
      <c r="AJ118" s="3278"/>
      <c r="AK118" s="3279"/>
      <c r="AL118" s="3280"/>
      <c r="AM118" s="3281"/>
      <c r="AN118" s="3282"/>
      <c r="AO118" s="3283"/>
      <c r="AP118" s="3284"/>
      <c r="AQ118" s="3285"/>
      <c r="AR118" s="3286"/>
      <c r="AS118" s="5276"/>
      <c r="AT118" s="3288"/>
      <c r="AU118" s="3289"/>
      <c r="AV118" s="1643"/>
      <c r="AW118" s="1625"/>
      <c r="AX118" s="1625" t="str">
        <f>IF(T118="","",T118)</f>
        <v>Добавить группу потребителей</v>
      </c>
      <c r="AY118" s="1625"/>
      <c r="AZ118" s="1625"/>
      <c r="BA118" s="1636">
        <v>0</v>
      </c>
    </row>
    <row s="1851" customFormat="1" customHeight="1" ht="14.25">
      <c r="A119" s="1364"/>
      <c r="B119" s="1364"/>
      <c r="C119" s="1364"/>
      <c r="D119" s="1364"/>
      <c r="E119" s="2260" t="s">
        <v>94</v>
      </c>
      <c r="F119" s="2260"/>
      <c r="G119" s="2260"/>
      <c r="H119" s="2259"/>
      <c r="I119" s="1364"/>
      <c r="J119" s="1364"/>
      <c r="K119" s="1364"/>
      <c r="L119" s="1370"/>
      <c r="M119" s="1366"/>
      <c r="N119" s="1366"/>
      <c r="O119" s="1367"/>
      <c r="P119" s="1824"/>
      <c r="Q119" s="376"/>
      <c r="R119" s="356"/>
      <c r="S119" s="3290"/>
      <c r="T119" s="3291" t="s">
        <v>543</v>
      </c>
      <c r="U119" s="3292"/>
      <c r="V119" s="3293"/>
      <c r="W119" s="3294"/>
      <c r="X119" s="3295"/>
      <c r="Y119" s="3296"/>
      <c r="Z119" s="3297"/>
      <c r="AA119" s="3298"/>
      <c r="AB119" s="3299"/>
      <c r="AC119" s="3300"/>
      <c r="AD119" s="3301"/>
      <c r="AE119" s="3302"/>
      <c r="AF119" s="3303"/>
      <c r="AG119" s="3304"/>
      <c r="AH119" s="3305"/>
      <c r="AI119" s="3306"/>
      <c r="AJ119" s="3307"/>
      <c r="AK119" s="3308"/>
      <c r="AL119" s="3309"/>
      <c r="AM119" s="3310"/>
      <c r="AN119" s="3311"/>
      <c r="AO119" s="3312"/>
      <c r="AP119" s="3313"/>
      <c r="AQ119" s="3314"/>
      <c r="AR119" s="3315"/>
      <c r="AS119" s="5277"/>
      <c r="AT119" s="3317"/>
      <c r="AU119" s="3318"/>
      <c r="AV119" s="1643"/>
      <c r="AW119" s="1625"/>
      <c r="AX119" s="1625" t="str">
        <f>IF(T119="","",T119)</f>
        <v>Добавить схему подключения</v>
      </c>
      <c r="AY119" s="1625"/>
      <c r="AZ119" s="1625"/>
      <c r="BA119" s="1636">
        <v>0</v>
      </c>
    </row>
    <row s="623" customFormat="1" customHeight="1" ht="0.75">
      <c r="A120" s="1344"/>
      <c r="B120" s="1344"/>
      <c r="C120" s="1344"/>
      <c r="D120" s="1344"/>
      <c r="E120" s="2260" t="s">
        <v>94</v>
      </c>
      <c r="F120" s="2260"/>
      <c r="G120" s="2259"/>
      <c r="H120" s="1344"/>
      <c r="I120" s="1344"/>
      <c r="J120" s="1344"/>
      <c r="K120" s="1344"/>
      <c r="L120" s="1546"/>
      <c r="M120" s="1316"/>
      <c r="N120" s="1316"/>
      <c r="O120" s="1643"/>
      <c r="P120" s="1317"/>
      <c r="Q120" s="1345"/>
      <c r="R120" s="1317"/>
      <c r="S120" s="1319"/>
      <c r="T120" s="1320" t="s">
        <v>177</v>
      </c>
      <c r="U120" s="1321"/>
      <c r="V120" s="1321"/>
      <c r="W120" s="1321"/>
      <c r="X120" s="1321"/>
      <c r="Y120" s="1321"/>
      <c r="Z120" s="1321"/>
      <c r="AA120" s="1321"/>
      <c r="AB120" s="1321"/>
      <c r="AC120" s="1321"/>
      <c r="AD120" s="1321"/>
      <c r="AE120" s="1321"/>
      <c r="AF120" s="1321"/>
      <c r="AG120" s="1321"/>
      <c r="AH120" s="1321"/>
      <c r="AI120" s="1321"/>
      <c r="AJ120" s="1321"/>
      <c r="AK120" s="1321"/>
      <c r="AL120" s="1321"/>
      <c r="AM120" s="1321"/>
      <c r="AN120" s="1321"/>
      <c r="AO120" s="1321"/>
      <c r="AP120" s="1321"/>
      <c r="AQ120" s="1321"/>
      <c r="AR120" s="1321"/>
      <c r="AS120" s="1321"/>
      <c r="AT120" s="1321"/>
      <c r="AU120" s="1321"/>
      <c r="AV120" s="1643"/>
      <c r="AW120" s="1625"/>
      <c r="AX120" s="1625" t="str">
        <f>IF(T120="","",T120)</f>
        <v>Добавить источник для дифференциации</v>
      </c>
      <c r="AY120" s="1625"/>
      <c r="AZ120" s="1625"/>
      <c r="BA120" s="1643">
        <v>0</v>
      </c>
    </row>
    <row s="623" customFormat="1" customHeight="1" ht="0.75">
      <c r="A121" s="1344"/>
      <c r="B121" s="1344"/>
      <c r="C121" s="1344"/>
      <c r="D121" s="1344"/>
      <c r="E121" s="2260" t="s">
        <v>94</v>
      </c>
      <c r="F121" s="2259"/>
      <c r="G121" s="1344"/>
      <c r="H121" s="1344"/>
      <c r="I121" s="1344"/>
      <c r="J121" s="1344"/>
      <c r="K121" s="1344"/>
      <c r="L121" s="1546"/>
      <c r="M121" s="1322"/>
      <c r="N121" s="1322"/>
      <c r="O121" s="1643"/>
      <c r="P121" s="1317"/>
      <c r="Q121" s="1345"/>
      <c r="R121" s="1317"/>
      <c r="S121" s="1323"/>
      <c r="T121" s="1324" t="s">
        <v>178</v>
      </c>
      <c r="U121" s="1325"/>
      <c r="V121" s="1325"/>
      <c r="W121" s="1325"/>
      <c r="X121" s="1325"/>
      <c r="Y121" s="1325"/>
      <c r="Z121" s="1325"/>
      <c r="AA121" s="1325"/>
      <c r="AB121" s="1325"/>
      <c r="AC121" s="1325"/>
      <c r="AD121" s="1325"/>
      <c r="AE121" s="1325"/>
      <c r="AF121" s="1325"/>
      <c r="AG121" s="1325"/>
      <c r="AH121" s="1325"/>
      <c r="AI121" s="1325"/>
      <c r="AJ121" s="1325"/>
      <c r="AK121" s="1325"/>
      <c r="AL121" s="1325"/>
      <c r="AM121" s="1325"/>
      <c r="AN121" s="1325"/>
      <c r="AO121" s="1325"/>
      <c r="AP121" s="1325"/>
      <c r="AQ121" s="1325"/>
      <c r="AR121" s="1325"/>
      <c r="AS121" s="1325"/>
      <c r="AT121" s="1325"/>
      <c r="AU121" s="1325"/>
      <c r="AV121" s="1643"/>
      <c r="AW121" s="1625"/>
      <c r="AX121" s="1625" t="str">
        <f>IF(T121="","",T121)</f>
        <v>Добавить централизованную систему для дифференциации</v>
      </c>
      <c r="AY121" s="1625"/>
      <c r="AZ121" s="1625"/>
      <c r="BA121" s="1643">
        <v>0</v>
      </c>
    </row>
    <row s="623" customFormat="1" customHeight="1" ht="0.75">
      <c r="A122" s="1344"/>
      <c r="B122" s="1344"/>
      <c r="C122" s="1344"/>
      <c r="D122" s="1344"/>
      <c r="E122" s="2259" t="s">
        <v>94</v>
      </c>
      <c r="F122" s="1344"/>
      <c r="G122" s="1344"/>
      <c r="H122" s="1344"/>
      <c r="I122" s="1344"/>
      <c r="J122" s="1344"/>
      <c r="K122" s="1344"/>
      <c r="L122" s="1546"/>
      <c r="M122" s="1322"/>
      <c r="N122" s="1322"/>
      <c r="O122" s="1643"/>
      <c r="P122" s="1317"/>
      <c r="Q122" s="1345"/>
      <c r="R122" s="1317"/>
      <c r="S122" s="1323"/>
      <c r="T122" s="1326" t="s">
        <v>183</v>
      </c>
      <c r="U122" s="1325"/>
      <c r="V122" s="1325"/>
      <c r="W122" s="1325"/>
      <c r="X122" s="1325"/>
      <c r="Y122" s="1325"/>
      <c r="Z122" s="1325"/>
      <c r="AA122" s="1325"/>
      <c r="AB122" s="1325"/>
      <c r="AC122" s="1325"/>
      <c r="AD122" s="1325"/>
      <c r="AE122" s="1325"/>
      <c r="AF122" s="1325"/>
      <c r="AG122" s="1325"/>
      <c r="AH122" s="1325"/>
      <c r="AI122" s="1325"/>
      <c r="AJ122" s="1325"/>
      <c r="AK122" s="1325"/>
      <c r="AL122" s="1325"/>
      <c r="AM122" s="1325"/>
      <c r="AN122" s="1325"/>
      <c r="AO122" s="1325"/>
      <c r="AP122" s="1325"/>
      <c r="AQ122" s="1325"/>
      <c r="AR122" s="1325"/>
      <c r="AS122" s="1325"/>
      <c r="AT122" s="1325"/>
      <c r="AU122" s="1325"/>
      <c r="AV122" s="1643"/>
      <c r="AW122" s="1625"/>
      <c r="AX122" s="1625" t="str">
        <f>IF(T122="","",T122)</f>
        <v>Добавить территорию для дифференциации</v>
      </c>
      <c r="AY122" s="1625"/>
      <c r="AZ122" s="1625"/>
      <c r="BA122" s="1643">
        <v>0</v>
      </c>
    </row>
    <row s="1851" customFormat="1" customHeight="1" ht="21">
      <c r="A123" s="1364" t="s">
        <v>203</v>
      </c>
      <c r="B123" s="1364"/>
      <c r="C123" s="1364"/>
      <c r="D123" s="1364"/>
      <c r="E123" s="2259" t="s">
        <v>124</v>
      </c>
      <c r="F123" s="1364"/>
      <c r="G123" s="1364"/>
      <c r="H123" s="1364"/>
      <c r="I123" s="1364"/>
      <c r="J123" s="1364"/>
      <c r="K123" s="1364"/>
      <c r="L123" s="1370"/>
      <c r="M123" s="1366"/>
      <c r="N123" s="1366"/>
      <c r="O123" s="1366"/>
      <c r="P123" s="2398"/>
      <c r="Q123" s="1824"/>
      <c r="R123" s="356"/>
      <c r="S123" s="2274" t="str">
        <f>INDEX(PT_DIFFERENTIATION_NUM_NTAR,MATCH(A123,PT_DIFFERENTIATION_NTAR_ID,0))</f>
        <v>5</v>
      </c>
      <c r="T123" s="1526" t="s">
        <v>136</v>
      </c>
      <c r="U123" s="301"/>
      <c r="V123" s="2243"/>
      <c r="W123" s="2244"/>
      <c r="X123" s="2244"/>
      <c r="Y123" s="2244"/>
      <c r="Z123" s="2244"/>
      <c r="AA123" s="2244"/>
      <c r="AB123" s="2244"/>
      <c r="AC123" s="2245"/>
      <c r="AD123" s="2243" t="str">
        <f>INDEX(PT_DIFFERENTIATION_NTAR,MATCH(A123,PT_DIFFERENTIATION_NTAR_ID,0))</f>
        <v>Льготные тарифы на тепловую энергию, поставляемую группе потребителей "потребители (кроме населения)". Для потребителей в случае отсутствия дифференциации тарифов по схеме подключения. Муниципальный округ город Кировск с подведомственной территорией Мурманской области</v>
      </c>
      <c r="AE123" s="2244"/>
      <c r="AF123" s="2244"/>
      <c r="AG123" s="2244"/>
      <c r="AH123" s="2244"/>
      <c r="AI123" s="2244"/>
      <c r="AJ123" s="2244"/>
      <c r="AK123" s="2244"/>
      <c r="AL123" s="2243"/>
      <c r="AM123" s="2244"/>
      <c r="AN123" s="2244"/>
      <c r="AO123" s="2244"/>
      <c r="AP123" s="2244"/>
      <c r="AQ123" s="2244"/>
      <c r="AR123" s="2244"/>
      <c r="AS123" s="5240"/>
      <c r="AT123" s="2245"/>
      <c r="AU123" s="1259" t="s">
        <v>526</v>
      </c>
      <c r="AV123" s="1643"/>
      <c r="AW123" s="1625"/>
      <c r="AX123" s="1625" t="str">
        <f>IF(T123="","",T123)</f>
        <v>Наименование тарифа</v>
      </c>
      <c r="AY123" s="1625"/>
      <c r="AZ123" s="1625"/>
      <c r="BA123" s="1636">
        <v>0</v>
      </c>
    </row>
    <row s="1851" customFormat="1" customHeight="1" ht="21">
      <c r="A124" s="1364"/>
      <c r="B124" s="1364" t="s">
        <v>204</v>
      </c>
      <c r="C124" s="1364"/>
      <c r="D124" s="1364"/>
      <c r="E124" s="2260" t="s">
        <v>95</v>
      </c>
      <c r="F124" s="2259">
        <v>1</v>
      </c>
      <c r="G124" s="1364"/>
      <c r="H124" s="1364"/>
      <c r="I124" s="1364"/>
      <c r="J124" s="1364"/>
      <c r="K124" s="1364"/>
      <c r="L124" s="1370"/>
      <c r="M124" s="1366"/>
      <c r="N124" s="1366"/>
      <c r="O124" s="1366"/>
      <c r="P124" s="2126"/>
      <c r="Q124" s="353"/>
      <c r="R124" s="354"/>
      <c r="S124" s="2274" t="str">
        <f>INDEX(PT_DIFFERENTIATION_NUM_TER,MATCH(B124,PT_DIFFERENTIATION_TER_ID,0))</f>
        <v>5.1</v>
      </c>
      <c r="T124" s="1523" t="s">
        <v>527</v>
      </c>
      <c r="U124" s="301"/>
      <c r="V124" s="2243"/>
      <c r="W124" s="2244"/>
      <c r="X124" s="2244"/>
      <c r="Y124" s="2244"/>
      <c r="Z124" s="2244"/>
      <c r="AA124" s="2244"/>
      <c r="AB124" s="2244"/>
      <c r="AC124" s="2245"/>
      <c r="AD124" s="2243" t="str">
        <f>INDEX(PT_DIFFERENTIATION_TER,MATCH(B124,PT_DIFFERENTIATION_TER_ID,0))</f>
        <v>Территория 2</v>
      </c>
      <c r="AE124" s="2244"/>
      <c r="AF124" s="2244"/>
      <c r="AG124" s="2244"/>
      <c r="AH124" s="2244"/>
      <c r="AI124" s="2244"/>
      <c r="AJ124" s="2244"/>
      <c r="AK124" s="2244"/>
      <c r="AL124" s="2243"/>
      <c r="AM124" s="2244"/>
      <c r="AN124" s="2244"/>
      <c r="AO124" s="2244"/>
      <c r="AP124" s="2244"/>
      <c r="AQ124" s="2244"/>
      <c r="AR124" s="2244"/>
      <c r="AS124" s="5240"/>
      <c r="AT124" s="2245"/>
      <c r="AU124" s="1259" t="s">
        <v>528</v>
      </c>
      <c r="AV124" s="1643"/>
      <c r="AW124" s="1625"/>
      <c r="AX124" s="1625" t="str">
        <f>IF(T124="","",T124)</f>
        <v>Территория действия тарифа</v>
      </c>
      <c r="AY124" s="1625"/>
      <c r="AZ124" s="1625"/>
      <c r="BA124" s="1636">
        <v>0</v>
      </c>
    </row>
    <row s="1851" customFormat="1" customHeight="1" ht="23.25">
      <c r="A125" s="1364"/>
      <c r="B125" s="1364"/>
      <c r="C125" s="1364" t="s">
        <v>205</v>
      </c>
      <c r="D125" s="1364"/>
      <c r="E125" s="2260" t="s">
        <v>95</v>
      </c>
      <c r="F125" s="2260"/>
      <c r="G125" s="2259">
        <v>1</v>
      </c>
      <c r="H125" s="1364"/>
      <c r="I125" s="1364"/>
      <c r="J125" s="1364"/>
      <c r="K125" s="1364"/>
      <c r="L125" s="1370"/>
      <c r="M125" s="1366"/>
      <c r="N125" s="1366"/>
      <c r="O125" s="1366"/>
      <c r="P125" s="355"/>
      <c r="Q125" s="353"/>
      <c r="R125" s="354"/>
      <c r="S125" s="2274" t="str">
        <f>INDEX(PT_DIFFERENTIATION_NUM_CS,MATCH(C125,PT_DIFFERENTIATION_CS_ID,0))</f>
        <v>5.1.1</v>
      </c>
      <c r="T125" s="310" t="s">
        <v>529</v>
      </c>
      <c r="U125" s="301"/>
      <c r="V125" s="2243"/>
      <c r="W125" s="2244"/>
      <c r="X125" s="2244"/>
      <c r="Y125" s="2244"/>
      <c r="Z125" s="2244"/>
      <c r="AA125" s="2244"/>
      <c r="AB125" s="2244"/>
      <c r="AC125" s="2245"/>
      <c r="AD125" s="2243" t="str">
        <f>INDEX(PT_DIFFERENTIATION_CS,MATCH(C125,PT_DIFFERENTIATION_CS_ID,0))</f>
        <v>открытая система теплоснабжения г. Кировск</v>
      </c>
      <c r="AE125" s="2244"/>
      <c r="AF125" s="2244"/>
      <c r="AG125" s="2244"/>
      <c r="AH125" s="2244"/>
      <c r="AI125" s="2244"/>
      <c r="AJ125" s="2244"/>
      <c r="AK125" s="2244"/>
      <c r="AL125" s="2243"/>
      <c r="AM125" s="2244"/>
      <c r="AN125" s="2244"/>
      <c r="AO125" s="2244"/>
      <c r="AP125" s="2244"/>
      <c r="AQ125" s="2244"/>
      <c r="AR125" s="2244"/>
      <c r="AS125" s="5240"/>
      <c r="AT125" s="2245"/>
      <c r="AU125" s="1259" t="s">
        <v>530</v>
      </c>
      <c r="AV125" s="1643"/>
      <c r="AW125" s="1625"/>
      <c r="AX125" s="1625" t="str">
        <f>IF(T125="","",T125)</f>
        <v>Наименование системы теплоснабжения </v>
      </c>
      <c r="AY125" s="1625"/>
      <c r="AZ125" s="1625"/>
      <c r="BA125" s="1636">
        <v>0</v>
      </c>
    </row>
    <row s="1851" customFormat="1" customHeight="1" ht="21">
      <c r="A126" s="1364"/>
      <c r="B126" s="1364"/>
      <c r="C126" s="1364"/>
      <c r="D126" s="1364" t="s">
        <v>206</v>
      </c>
      <c r="E126" s="2260" t="s">
        <v>95</v>
      </c>
      <c r="F126" s="2260"/>
      <c r="G126" s="2260"/>
      <c r="H126" s="2259">
        <v>1</v>
      </c>
      <c r="I126" s="1364"/>
      <c r="J126" s="1364"/>
      <c r="K126" s="1364"/>
      <c r="L126" s="1370"/>
      <c r="M126" s="1366"/>
      <c r="N126" s="1366"/>
      <c r="O126" s="1366"/>
      <c r="P126" s="355"/>
      <c r="Q126" s="353"/>
      <c r="R126" s="354"/>
      <c r="S126" s="2274" t="str">
        <f>INDEX(PT_DIFFERENTIATION_NUM_IST_TE,MATCH(D126,PT_DIFFERENTIATION_IST_TE_ID,0))</f>
        <v>5.1.1.1</v>
      </c>
      <c r="T126" s="311" t="s">
        <v>531</v>
      </c>
      <c r="U126" s="301"/>
      <c r="V126" s="2243"/>
      <c r="W126" s="2244"/>
      <c r="X126" s="2244"/>
      <c r="Y126" s="2244"/>
      <c r="Z126" s="2244"/>
      <c r="AA126" s="2244"/>
      <c r="AB126" s="2244"/>
      <c r="AC126" s="2245"/>
      <c r="AD126" s="2243" t="str">
        <f>INDEX(PT_DIFFERENTIATION_IST_TE,MATCH(D126,PT_DIFFERENTIATION_IST_TE_ID,0))</f>
        <v>Апатитская ТЭЦ</v>
      </c>
      <c r="AE126" s="2244"/>
      <c r="AF126" s="2244"/>
      <c r="AG126" s="2244"/>
      <c r="AH126" s="2244"/>
      <c r="AI126" s="2244"/>
      <c r="AJ126" s="2244"/>
      <c r="AK126" s="2244"/>
      <c r="AL126" s="2243"/>
      <c r="AM126" s="2244"/>
      <c r="AN126" s="2244"/>
      <c r="AO126" s="2244"/>
      <c r="AP126" s="2244"/>
      <c r="AQ126" s="2244"/>
      <c r="AR126" s="2244"/>
      <c r="AS126" s="5240"/>
      <c r="AT126" s="2245"/>
      <c r="AU126" s="1259" t="s">
        <v>532</v>
      </c>
      <c r="AV126" s="1643"/>
      <c r="AW126" s="1625"/>
      <c r="AX126" s="1625" t="str">
        <f>IF(T126="","",T126)</f>
        <v>Источник тепловой энергии  </v>
      </c>
      <c r="AY126" s="1625"/>
      <c r="AZ126" s="1625"/>
      <c r="BA126" s="1636">
        <v>0</v>
      </c>
    </row>
    <row s="1851" customFormat="1" customHeight="1" ht="47.25">
      <c r="A127" s="1364"/>
      <c r="B127" s="1364"/>
      <c r="C127" s="1364"/>
      <c r="D127" s="1364"/>
      <c r="E127" s="2260" t="s">
        <v>95</v>
      </c>
      <c r="F127" s="2260"/>
      <c r="G127" s="2260"/>
      <c r="H127" s="2260"/>
      <c r="I127" s="2257" t="str">
        <f>S126&amp;".1"</f>
        <v>5.1.1.1.1</v>
      </c>
      <c r="J127" s="1364"/>
      <c r="K127" s="1364"/>
      <c r="L127" s="1370" t="s">
        <v>533</v>
      </c>
      <c r="M127" s="1367"/>
      <c r="N127" s="1777"/>
      <c r="O127" s="1777"/>
      <c r="P127" s="2375">
        <v>1</v>
      </c>
      <c r="Q127" s="2375"/>
      <c r="R127" s="357"/>
      <c r="S127" s="2274" t="str">
        <f>$I127</f>
        <v>5.1.1.1.1</v>
      </c>
      <c r="T127" s="286" t="s">
        <v>534</v>
      </c>
      <c r="U127" s="301"/>
      <c r="V127" s="2246"/>
      <c r="W127" s="2247"/>
      <c r="X127" s="2247"/>
      <c r="Y127" s="2247"/>
      <c r="Z127" s="2247"/>
      <c r="AA127" s="2247"/>
      <c r="AB127" s="2247"/>
      <c r="AC127" s="2248"/>
      <c r="AD127" s="2246" t="s">
        <v>576</v>
      </c>
      <c r="AE127" s="2247"/>
      <c r="AF127" s="2247"/>
      <c r="AG127" s="2247"/>
      <c r="AH127" s="2247"/>
      <c r="AI127" s="2247"/>
      <c r="AJ127" s="2247"/>
      <c r="AK127" s="2247"/>
      <c r="AL127" s="2246"/>
      <c r="AM127" s="2247"/>
      <c r="AN127" s="2247"/>
      <c r="AO127" s="2247"/>
      <c r="AP127" s="2247"/>
      <c r="AQ127" s="2247"/>
      <c r="AR127" s="2247"/>
      <c r="AS127" s="5241"/>
      <c r="AT127" s="2248"/>
      <c r="AU127" s="1259" t="s">
        <v>535</v>
      </c>
      <c r="AV127" s="1643"/>
      <c r="AW127" s="1625"/>
      <c r="AX127" s="1625" t="str">
        <f>IF(T127="","",T127)</f>
        <v>Схема подключения теплопотребляющей установки к коллектору источника тепловой энергии</v>
      </c>
      <c r="AY127" s="1625"/>
      <c r="AZ127" s="1625"/>
      <c r="BA127" s="1636">
        <v>0</v>
      </c>
    </row>
    <row s="1851" customFormat="1" customHeight="1" ht="21">
      <c r="A128" s="1364"/>
      <c r="B128" s="1364"/>
      <c r="C128" s="1364"/>
      <c r="D128" s="1364"/>
      <c r="E128" s="2260" t="s">
        <v>95</v>
      </c>
      <c r="F128" s="2260"/>
      <c r="G128" s="2260"/>
      <c r="H128" s="2260"/>
      <c r="I128" s="2287"/>
      <c r="J128" s="2257" t="str">
        <f>I127&amp;".1"</f>
        <v>5.1.1.1.1.1</v>
      </c>
      <c r="K128" s="1364"/>
      <c r="L128" s="1370" t="s">
        <v>536</v>
      </c>
      <c r="M128" s="1367"/>
      <c r="N128" s="1367"/>
      <c r="O128" s="1777"/>
      <c r="P128" s="2375"/>
      <c r="Q128" s="2375">
        <v>1</v>
      </c>
      <c r="R128" s="358"/>
      <c r="S128" s="2274" t="str">
        <f>$J128</f>
        <v>5.1.1.1.1.1</v>
      </c>
      <c r="T128" s="287" t="s">
        <v>537</v>
      </c>
      <c r="U128" s="301"/>
      <c r="V128" s="2246"/>
      <c r="W128" s="2247"/>
      <c r="X128" s="2247"/>
      <c r="Y128" s="2247"/>
      <c r="Z128" s="2247"/>
      <c r="AA128" s="2247"/>
      <c r="AB128" s="2247"/>
      <c r="AC128" s="2248"/>
      <c r="AD128" s="2246" t="s">
        <v>576</v>
      </c>
      <c r="AE128" s="2247"/>
      <c r="AF128" s="2247"/>
      <c r="AG128" s="2247"/>
      <c r="AH128" s="2247"/>
      <c r="AI128" s="2247"/>
      <c r="AJ128" s="2247"/>
      <c r="AK128" s="2247"/>
      <c r="AL128" s="2246"/>
      <c r="AM128" s="2247"/>
      <c r="AN128" s="2247"/>
      <c r="AO128" s="2247"/>
      <c r="AP128" s="2247"/>
      <c r="AQ128" s="2247"/>
      <c r="AR128" s="2247"/>
      <c r="AS128" s="5241"/>
      <c r="AT128" s="2248"/>
      <c r="AU128" s="1259" t="s">
        <v>538</v>
      </c>
      <c r="AV128" s="1643"/>
      <c r="AW128" s="1625"/>
      <c r="AX128" s="1625" t="str">
        <f>IF(T128="","",T128)</f>
        <v>Группа потребителей</v>
      </c>
      <c r="AY128" s="1625"/>
      <c r="AZ128" s="1625"/>
      <c r="BA128" s="1636">
        <v>0</v>
      </c>
    </row>
    <row s="1851" customFormat="1" customHeight="1" ht="21">
      <c r="A129" s="1364"/>
      <c r="B129" s="1364"/>
      <c r="C129" s="1364"/>
      <c r="D129" s="1364"/>
      <c r="E129" s="2260" t="s">
        <v>95</v>
      </c>
      <c r="F129" s="2260"/>
      <c r="G129" s="2260"/>
      <c r="H129" s="2260"/>
      <c r="I129" s="2287"/>
      <c r="J129" s="2287"/>
      <c r="K129" s="2257" t="str">
        <f>J128&amp;".1"</f>
        <v>5.1.1.1.1.1.1</v>
      </c>
      <c r="L129" s="1370" t="s">
        <v>539</v>
      </c>
      <c r="M129" s="1367"/>
      <c r="N129" s="1367"/>
      <c r="O129" s="1367"/>
      <c r="P129" s="2375"/>
      <c r="Q129" s="2375"/>
      <c r="R129" s="358">
        <v>1</v>
      </c>
      <c r="S129" s="2274" t="str">
        <f>$K129</f>
        <v>5.1.1.1.1.1.1</v>
      </c>
      <c r="T129" s="1348" t="s">
        <v>577</v>
      </c>
      <c r="U129" s="301"/>
      <c r="V129" s="752"/>
      <c r="W129" s="326"/>
      <c r="X129" s="752"/>
      <c r="Y129" s="1258"/>
      <c r="Z129" s="2603"/>
      <c r="AA129" s="2108" t="s">
        <v>65</v>
      </c>
      <c r="AB129" s="2603"/>
      <c r="AC129" s="2108" t="s">
        <v>65</v>
      </c>
      <c r="AD129" s="752">
        <v>3190.34</v>
      </c>
      <c r="AE129" s="326"/>
      <c r="AF129" s="752"/>
      <c r="AG129" s="1258"/>
      <c r="AH129" s="2603">
        <v>46023</v>
      </c>
      <c r="AI129" s="2108" t="s">
        <v>65</v>
      </c>
      <c r="AJ129" s="2603">
        <v>46295</v>
      </c>
      <c r="AK129" s="2108" t="s">
        <v>65</v>
      </c>
      <c r="AL129" s="752">
        <v>3190.34</v>
      </c>
      <c r="AM129" s="326"/>
      <c r="AN129" s="752"/>
      <c r="AO129" s="1258"/>
      <c r="AP129" s="2603">
        <v>46296</v>
      </c>
      <c r="AQ129" s="2108" t="s">
        <v>65</v>
      </c>
      <c r="AR129" s="2603">
        <v>46387</v>
      </c>
      <c r="AS129" s="2108" t="s">
        <v>65</v>
      </c>
      <c r="AT129" s="326"/>
      <c r="AU129" s="2254" t="s">
        <v>540</v>
      </c>
      <c r="AV129" s="1643">
        <f>STRCHECKDATE(V130:AT130)</f>
      </c>
      <c r="AW129" s="1625"/>
      <c r="AX129" s="1625" t="str">
        <f>IF(T129="","",T129)</f>
        <v>вода</v>
      </c>
      <c r="AY129" s="1625"/>
      <c r="AZ129" s="1625"/>
      <c r="BA129" s="1636">
        <v>0</v>
      </c>
    </row>
    <row s="1851" customFormat="1" customHeight="1" ht="0.75">
      <c r="A130" s="1364"/>
      <c r="B130" s="1364"/>
      <c r="C130" s="1364"/>
      <c r="D130" s="1364"/>
      <c r="E130" s="2260" t="s">
        <v>95</v>
      </c>
      <c r="F130" s="2260"/>
      <c r="G130" s="2260"/>
      <c r="H130" s="2260"/>
      <c r="I130" s="2287"/>
      <c r="J130" s="2287"/>
      <c r="K130" s="2257"/>
      <c r="L130" s="1370"/>
      <c r="M130" s="1367"/>
      <c r="N130" s="1367"/>
      <c r="O130" s="1367"/>
      <c r="P130" s="2375"/>
      <c r="Q130" s="2375"/>
      <c r="R130" s="358"/>
      <c r="S130" s="2514"/>
      <c r="T130" s="301"/>
      <c r="U130" s="301"/>
      <c r="V130" s="326"/>
      <c r="W130" s="326"/>
      <c r="X130" s="326"/>
      <c r="Y130" s="329" t="str">
        <f>Z129&amp;"-"&amp;AB129</f>
        <v>-</v>
      </c>
      <c r="Z130" s="2310"/>
      <c r="AA130" s="2108"/>
      <c r="AB130" s="2310"/>
      <c r="AC130" s="2108"/>
      <c r="AD130" s="326"/>
      <c r="AE130" s="326"/>
      <c r="AF130" s="326"/>
      <c r="AG130" s="329" t="str">
        <f>AH129&amp;"-"&amp;AJ129</f>
        <v>46023-46295</v>
      </c>
      <c r="AH130" s="2310"/>
      <c r="AI130" s="2108"/>
      <c r="AJ130" s="2310"/>
      <c r="AK130" s="2108"/>
      <c r="AL130" s="326"/>
      <c r="AM130" s="326"/>
      <c r="AN130" s="326"/>
      <c r="AO130" s="329" t="str">
        <f>AP129&amp;"-"&amp;AR129</f>
        <v>46296-46387</v>
      </c>
      <c r="AP130" s="2310"/>
      <c r="AQ130" s="2108"/>
      <c r="AR130" s="2310"/>
      <c r="AS130" s="2108"/>
      <c r="AT130" s="326"/>
      <c r="AU130" s="2255"/>
      <c r="AV130" s="1643"/>
      <c r="AW130" s="1625"/>
      <c r="AX130" s="1625" t="str">
        <f>IF(T130="","",T130)</f>
        <v/>
      </c>
      <c r="AY130" s="1625"/>
      <c r="AZ130" s="1625"/>
      <c r="BA130" s="1636">
        <v>0</v>
      </c>
    </row>
    <row s="1851" customFormat="1" customHeight="1" ht="15">
      <c r="A131" s="1364"/>
      <c r="B131" s="1364"/>
      <c r="C131" s="1364"/>
      <c r="D131" s="1364"/>
      <c r="E131" s="2260" t="s">
        <v>95</v>
      </c>
      <c r="F131" s="2260"/>
      <c r="G131" s="2260"/>
      <c r="H131" s="2260"/>
      <c r="I131" s="2287"/>
      <c r="J131" s="2257"/>
      <c r="K131" s="1364"/>
      <c r="L131" s="1370"/>
      <c r="M131" s="1367"/>
      <c r="N131" s="1367"/>
      <c r="O131" s="1777"/>
      <c r="P131" s="2375"/>
      <c r="Q131" s="2375"/>
      <c r="R131" s="357"/>
      <c r="S131" s="3319"/>
      <c r="T131" s="3320" t="s">
        <v>541</v>
      </c>
      <c r="U131" s="3321"/>
      <c r="V131" s="3322"/>
      <c r="W131" s="3323"/>
      <c r="X131" s="3324"/>
      <c r="Y131" s="3325"/>
      <c r="Z131" s="3326"/>
      <c r="AA131" s="3327"/>
      <c r="AB131" s="3328"/>
      <c r="AC131" s="3329"/>
      <c r="AD131" s="3330"/>
      <c r="AE131" s="3331"/>
      <c r="AF131" s="3332"/>
      <c r="AG131" s="3333"/>
      <c r="AH131" s="3334"/>
      <c r="AI131" s="3335"/>
      <c r="AJ131" s="3336"/>
      <c r="AK131" s="3337"/>
      <c r="AL131" s="3338"/>
      <c r="AM131" s="3339"/>
      <c r="AN131" s="3340"/>
      <c r="AO131" s="3341"/>
      <c r="AP131" s="3342"/>
      <c r="AQ131" s="3343"/>
      <c r="AR131" s="3344"/>
      <c r="AS131" s="5278"/>
      <c r="AT131" s="3346"/>
      <c r="AU131" s="2256"/>
      <c r="AV131" s="1643"/>
      <c r="AW131" s="1625"/>
      <c r="AX131" s="1625" t="str">
        <f>IF(T131="","",T131)</f>
        <v>Добавить вид теплоносителя (параметры теплоносителя)</v>
      </c>
      <c r="AY131" s="1625"/>
      <c r="AZ131" s="1625"/>
      <c r="BA131" s="1636">
        <v>0</v>
      </c>
    </row>
    <row s="1851" customFormat="1" customHeight="1" ht="15">
      <c r="A132" s="1364"/>
      <c r="B132" s="1364"/>
      <c r="C132" s="1364"/>
      <c r="D132" s="1364"/>
      <c r="E132" s="2260" t="s">
        <v>95</v>
      </c>
      <c r="F132" s="2260"/>
      <c r="G132" s="2260"/>
      <c r="H132" s="2260"/>
      <c r="I132" s="2257"/>
      <c r="J132" s="1364"/>
      <c r="K132" s="1364"/>
      <c r="L132" s="1370"/>
      <c r="M132" s="1367"/>
      <c r="N132" s="1777"/>
      <c r="O132" s="1777"/>
      <c r="P132" s="2375"/>
      <c r="Q132" s="2375"/>
      <c r="R132" s="357"/>
      <c r="S132" s="3347"/>
      <c r="T132" s="3348" t="s">
        <v>542</v>
      </c>
      <c r="U132" s="3349"/>
      <c r="V132" s="3350"/>
      <c r="W132" s="3351"/>
      <c r="X132" s="3352"/>
      <c r="Y132" s="3353"/>
      <c r="Z132" s="3354"/>
      <c r="AA132" s="3355"/>
      <c r="AB132" s="3356"/>
      <c r="AC132" s="3357"/>
      <c r="AD132" s="3358"/>
      <c r="AE132" s="3359"/>
      <c r="AF132" s="3360"/>
      <c r="AG132" s="3361"/>
      <c r="AH132" s="3362"/>
      <c r="AI132" s="3363"/>
      <c r="AJ132" s="3364"/>
      <c r="AK132" s="3365"/>
      <c r="AL132" s="3366"/>
      <c r="AM132" s="3367"/>
      <c r="AN132" s="3368"/>
      <c r="AO132" s="3369"/>
      <c r="AP132" s="3370"/>
      <c r="AQ132" s="3371"/>
      <c r="AR132" s="3372"/>
      <c r="AS132" s="5279"/>
      <c r="AT132" s="3374"/>
      <c r="AU132" s="3375"/>
      <c r="AV132" s="1643"/>
      <c r="AW132" s="1625"/>
      <c r="AX132" s="1625" t="str">
        <f>IF(T132="","",T132)</f>
        <v>Добавить группу потребителей</v>
      </c>
      <c r="AY132" s="1625"/>
      <c r="AZ132" s="1625"/>
      <c r="BA132" s="1636">
        <v>0</v>
      </c>
    </row>
    <row s="1851" customFormat="1" customHeight="1" ht="14.25">
      <c r="A133" s="1364"/>
      <c r="B133" s="1364"/>
      <c r="C133" s="1364"/>
      <c r="D133" s="1364"/>
      <c r="E133" s="2260" t="s">
        <v>95</v>
      </c>
      <c r="F133" s="2260"/>
      <c r="G133" s="2260"/>
      <c r="H133" s="2259"/>
      <c r="I133" s="1364"/>
      <c r="J133" s="1364"/>
      <c r="K133" s="1364"/>
      <c r="L133" s="1370"/>
      <c r="M133" s="1366"/>
      <c r="N133" s="1366"/>
      <c r="O133" s="1367"/>
      <c r="P133" s="1824"/>
      <c r="Q133" s="376"/>
      <c r="R133" s="356"/>
      <c r="S133" s="3376"/>
      <c r="T133" s="3377" t="s">
        <v>543</v>
      </c>
      <c r="U133" s="3378"/>
      <c r="V133" s="3379"/>
      <c r="W133" s="3380"/>
      <c r="X133" s="3381"/>
      <c r="Y133" s="3382"/>
      <c r="Z133" s="3383"/>
      <c r="AA133" s="3384"/>
      <c r="AB133" s="3385"/>
      <c r="AC133" s="3386"/>
      <c r="AD133" s="3387"/>
      <c r="AE133" s="3388"/>
      <c r="AF133" s="3389"/>
      <c r="AG133" s="3390"/>
      <c r="AH133" s="3391"/>
      <c r="AI133" s="3392"/>
      <c r="AJ133" s="3393"/>
      <c r="AK133" s="3394"/>
      <c r="AL133" s="3395"/>
      <c r="AM133" s="3396"/>
      <c r="AN133" s="3397"/>
      <c r="AO133" s="3398"/>
      <c r="AP133" s="3399"/>
      <c r="AQ133" s="3400"/>
      <c r="AR133" s="3401"/>
      <c r="AS133" s="5280"/>
      <c r="AT133" s="3403"/>
      <c r="AU133" s="3404"/>
      <c r="AV133" s="1643"/>
      <c r="AW133" s="1625"/>
      <c r="AX133" s="1625" t="str">
        <f>IF(T133="","",T133)</f>
        <v>Добавить схему подключения</v>
      </c>
      <c r="AY133" s="1625"/>
      <c r="AZ133" s="1625"/>
      <c r="BA133" s="1636">
        <v>0</v>
      </c>
    </row>
    <row s="623" customFormat="1" customHeight="1" ht="0.75">
      <c r="A134" s="1344"/>
      <c r="B134" s="1344"/>
      <c r="C134" s="1344"/>
      <c r="D134" s="1344"/>
      <c r="E134" s="2260" t="s">
        <v>95</v>
      </c>
      <c r="F134" s="2260"/>
      <c r="G134" s="2259"/>
      <c r="H134" s="1344"/>
      <c r="I134" s="1344"/>
      <c r="J134" s="1344"/>
      <c r="K134" s="1344"/>
      <c r="L134" s="1546"/>
      <c r="M134" s="1316"/>
      <c r="N134" s="1316"/>
      <c r="O134" s="1643"/>
      <c r="P134" s="1317"/>
      <c r="Q134" s="1345"/>
      <c r="R134" s="1317"/>
      <c r="S134" s="1319"/>
      <c r="T134" s="1320" t="s">
        <v>177</v>
      </c>
      <c r="U134" s="1321"/>
      <c r="V134" s="1321"/>
      <c r="W134" s="1321"/>
      <c r="X134" s="1321"/>
      <c r="Y134" s="1321"/>
      <c r="Z134" s="1321"/>
      <c r="AA134" s="1321"/>
      <c r="AB134" s="1321"/>
      <c r="AC134" s="1321"/>
      <c r="AD134" s="1321"/>
      <c r="AE134" s="1321"/>
      <c r="AF134" s="1321"/>
      <c r="AG134" s="1321"/>
      <c r="AH134" s="1321"/>
      <c r="AI134" s="1321"/>
      <c r="AJ134" s="1321"/>
      <c r="AK134" s="1321"/>
      <c r="AL134" s="1321"/>
      <c r="AM134" s="1321"/>
      <c r="AN134" s="1321"/>
      <c r="AO134" s="1321"/>
      <c r="AP134" s="1321"/>
      <c r="AQ134" s="1321"/>
      <c r="AR134" s="1321"/>
      <c r="AS134" s="1321"/>
      <c r="AT134" s="1321"/>
      <c r="AU134" s="1321"/>
      <c r="AV134" s="1643"/>
      <c r="AW134" s="1625"/>
      <c r="AX134" s="1625" t="str">
        <f>IF(T134="","",T134)</f>
        <v>Добавить источник для дифференциации</v>
      </c>
      <c r="AY134" s="1625"/>
      <c r="AZ134" s="1625"/>
      <c r="BA134" s="1643">
        <v>0</v>
      </c>
    </row>
    <row s="623" customFormat="1" customHeight="1" ht="0.75">
      <c r="A135" s="1344"/>
      <c r="B135" s="1344"/>
      <c r="C135" s="1344"/>
      <c r="D135" s="1344"/>
      <c r="E135" s="2260" t="s">
        <v>95</v>
      </c>
      <c r="F135" s="2259"/>
      <c r="G135" s="1344"/>
      <c r="H135" s="1344"/>
      <c r="I135" s="1344"/>
      <c r="J135" s="1344"/>
      <c r="K135" s="1344"/>
      <c r="L135" s="1546"/>
      <c r="M135" s="1322"/>
      <c r="N135" s="1322"/>
      <c r="O135" s="1643"/>
      <c r="P135" s="1317"/>
      <c r="Q135" s="1345"/>
      <c r="R135" s="1317"/>
      <c r="S135" s="1323"/>
      <c r="T135" s="1324" t="s">
        <v>178</v>
      </c>
      <c r="U135" s="1325"/>
      <c r="V135" s="1325"/>
      <c r="W135" s="1325"/>
      <c r="X135" s="1325"/>
      <c r="Y135" s="1325"/>
      <c r="Z135" s="1325"/>
      <c r="AA135" s="1325"/>
      <c r="AB135" s="1325"/>
      <c r="AC135" s="1325"/>
      <c r="AD135" s="1325"/>
      <c r="AE135" s="1325"/>
      <c r="AF135" s="1325"/>
      <c r="AG135" s="1325"/>
      <c r="AH135" s="1325"/>
      <c r="AI135" s="1325"/>
      <c r="AJ135" s="1325"/>
      <c r="AK135" s="1325"/>
      <c r="AL135" s="1325"/>
      <c r="AM135" s="1325"/>
      <c r="AN135" s="1325"/>
      <c r="AO135" s="1325"/>
      <c r="AP135" s="1325"/>
      <c r="AQ135" s="1325"/>
      <c r="AR135" s="1325"/>
      <c r="AS135" s="1325"/>
      <c r="AT135" s="1325"/>
      <c r="AU135" s="1325"/>
      <c r="AV135" s="1643"/>
      <c r="AW135" s="1625"/>
      <c r="AX135" s="1625" t="str">
        <f>IF(T135="","",T135)</f>
        <v>Добавить централизованную систему для дифференциации</v>
      </c>
      <c r="AY135" s="1625"/>
      <c r="AZ135" s="1625"/>
      <c r="BA135" s="1643">
        <v>0</v>
      </c>
    </row>
    <row s="623" customFormat="1" customHeight="1" ht="0.75">
      <c r="A136" s="1344"/>
      <c r="B136" s="1344"/>
      <c r="C136" s="1344"/>
      <c r="D136" s="1344"/>
      <c r="E136" s="2259" t="s">
        <v>95</v>
      </c>
      <c r="F136" s="1344"/>
      <c r="G136" s="1344"/>
      <c r="H136" s="1344"/>
      <c r="I136" s="1344"/>
      <c r="J136" s="1344"/>
      <c r="K136" s="1344"/>
      <c r="L136" s="1546"/>
      <c r="M136" s="1322"/>
      <c r="N136" s="1322"/>
      <c r="O136" s="1643"/>
      <c r="P136" s="1317"/>
      <c r="Q136" s="1345"/>
      <c r="R136" s="1317"/>
      <c r="S136" s="1323"/>
      <c r="T136" s="1326" t="s">
        <v>183</v>
      </c>
      <c r="U136" s="1325"/>
      <c r="V136" s="1325"/>
      <c r="W136" s="1325"/>
      <c r="X136" s="1325"/>
      <c r="Y136" s="1325"/>
      <c r="Z136" s="1325"/>
      <c r="AA136" s="1325"/>
      <c r="AB136" s="1325"/>
      <c r="AC136" s="1325"/>
      <c r="AD136" s="1325"/>
      <c r="AE136" s="1325"/>
      <c r="AF136" s="1325"/>
      <c r="AG136" s="1325"/>
      <c r="AH136" s="1325"/>
      <c r="AI136" s="1325"/>
      <c r="AJ136" s="1325"/>
      <c r="AK136" s="1325"/>
      <c r="AL136" s="1325"/>
      <c r="AM136" s="1325"/>
      <c r="AN136" s="1325"/>
      <c r="AO136" s="1325"/>
      <c r="AP136" s="1325"/>
      <c r="AQ136" s="1325"/>
      <c r="AR136" s="1325"/>
      <c r="AS136" s="1325"/>
      <c r="AT136" s="1325"/>
      <c r="AU136" s="1325"/>
      <c r="AV136" s="1643"/>
      <c r="AW136" s="1625"/>
      <c r="AX136" s="1625" t="str">
        <f>IF(T136="","",T136)</f>
        <v>Добавить территорию для дифференциации</v>
      </c>
      <c r="AY136" s="1625"/>
      <c r="AZ136" s="1625"/>
      <c r="BA136" s="1643">
        <v>0</v>
      </c>
    </row>
    <row s="1851" customFormat="1" customHeight="1" ht="21">
      <c r="A137" s="1364" t="s">
        <v>208</v>
      </c>
      <c r="B137" s="1364"/>
      <c r="C137" s="1364"/>
      <c r="D137" s="1364"/>
      <c r="E137" s="2259" t="s">
        <v>96</v>
      </c>
      <c r="F137" s="1364"/>
      <c r="G137" s="1364"/>
      <c r="H137" s="1364"/>
      <c r="I137" s="1364"/>
      <c r="J137" s="1364"/>
      <c r="K137" s="1364"/>
      <c r="L137" s="1370"/>
      <c r="M137" s="1366"/>
      <c r="N137" s="1366"/>
      <c r="O137" s="1366"/>
      <c r="P137" s="2398"/>
      <c r="Q137" s="1824"/>
      <c r="R137" s="356"/>
      <c r="S137" s="2274" t="str">
        <f>INDEX(PT_DIFFERENTIATION_NUM_NTAR,MATCH(A137,PT_DIFFERENTIATION_NTAR_ID,0))</f>
        <v>6</v>
      </c>
      <c r="T137" s="1526" t="s">
        <v>136</v>
      </c>
      <c r="U137" s="301"/>
      <c r="V137" s="2243"/>
      <c r="W137" s="2244"/>
      <c r="X137" s="2244"/>
      <c r="Y137" s="2244"/>
      <c r="Z137" s="2244"/>
      <c r="AA137" s="2244"/>
      <c r="AB137" s="2244"/>
      <c r="AC137" s="2245"/>
      <c r="AD137" s="2243" t="str">
        <f>INDEX(PT_DIFFERENTIATION_NTAR,MATCH(A137,PT_DIFFERENTIATION_NTAR_ID,0))</f>
        <v>Тарифы на тепловую энергию, поставляемую потребителям. Для потребителей, подключенных к тепловым сетям ПАО "ТГК-1". Муниципальный  округ город Апатиты с подведомственной территорией Мурманской области</v>
      </c>
      <c r="AE137" s="2244"/>
      <c r="AF137" s="2244"/>
      <c r="AG137" s="2244"/>
      <c r="AH137" s="2244"/>
      <c r="AI137" s="2244"/>
      <c r="AJ137" s="2244"/>
      <c r="AK137" s="2244"/>
      <c r="AL137" s="2243"/>
      <c r="AM137" s="2244"/>
      <c r="AN137" s="2244"/>
      <c r="AO137" s="2244"/>
      <c r="AP137" s="2244"/>
      <c r="AQ137" s="2244"/>
      <c r="AR137" s="2244"/>
      <c r="AS137" s="5240"/>
      <c r="AT137" s="2245"/>
      <c r="AU137" s="1259" t="s">
        <v>526</v>
      </c>
      <c r="AV137" s="1643"/>
      <c r="AW137" s="1625"/>
      <c r="AX137" s="1625" t="str">
        <f>IF(T137="","",T137)</f>
        <v>Наименование тарифа</v>
      </c>
      <c r="AY137" s="1625"/>
      <c r="AZ137" s="1625"/>
      <c r="BA137" s="1636">
        <v>0</v>
      </c>
    </row>
    <row s="1851" customFormat="1" customHeight="1" ht="21">
      <c r="A138" s="1364"/>
      <c r="B138" s="1364" t="s">
        <v>209</v>
      </c>
      <c r="C138" s="1364"/>
      <c r="D138" s="1364"/>
      <c r="E138" s="2260" t="s">
        <v>124</v>
      </c>
      <c r="F138" s="2259">
        <v>1</v>
      </c>
      <c r="G138" s="1364"/>
      <c r="H138" s="1364"/>
      <c r="I138" s="1364"/>
      <c r="J138" s="1364"/>
      <c r="K138" s="1364"/>
      <c r="L138" s="1370"/>
      <c r="M138" s="1366"/>
      <c r="N138" s="1366"/>
      <c r="O138" s="1366"/>
      <c r="P138" s="2126"/>
      <c r="Q138" s="353"/>
      <c r="R138" s="354"/>
      <c r="S138" s="2274" t="str">
        <f>INDEX(PT_DIFFERENTIATION_NUM_TER,MATCH(B138,PT_DIFFERENTIATION_TER_ID,0))</f>
        <v>6.1</v>
      </c>
      <c r="T138" s="1523" t="s">
        <v>527</v>
      </c>
      <c r="U138" s="301"/>
      <c r="V138" s="2243"/>
      <c r="W138" s="2244"/>
      <c r="X138" s="2244"/>
      <c r="Y138" s="2244"/>
      <c r="Z138" s="2244"/>
      <c r="AA138" s="2244"/>
      <c r="AB138" s="2244"/>
      <c r="AC138" s="2245"/>
      <c r="AD138" s="2243" t="str">
        <f>INDEX(PT_DIFFERENTIATION_TER,MATCH(B138,PT_DIFFERENTIATION_TER_ID,0))</f>
        <v>Территория 1</v>
      </c>
      <c r="AE138" s="2244"/>
      <c r="AF138" s="2244"/>
      <c r="AG138" s="2244"/>
      <c r="AH138" s="2244"/>
      <c r="AI138" s="2244"/>
      <c r="AJ138" s="2244"/>
      <c r="AK138" s="2244"/>
      <c r="AL138" s="2243"/>
      <c r="AM138" s="2244"/>
      <c r="AN138" s="2244"/>
      <c r="AO138" s="2244"/>
      <c r="AP138" s="2244"/>
      <c r="AQ138" s="2244"/>
      <c r="AR138" s="2244"/>
      <c r="AS138" s="5240"/>
      <c r="AT138" s="2245"/>
      <c r="AU138" s="1259" t="s">
        <v>528</v>
      </c>
      <c r="AV138" s="1643"/>
      <c r="AW138" s="1625"/>
      <c r="AX138" s="1625" t="str">
        <f>IF(T138="","",T138)</f>
        <v>Территория действия тарифа</v>
      </c>
      <c r="AY138" s="1625"/>
      <c r="AZ138" s="1625"/>
      <c r="BA138" s="1636">
        <v>0</v>
      </c>
    </row>
    <row s="1851" customFormat="1" customHeight="1" ht="23.25">
      <c r="A139" s="1364"/>
      <c r="B139" s="1364"/>
      <c r="C139" s="1364" t="s">
        <v>210</v>
      </c>
      <c r="D139" s="1364"/>
      <c r="E139" s="2260" t="s">
        <v>124</v>
      </c>
      <c r="F139" s="2260"/>
      <c r="G139" s="2259">
        <v>1</v>
      </c>
      <c r="H139" s="1364"/>
      <c r="I139" s="1364"/>
      <c r="J139" s="1364"/>
      <c r="K139" s="1364"/>
      <c r="L139" s="1370"/>
      <c r="M139" s="1366"/>
      <c r="N139" s="1366"/>
      <c r="O139" s="1366"/>
      <c r="P139" s="355"/>
      <c r="Q139" s="353"/>
      <c r="R139" s="354"/>
      <c r="S139" s="2274" t="str">
        <f>INDEX(PT_DIFFERENTIATION_NUM_CS,MATCH(C139,PT_DIFFERENTIATION_CS_ID,0))</f>
        <v>6.1.1</v>
      </c>
      <c r="T139" s="310" t="s">
        <v>529</v>
      </c>
      <c r="U139" s="301"/>
      <c r="V139" s="2243"/>
      <c r="W139" s="2244"/>
      <c r="X139" s="2244"/>
      <c r="Y139" s="2244"/>
      <c r="Z139" s="2244"/>
      <c r="AA139" s="2244"/>
      <c r="AB139" s="2244"/>
      <c r="AC139" s="2245"/>
      <c r="AD139" s="2243" t="str">
        <f>INDEX(PT_DIFFERENTIATION_CS,MATCH(C139,PT_DIFFERENTIATION_CS_ID,0))</f>
        <v>открытая система теплоснабжения г. Апатиты</v>
      </c>
      <c r="AE139" s="2244"/>
      <c r="AF139" s="2244"/>
      <c r="AG139" s="2244"/>
      <c r="AH139" s="2244"/>
      <c r="AI139" s="2244"/>
      <c r="AJ139" s="2244"/>
      <c r="AK139" s="2244"/>
      <c r="AL139" s="2243"/>
      <c r="AM139" s="2244"/>
      <c r="AN139" s="2244"/>
      <c r="AO139" s="2244"/>
      <c r="AP139" s="2244"/>
      <c r="AQ139" s="2244"/>
      <c r="AR139" s="2244"/>
      <c r="AS139" s="5240"/>
      <c r="AT139" s="2245"/>
      <c r="AU139" s="1259" t="s">
        <v>530</v>
      </c>
      <c r="AV139" s="1643"/>
      <c r="AW139" s="1625"/>
      <c r="AX139" s="1625" t="str">
        <f>IF(T139="","",T139)</f>
        <v>Наименование системы теплоснабжения </v>
      </c>
      <c r="AY139" s="1625"/>
      <c r="AZ139" s="1625"/>
      <c r="BA139" s="1636">
        <v>0</v>
      </c>
    </row>
    <row s="1851" customFormat="1" customHeight="1" ht="21">
      <c r="A140" s="1364"/>
      <c r="B140" s="1364"/>
      <c r="C140" s="1364"/>
      <c r="D140" s="1364" t="s">
        <v>211</v>
      </c>
      <c r="E140" s="2260" t="s">
        <v>124</v>
      </c>
      <c r="F140" s="2260"/>
      <c r="G140" s="2260"/>
      <c r="H140" s="2259">
        <v>1</v>
      </c>
      <c r="I140" s="1364"/>
      <c r="J140" s="1364"/>
      <c r="K140" s="1364"/>
      <c r="L140" s="1370"/>
      <c r="M140" s="1366"/>
      <c r="N140" s="1366"/>
      <c r="O140" s="1366"/>
      <c r="P140" s="355"/>
      <c r="Q140" s="353"/>
      <c r="R140" s="354"/>
      <c r="S140" s="2274" t="str">
        <f>INDEX(PT_DIFFERENTIATION_NUM_IST_TE,MATCH(D140,PT_DIFFERENTIATION_IST_TE_ID,0))</f>
        <v>6.1.1.1</v>
      </c>
      <c r="T140" s="311" t="s">
        <v>531</v>
      </c>
      <c r="U140" s="301"/>
      <c r="V140" s="2243"/>
      <c r="W140" s="2244"/>
      <c r="X140" s="2244"/>
      <c r="Y140" s="2244"/>
      <c r="Z140" s="2244"/>
      <c r="AA140" s="2244"/>
      <c r="AB140" s="2244"/>
      <c r="AC140" s="2245"/>
      <c r="AD140" s="2243" t="str">
        <f>INDEX(PT_DIFFERENTIATION_IST_TE,MATCH(D140,PT_DIFFERENTIATION_IST_TE_ID,0))</f>
        <v>Апатитская ТЭЦ</v>
      </c>
      <c r="AE140" s="2244"/>
      <c r="AF140" s="2244"/>
      <c r="AG140" s="2244"/>
      <c r="AH140" s="2244"/>
      <c r="AI140" s="2244"/>
      <c r="AJ140" s="2244"/>
      <c r="AK140" s="2244"/>
      <c r="AL140" s="2243"/>
      <c r="AM140" s="2244"/>
      <c r="AN140" s="2244"/>
      <c r="AO140" s="2244"/>
      <c r="AP140" s="2244"/>
      <c r="AQ140" s="2244"/>
      <c r="AR140" s="2244"/>
      <c r="AS140" s="5240"/>
      <c r="AT140" s="2245"/>
      <c r="AU140" s="1259" t="s">
        <v>532</v>
      </c>
      <c r="AV140" s="1643"/>
      <c r="AW140" s="1625"/>
      <c r="AX140" s="1625" t="str">
        <f>IF(T140="","",T140)</f>
        <v>Источник тепловой энергии  </v>
      </c>
      <c r="AY140" s="1625"/>
      <c r="AZ140" s="1625"/>
      <c r="BA140" s="1636">
        <v>0</v>
      </c>
    </row>
    <row s="1851" customFormat="1" customHeight="1" ht="47.25">
      <c r="A141" s="1364"/>
      <c r="B141" s="1364"/>
      <c r="C141" s="1364"/>
      <c r="D141" s="1364"/>
      <c r="E141" s="2260" t="s">
        <v>124</v>
      </c>
      <c r="F141" s="2260"/>
      <c r="G141" s="2260"/>
      <c r="H141" s="2260"/>
      <c r="I141" s="2257" t="str">
        <f>S140&amp;".1"</f>
        <v>6.1.1.1.1</v>
      </c>
      <c r="J141" s="1364"/>
      <c r="K141" s="1364"/>
      <c r="L141" s="1370" t="s">
        <v>533</v>
      </c>
      <c r="M141" s="1367"/>
      <c r="N141" s="1777"/>
      <c r="O141" s="1777"/>
      <c r="P141" s="2375">
        <v>1</v>
      </c>
      <c r="Q141" s="2375"/>
      <c r="R141" s="357"/>
      <c r="S141" s="2274" t="str">
        <f>$I141</f>
        <v>6.1.1.1.1</v>
      </c>
      <c r="T141" s="286" t="s">
        <v>534</v>
      </c>
      <c r="U141" s="301"/>
      <c r="V141" s="2246"/>
      <c r="W141" s="2247"/>
      <c r="X141" s="2247"/>
      <c r="Y141" s="2247"/>
      <c r="Z141" s="2247"/>
      <c r="AA141" s="2247"/>
      <c r="AB141" s="2247"/>
      <c r="AC141" s="2248"/>
      <c r="AD141" s="2246" t="s">
        <v>576</v>
      </c>
      <c r="AE141" s="2247"/>
      <c r="AF141" s="2247"/>
      <c r="AG141" s="2247"/>
      <c r="AH141" s="2247"/>
      <c r="AI141" s="2247"/>
      <c r="AJ141" s="2247"/>
      <c r="AK141" s="2247"/>
      <c r="AL141" s="2246"/>
      <c r="AM141" s="2247"/>
      <c r="AN141" s="2247"/>
      <c r="AO141" s="2247"/>
      <c r="AP141" s="2247"/>
      <c r="AQ141" s="2247"/>
      <c r="AR141" s="2247"/>
      <c r="AS141" s="5241"/>
      <c r="AT141" s="2248"/>
      <c r="AU141" s="1259" t="s">
        <v>535</v>
      </c>
      <c r="AV141" s="1643"/>
      <c r="AW141" s="1625"/>
      <c r="AX141" s="1625" t="str">
        <f>IF(T141="","",T141)</f>
        <v>Схема подключения теплопотребляющей установки к коллектору источника тепловой энергии</v>
      </c>
      <c r="AY141" s="1625"/>
      <c r="AZ141" s="1625"/>
      <c r="BA141" s="1636">
        <v>0</v>
      </c>
    </row>
    <row s="1851" customFormat="1" customHeight="1" ht="21">
      <c r="A142" s="1364"/>
      <c r="B142" s="1364"/>
      <c r="C142" s="1364"/>
      <c r="D142" s="1364"/>
      <c r="E142" s="2260" t="s">
        <v>124</v>
      </c>
      <c r="F142" s="2260"/>
      <c r="G142" s="2260"/>
      <c r="H142" s="2260"/>
      <c r="I142" s="2287"/>
      <c r="J142" s="2257" t="str">
        <f>I141&amp;".1"</f>
        <v>6.1.1.1.1.1</v>
      </c>
      <c r="K142" s="1364"/>
      <c r="L142" s="1370" t="s">
        <v>536</v>
      </c>
      <c r="M142" s="1367"/>
      <c r="N142" s="1367"/>
      <c r="O142" s="1777"/>
      <c r="P142" s="2375"/>
      <c r="Q142" s="2375">
        <v>1</v>
      </c>
      <c r="R142" s="358"/>
      <c r="S142" s="2274" t="str">
        <f>$J142</f>
        <v>6.1.1.1.1.1</v>
      </c>
      <c r="T142" s="287" t="s">
        <v>537</v>
      </c>
      <c r="U142" s="301"/>
      <c r="V142" s="2246"/>
      <c r="W142" s="2247"/>
      <c r="X142" s="2247"/>
      <c r="Y142" s="2247"/>
      <c r="Z142" s="2247"/>
      <c r="AA142" s="2247"/>
      <c r="AB142" s="2247"/>
      <c r="AC142" s="2248"/>
      <c r="AD142" s="2246" t="s">
        <v>576</v>
      </c>
      <c r="AE142" s="2247"/>
      <c r="AF142" s="2247"/>
      <c r="AG142" s="2247"/>
      <c r="AH142" s="2247"/>
      <c r="AI142" s="2247"/>
      <c r="AJ142" s="2247"/>
      <c r="AK142" s="2247"/>
      <c r="AL142" s="2246"/>
      <c r="AM142" s="2247"/>
      <c r="AN142" s="2247"/>
      <c r="AO142" s="2247"/>
      <c r="AP142" s="2247"/>
      <c r="AQ142" s="2247"/>
      <c r="AR142" s="2247"/>
      <c r="AS142" s="5241"/>
      <c r="AT142" s="2248"/>
      <c r="AU142" s="1259" t="s">
        <v>538</v>
      </c>
      <c r="AV142" s="1643"/>
      <c r="AW142" s="1625"/>
      <c r="AX142" s="1625" t="str">
        <f>IF(T142="","",T142)</f>
        <v>Группа потребителей</v>
      </c>
      <c r="AY142" s="1625"/>
      <c r="AZ142" s="1625"/>
      <c r="BA142" s="1636">
        <v>0</v>
      </c>
    </row>
    <row s="1851" customFormat="1" customHeight="1" ht="21">
      <c r="A143" s="1364"/>
      <c r="B143" s="1364"/>
      <c r="C143" s="1364"/>
      <c r="D143" s="1364"/>
      <c r="E143" s="2260" t="s">
        <v>124</v>
      </c>
      <c r="F143" s="2260"/>
      <c r="G143" s="2260"/>
      <c r="H143" s="2260"/>
      <c r="I143" s="2287"/>
      <c r="J143" s="2287"/>
      <c r="K143" s="2257" t="str">
        <f>J142&amp;".1"</f>
        <v>6.1.1.1.1.1.1</v>
      </c>
      <c r="L143" s="1370" t="s">
        <v>539</v>
      </c>
      <c r="M143" s="1367"/>
      <c r="N143" s="1367"/>
      <c r="O143" s="1367"/>
      <c r="P143" s="2375"/>
      <c r="Q143" s="2375"/>
      <c r="R143" s="358">
        <v>1</v>
      </c>
      <c r="S143" s="2274" t="str">
        <f>$K143</f>
        <v>6.1.1.1.1.1.1</v>
      </c>
      <c r="T143" s="1348" t="s">
        <v>577</v>
      </c>
      <c r="U143" s="301"/>
      <c r="V143" s="752"/>
      <c r="W143" s="326"/>
      <c r="X143" s="752"/>
      <c r="Y143" s="1258"/>
      <c r="Z143" s="2603"/>
      <c r="AA143" s="2108" t="s">
        <v>65</v>
      </c>
      <c r="AB143" s="2603"/>
      <c r="AC143" s="2108" t="s">
        <v>65</v>
      </c>
      <c r="AD143" s="752">
        <v>2633.01</v>
      </c>
      <c r="AE143" s="326"/>
      <c r="AF143" s="752"/>
      <c r="AG143" s="1258"/>
      <c r="AH143" s="2603">
        <v>46023</v>
      </c>
      <c r="AI143" s="2108" t="s">
        <v>65</v>
      </c>
      <c r="AJ143" s="2603">
        <v>46295</v>
      </c>
      <c r="AK143" s="2108" t="s">
        <v>65</v>
      </c>
      <c r="AL143" s="752">
        <v>4353.17</v>
      </c>
      <c r="AM143" s="326"/>
      <c r="AN143" s="752"/>
      <c r="AO143" s="1258"/>
      <c r="AP143" s="2603">
        <v>46296</v>
      </c>
      <c r="AQ143" s="2108" t="s">
        <v>65</v>
      </c>
      <c r="AR143" s="2603">
        <v>46387</v>
      </c>
      <c r="AS143" s="2108" t="s">
        <v>65</v>
      </c>
      <c r="AT143" s="326"/>
      <c r="AU143" s="2254" t="s">
        <v>540</v>
      </c>
      <c r="AV143" s="1643">
        <f>STRCHECKDATE(V144:AT144)</f>
      </c>
      <c r="AW143" s="1625"/>
      <c r="AX143" s="1625" t="str">
        <f>IF(T143="","",T143)</f>
        <v>вода</v>
      </c>
      <c r="AY143" s="1625"/>
      <c r="AZ143" s="1625"/>
      <c r="BA143" s="1636">
        <v>0</v>
      </c>
    </row>
    <row s="1851" customFormat="1" customHeight="1" ht="0.75">
      <c r="A144" s="1364"/>
      <c r="B144" s="1364"/>
      <c r="C144" s="1364"/>
      <c r="D144" s="1364"/>
      <c r="E144" s="2260" t="s">
        <v>124</v>
      </c>
      <c r="F144" s="2260"/>
      <c r="G144" s="2260"/>
      <c r="H144" s="2260"/>
      <c r="I144" s="2287"/>
      <c r="J144" s="2287"/>
      <c r="K144" s="2257"/>
      <c r="L144" s="1370"/>
      <c r="M144" s="1367"/>
      <c r="N144" s="1367"/>
      <c r="O144" s="1367"/>
      <c r="P144" s="2375"/>
      <c r="Q144" s="2375"/>
      <c r="R144" s="358"/>
      <c r="S144" s="2514"/>
      <c r="T144" s="301"/>
      <c r="U144" s="301"/>
      <c r="V144" s="326"/>
      <c r="W144" s="326"/>
      <c r="X144" s="326"/>
      <c r="Y144" s="329" t="str">
        <f>Z143&amp;"-"&amp;AB143</f>
        <v>-</v>
      </c>
      <c r="Z144" s="2310"/>
      <c r="AA144" s="2108"/>
      <c r="AB144" s="2310"/>
      <c r="AC144" s="2108"/>
      <c r="AD144" s="326"/>
      <c r="AE144" s="326"/>
      <c r="AF144" s="326"/>
      <c r="AG144" s="329" t="str">
        <f>AH143&amp;"-"&amp;AJ143</f>
        <v>46023-46295</v>
      </c>
      <c r="AH144" s="2310"/>
      <c r="AI144" s="2108"/>
      <c r="AJ144" s="2310"/>
      <c r="AK144" s="2108"/>
      <c r="AL144" s="326"/>
      <c r="AM144" s="326"/>
      <c r="AN144" s="326"/>
      <c r="AO144" s="329" t="str">
        <f>AP143&amp;"-"&amp;AR143</f>
        <v>46296-46387</v>
      </c>
      <c r="AP144" s="2310"/>
      <c r="AQ144" s="2108"/>
      <c r="AR144" s="2310"/>
      <c r="AS144" s="2108"/>
      <c r="AT144" s="326"/>
      <c r="AU144" s="2255"/>
      <c r="AV144" s="1643"/>
      <c r="AW144" s="1625"/>
      <c r="AX144" s="1625" t="str">
        <f>IF(T144="","",T144)</f>
        <v/>
      </c>
      <c r="AY144" s="1625"/>
      <c r="AZ144" s="1625"/>
      <c r="BA144" s="1636">
        <v>0</v>
      </c>
    </row>
    <row s="1851" customFormat="1" customHeight="1" ht="15">
      <c r="A145" s="1364"/>
      <c r="B145" s="1364"/>
      <c r="C145" s="1364"/>
      <c r="D145" s="1364"/>
      <c r="E145" s="2260" t="s">
        <v>124</v>
      </c>
      <c r="F145" s="2260"/>
      <c r="G145" s="2260"/>
      <c r="H145" s="2260"/>
      <c r="I145" s="2287"/>
      <c r="J145" s="2257"/>
      <c r="K145" s="1364"/>
      <c r="L145" s="1370"/>
      <c r="M145" s="1367"/>
      <c r="N145" s="1367"/>
      <c r="O145" s="1777"/>
      <c r="P145" s="2375"/>
      <c r="Q145" s="2375"/>
      <c r="R145" s="357"/>
      <c r="S145" s="3405"/>
      <c r="T145" s="3406" t="s">
        <v>541</v>
      </c>
      <c r="U145" s="3407"/>
      <c r="V145" s="3408"/>
      <c r="W145" s="3409"/>
      <c r="X145" s="3410"/>
      <c r="Y145" s="3411"/>
      <c r="Z145" s="3412"/>
      <c r="AA145" s="3413"/>
      <c r="AB145" s="3414"/>
      <c r="AC145" s="3415"/>
      <c r="AD145" s="3416"/>
      <c r="AE145" s="3417"/>
      <c r="AF145" s="3418"/>
      <c r="AG145" s="3419"/>
      <c r="AH145" s="3420"/>
      <c r="AI145" s="3421"/>
      <c r="AJ145" s="3422"/>
      <c r="AK145" s="3423"/>
      <c r="AL145" s="3424"/>
      <c r="AM145" s="3425"/>
      <c r="AN145" s="3426"/>
      <c r="AO145" s="3427"/>
      <c r="AP145" s="3428"/>
      <c r="AQ145" s="3429"/>
      <c r="AR145" s="3430"/>
      <c r="AS145" s="5281"/>
      <c r="AT145" s="3432"/>
      <c r="AU145" s="2256"/>
      <c r="AV145" s="1643"/>
      <c r="AW145" s="1625"/>
      <c r="AX145" s="1625" t="str">
        <f>IF(T145="","",T145)</f>
        <v>Добавить вид теплоносителя (параметры теплоносителя)</v>
      </c>
      <c r="AY145" s="1625"/>
      <c r="AZ145" s="1625"/>
      <c r="BA145" s="1636">
        <v>0</v>
      </c>
    </row>
    <row s="1851" customFormat="1" customHeight="1" ht="15">
      <c r="A146" s="1364"/>
      <c r="B146" s="1364"/>
      <c r="C146" s="1364"/>
      <c r="D146" s="1364"/>
      <c r="E146" s="2260" t="s">
        <v>124</v>
      </c>
      <c r="F146" s="2260"/>
      <c r="G146" s="2260"/>
      <c r="H146" s="2260"/>
      <c r="I146" s="2257"/>
      <c r="J146" s="1364"/>
      <c r="K146" s="1364"/>
      <c r="L146" s="1370"/>
      <c r="M146" s="1367"/>
      <c r="N146" s="1777"/>
      <c r="O146" s="1777"/>
      <c r="P146" s="2375"/>
      <c r="Q146" s="2375"/>
      <c r="R146" s="357"/>
      <c r="S146" s="3433"/>
      <c r="T146" s="3434" t="s">
        <v>542</v>
      </c>
      <c r="U146" s="3435"/>
      <c r="V146" s="3436"/>
      <c r="W146" s="3437"/>
      <c r="X146" s="3438"/>
      <c r="Y146" s="3439"/>
      <c r="Z146" s="3440"/>
      <c r="AA146" s="3441"/>
      <c r="AB146" s="3442"/>
      <c r="AC146" s="3443"/>
      <c r="AD146" s="3444"/>
      <c r="AE146" s="3445"/>
      <c r="AF146" s="3446"/>
      <c r="AG146" s="3447"/>
      <c r="AH146" s="3448"/>
      <c r="AI146" s="3449"/>
      <c r="AJ146" s="3450"/>
      <c r="AK146" s="3451"/>
      <c r="AL146" s="3452"/>
      <c r="AM146" s="3453"/>
      <c r="AN146" s="3454"/>
      <c r="AO146" s="3455"/>
      <c r="AP146" s="3456"/>
      <c r="AQ146" s="3457"/>
      <c r="AR146" s="3458"/>
      <c r="AS146" s="5282"/>
      <c r="AT146" s="3460"/>
      <c r="AU146" s="3461"/>
      <c r="AV146" s="1643"/>
      <c r="AW146" s="1625"/>
      <c r="AX146" s="1625" t="str">
        <f>IF(T146="","",T146)</f>
        <v>Добавить группу потребителей</v>
      </c>
      <c r="AY146" s="1625"/>
      <c r="AZ146" s="1625"/>
      <c r="BA146" s="1636">
        <v>0</v>
      </c>
    </row>
    <row s="1851" customFormat="1" customHeight="1" ht="14.25">
      <c r="A147" s="1364"/>
      <c r="B147" s="1364"/>
      <c r="C147" s="1364"/>
      <c r="D147" s="1364"/>
      <c r="E147" s="2260" t="s">
        <v>124</v>
      </c>
      <c r="F147" s="2260"/>
      <c r="G147" s="2260"/>
      <c r="H147" s="2259"/>
      <c r="I147" s="1364"/>
      <c r="J147" s="1364"/>
      <c r="K147" s="1364"/>
      <c r="L147" s="1370"/>
      <c r="M147" s="1366"/>
      <c r="N147" s="1366"/>
      <c r="O147" s="1367"/>
      <c r="P147" s="1824"/>
      <c r="Q147" s="376"/>
      <c r="R147" s="356"/>
      <c r="S147" s="3462"/>
      <c r="T147" s="3463" t="s">
        <v>543</v>
      </c>
      <c r="U147" s="3464"/>
      <c r="V147" s="3465"/>
      <c r="W147" s="3466"/>
      <c r="X147" s="3467"/>
      <c r="Y147" s="3468"/>
      <c r="Z147" s="3469"/>
      <c r="AA147" s="3470"/>
      <c r="AB147" s="3471"/>
      <c r="AC147" s="3472"/>
      <c r="AD147" s="3473"/>
      <c r="AE147" s="3474"/>
      <c r="AF147" s="3475"/>
      <c r="AG147" s="3476"/>
      <c r="AH147" s="3477"/>
      <c r="AI147" s="3478"/>
      <c r="AJ147" s="3479"/>
      <c r="AK147" s="3480"/>
      <c r="AL147" s="3481"/>
      <c r="AM147" s="3482"/>
      <c r="AN147" s="3483"/>
      <c r="AO147" s="3484"/>
      <c r="AP147" s="3485"/>
      <c r="AQ147" s="3486"/>
      <c r="AR147" s="3487"/>
      <c r="AS147" s="5283"/>
      <c r="AT147" s="3489"/>
      <c r="AU147" s="3490"/>
      <c r="AV147" s="1643"/>
      <c r="AW147" s="1625"/>
      <c r="AX147" s="1625" t="str">
        <f>IF(T147="","",T147)</f>
        <v>Добавить схему подключения</v>
      </c>
      <c r="AY147" s="1625"/>
      <c r="AZ147" s="1625"/>
      <c r="BA147" s="1636">
        <v>0</v>
      </c>
    </row>
    <row s="623" customFormat="1" customHeight="1" ht="0.75">
      <c r="A148" s="1344"/>
      <c r="B148" s="1344"/>
      <c r="C148" s="1344"/>
      <c r="D148" s="1344"/>
      <c r="E148" s="2260" t="s">
        <v>124</v>
      </c>
      <c r="F148" s="2260"/>
      <c r="G148" s="2259"/>
      <c r="H148" s="1344"/>
      <c r="I148" s="1344"/>
      <c r="J148" s="1344"/>
      <c r="K148" s="1344"/>
      <c r="L148" s="1546"/>
      <c r="M148" s="1316"/>
      <c r="N148" s="1316"/>
      <c r="O148" s="1643"/>
      <c r="P148" s="1317"/>
      <c r="Q148" s="1345"/>
      <c r="R148" s="1317"/>
      <c r="S148" s="1319"/>
      <c r="T148" s="1320" t="s">
        <v>177</v>
      </c>
      <c r="U148" s="1321"/>
      <c r="V148" s="1321"/>
      <c r="W148" s="1321"/>
      <c r="X148" s="1321"/>
      <c r="Y148" s="1321"/>
      <c r="Z148" s="1321"/>
      <c r="AA148" s="1321"/>
      <c r="AB148" s="1321"/>
      <c r="AC148" s="1321"/>
      <c r="AD148" s="1321"/>
      <c r="AE148" s="1321"/>
      <c r="AF148" s="1321"/>
      <c r="AG148" s="1321"/>
      <c r="AH148" s="1321"/>
      <c r="AI148" s="1321"/>
      <c r="AJ148" s="1321"/>
      <c r="AK148" s="1321"/>
      <c r="AL148" s="1321"/>
      <c r="AM148" s="1321"/>
      <c r="AN148" s="1321"/>
      <c r="AO148" s="1321"/>
      <c r="AP148" s="1321"/>
      <c r="AQ148" s="1321"/>
      <c r="AR148" s="1321"/>
      <c r="AS148" s="1321"/>
      <c r="AT148" s="1321"/>
      <c r="AU148" s="1321"/>
      <c r="AV148" s="1643"/>
      <c r="AW148" s="1625"/>
      <c r="AX148" s="1625" t="str">
        <f>IF(T148="","",T148)</f>
        <v>Добавить источник для дифференциации</v>
      </c>
      <c r="AY148" s="1625"/>
      <c r="AZ148" s="1625"/>
      <c r="BA148" s="1643">
        <v>0</v>
      </c>
    </row>
    <row s="623" customFormat="1" customHeight="1" ht="0.75">
      <c r="A149" s="1344"/>
      <c r="B149" s="1344"/>
      <c r="C149" s="1344"/>
      <c r="D149" s="1344"/>
      <c r="E149" s="2260" t="s">
        <v>124</v>
      </c>
      <c r="F149" s="2259"/>
      <c r="G149" s="1344"/>
      <c r="H149" s="1344"/>
      <c r="I149" s="1344"/>
      <c r="J149" s="1344"/>
      <c r="K149" s="1344"/>
      <c r="L149" s="1546"/>
      <c r="M149" s="1322"/>
      <c r="N149" s="1322"/>
      <c r="O149" s="1643"/>
      <c r="P149" s="1317"/>
      <c r="Q149" s="1345"/>
      <c r="R149" s="1317"/>
      <c r="S149" s="1323"/>
      <c r="T149" s="1324" t="s">
        <v>178</v>
      </c>
      <c r="U149" s="1325"/>
      <c r="V149" s="1325"/>
      <c r="W149" s="1325"/>
      <c r="X149" s="1325"/>
      <c r="Y149" s="1325"/>
      <c r="Z149" s="1325"/>
      <c r="AA149" s="1325"/>
      <c r="AB149" s="1325"/>
      <c r="AC149" s="1325"/>
      <c r="AD149" s="1325"/>
      <c r="AE149" s="1325"/>
      <c r="AF149" s="1325"/>
      <c r="AG149" s="1325"/>
      <c r="AH149" s="1325"/>
      <c r="AI149" s="1325"/>
      <c r="AJ149" s="1325"/>
      <c r="AK149" s="1325"/>
      <c r="AL149" s="1325"/>
      <c r="AM149" s="1325"/>
      <c r="AN149" s="1325"/>
      <c r="AO149" s="1325"/>
      <c r="AP149" s="1325"/>
      <c r="AQ149" s="1325"/>
      <c r="AR149" s="1325"/>
      <c r="AS149" s="1325"/>
      <c r="AT149" s="1325"/>
      <c r="AU149" s="1325"/>
      <c r="AV149" s="1643"/>
      <c r="AW149" s="1625"/>
      <c r="AX149" s="1625" t="str">
        <f>IF(T149="","",T149)</f>
        <v>Добавить централизованную систему для дифференциации</v>
      </c>
      <c r="AY149" s="1625"/>
      <c r="AZ149" s="1625"/>
      <c r="BA149" s="1643">
        <v>0</v>
      </c>
    </row>
    <row s="623" customFormat="1" customHeight="1" ht="0.75">
      <c r="A150" s="1344"/>
      <c r="B150" s="1344"/>
      <c r="C150" s="1344"/>
      <c r="D150" s="1344"/>
      <c r="E150" s="2259" t="s">
        <v>124</v>
      </c>
      <c r="F150" s="1344"/>
      <c r="G150" s="1344"/>
      <c r="H150" s="1344"/>
      <c r="I150" s="1344"/>
      <c r="J150" s="1344"/>
      <c r="K150" s="1344"/>
      <c r="L150" s="1546"/>
      <c r="M150" s="1322"/>
      <c r="N150" s="1322"/>
      <c r="O150" s="1643"/>
      <c r="P150" s="1317"/>
      <c r="Q150" s="1345"/>
      <c r="R150" s="1317"/>
      <c r="S150" s="1323"/>
      <c r="T150" s="1326" t="s">
        <v>183</v>
      </c>
      <c r="U150" s="1325"/>
      <c r="V150" s="1325"/>
      <c r="W150" s="1325"/>
      <c r="X150" s="1325"/>
      <c r="Y150" s="1325"/>
      <c r="Z150" s="1325"/>
      <c r="AA150" s="1325"/>
      <c r="AB150" s="1325"/>
      <c r="AC150" s="1325"/>
      <c r="AD150" s="1325"/>
      <c r="AE150" s="1325"/>
      <c r="AF150" s="1325"/>
      <c r="AG150" s="1325"/>
      <c r="AH150" s="1325"/>
      <c r="AI150" s="1325"/>
      <c r="AJ150" s="1325"/>
      <c r="AK150" s="1325"/>
      <c r="AL150" s="1325"/>
      <c r="AM150" s="1325"/>
      <c r="AN150" s="1325"/>
      <c r="AO150" s="1325"/>
      <c r="AP150" s="1325"/>
      <c r="AQ150" s="1325"/>
      <c r="AR150" s="1325"/>
      <c r="AS150" s="1325"/>
      <c r="AT150" s="1325"/>
      <c r="AU150" s="1325"/>
      <c r="AV150" s="1643"/>
      <c r="AW150" s="1625"/>
      <c r="AX150" s="1625" t="str">
        <f>IF(T150="","",T150)</f>
        <v>Добавить территорию для дифференциации</v>
      </c>
      <c r="AY150" s="1625"/>
      <c r="AZ150" s="1625"/>
      <c r="BA150" s="1643">
        <v>0</v>
      </c>
    </row>
    <row s="1851" customFormat="1" customHeight="1" ht="21">
      <c r="A151" s="1364" t="s">
        <v>213</v>
      </c>
      <c r="B151" s="1364"/>
      <c r="C151" s="1364"/>
      <c r="D151" s="1364"/>
      <c r="E151" s="2259" t="s">
        <v>97</v>
      </c>
      <c r="F151" s="1364"/>
      <c r="G151" s="1364"/>
      <c r="H151" s="1364"/>
      <c r="I151" s="1364"/>
      <c r="J151" s="1364"/>
      <c r="K151" s="1364"/>
      <c r="L151" s="1370"/>
      <c r="M151" s="1366"/>
      <c r="N151" s="1366"/>
      <c r="O151" s="1366"/>
      <c r="P151" s="2398"/>
      <c r="Q151" s="1824"/>
      <c r="R151" s="356"/>
      <c r="S151" s="2274" t="str">
        <f>INDEX(PT_DIFFERENTIATION_NUM_NTAR,MATCH(A151,PT_DIFFERENTIATION_NTAR_ID,0))</f>
        <v>7</v>
      </c>
      <c r="T151" s="1526" t="s">
        <v>136</v>
      </c>
      <c r="U151" s="301"/>
      <c r="V151" s="2243"/>
      <c r="W151" s="2244"/>
      <c r="X151" s="2244"/>
      <c r="Y151" s="2244"/>
      <c r="Z151" s="2244"/>
      <c r="AA151" s="2244"/>
      <c r="AB151" s="2244"/>
      <c r="AC151" s="2245"/>
      <c r="AD151" s="2243" t="str">
        <f>INDEX(PT_DIFFERENTIATION_NTAR,MATCH(A151,PT_DIFFERENTIATION_NTAR_ID,0))</f>
        <v>Тарифы на тепловую энергию, поставляемую потребителям. Для потребителей, подключенных к тепловым сетям АО "Апатитыэнерго". Муниципальный округ город Апатиты с подведомственной территорией Мурманской области</v>
      </c>
      <c r="AE151" s="2244"/>
      <c r="AF151" s="2244"/>
      <c r="AG151" s="2244"/>
      <c r="AH151" s="2244"/>
      <c r="AI151" s="2244"/>
      <c r="AJ151" s="2244"/>
      <c r="AK151" s="2244"/>
      <c r="AL151" s="2243"/>
      <c r="AM151" s="2244"/>
      <c r="AN151" s="2244"/>
      <c r="AO151" s="2244"/>
      <c r="AP151" s="2244"/>
      <c r="AQ151" s="2244"/>
      <c r="AR151" s="2244"/>
      <c r="AS151" s="5240"/>
      <c r="AT151" s="2245"/>
      <c r="AU151" s="1259" t="s">
        <v>526</v>
      </c>
      <c r="AV151" s="1643"/>
      <c r="AW151" s="1625"/>
      <c r="AX151" s="1625" t="str">
        <f>IF(T151="","",T151)</f>
        <v>Наименование тарифа</v>
      </c>
      <c r="AY151" s="1625"/>
      <c r="AZ151" s="1625"/>
      <c r="BA151" s="1636">
        <v>0</v>
      </c>
    </row>
    <row s="1851" customFormat="1" customHeight="1" ht="21">
      <c r="A152" s="1364"/>
      <c r="B152" s="1364" t="s">
        <v>214</v>
      </c>
      <c r="C152" s="1364"/>
      <c r="D152" s="1364"/>
      <c r="E152" s="2260" t="s">
        <v>96</v>
      </c>
      <c r="F152" s="2259">
        <v>1</v>
      </c>
      <c r="G152" s="1364"/>
      <c r="H152" s="1364"/>
      <c r="I152" s="1364"/>
      <c r="J152" s="1364"/>
      <c r="K152" s="1364"/>
      <c r="L152" s="1370"/>
      <c r="M152" s="1366"/>
      <c r="N152" s="1366"/>
      <c r="O152" s="1366"/>
      <c r="P152" s="2126"/>
      <c r="Q152" s="353"/>
      <c r="R152" s="354"/>
      <c r="S152" s="2274" t="str">
        <f>INDEX(PT_DIFFERENTIATION_NUM_TER,MATCH(B152,PT_DIFFERENTIATION_TER_ID,0))</f>
        <v>7.1</v>
      </c>
      <c r="T152" s="1523" t="s">
        <v>527</v>
      </c>
      <c r="U152" s="301"/>
      <c r="V152" s="2243"/>
      <c r="W152" s="2244"/>
      <c r="X152" s="2244"/>
      <c r="Y152" s="2244"/>
      <c r="Z152" s="2244"/>
      <c r="AA152" s="2244"/>
      <c r="AB152" s="2244"/>
      <c r="AC152" s="2245"/>
      <c r="AD152" s="2243" t="str">
        <f>INDEX(PT_DIFFERENTIATION_TER,MATCH(B152,PT_DIFFERENTIATION_TER_ID,0))</f>
        <v>Территория 1</v>
      </c>
      <c r="AE152" s="2244"/>
      <c r="AF152" s="2244"/>
      <c r="AG152" s="2244"/>
      <c r="AH152" s="2244"/>
      <c r="AI152" s="2244"/>
      <c r="AJ152" s="2244"/>
      <c r="AK152" s="2244"/>
      <c r="AL152" s="2243"/>
      <c r="AM152" s="2244"/>
      <c r="AN152" s="2244"/>
      <c r="AO152" s="2244"/>
      <c r="AP152" s="2244"/>
      <c r="AQ152" s="2244"/>
      <c r="AR152" s="2244"/>
      <c r="AS152" s="5240"/>
      <c r="AT152" s="2245"/>
      <c r="AU152" s="1259" t="s">
        <v>528</v>
      </c>
      <c r="AV152" s="1643"/>
      <c r="AW152" s="1625"/>
      <c r="AX152" s="1625" t="str">
        <f>IF(T152="","",T152)</f>
        <v>Территория действия тарифа</v>
      </c>
      <c r="AY152" s="1625"/>
      <c r="AZ152" s="1625"/>
      <c r="BA152" s="1636">
        <v>0</v>
      </c>
    </row>
    <row s="1851" customFormat="1" customHeight="1" ht="23.25">
      <c r="A153" s="1364"/>
      <c r="B153" s="1364"/>
      <c r="C153" s="1364" t="s">
        <v>215</v>
      </c>
      <c r="D153" s="1364"/>
      <c r="E153" s="2260" t="s">
        <v>96</v>
      </c>
      <c r="F153" s="2260"/>
      <c r="G153" s="2259">
        <v>1</v>
      </c>
      <c r="H153" s="1364"/>
      <c r="I153" s="1364"/>
      <c r="J153" s="1364"/>
      <c r="K153" s="1364"/>
      <c r="L153" s="1370"/>
      <c r="M153" s="1366"/>
      <c r="N153" s="1366"/>
      <c r="O153" s="1366"/>
      <c r="P153" s="355"/>
      <c r="Q153" s="353"/>
      <c r="R153" s="354"/>
      <c r="S153" s="2274" t="str">
        <f>INDEX(PT_DIFFERENTIATION_NUM_CS,MATCH(C153,PT_DIFFERENTIATION_CS_ID,0))</f>
        <v>7.1.1</v>
      </c>
      <c r="T153" s="310" t="s">
        <v>529</v>
      </c>
      <c r="U153" s="301"/>
      <c r="V153" s="2243"/>
      <c r="W153" s="2244"/>
      <c r="X153" s="2244"/>
      <c r="Y153" s="2244"/>
      <c r="Z153" s="2244"/>
      <c r="AA153" s="2244"/>
      <c r="AB153" s="2244"/>
      <c r="AC153" s="2245"/>
      <c r="AD153" s="2243" t="str">
        <f>INDEX(PT_DIFFERENTIATION_CS,MATCH(C153,PT_DIFFERENTIATION_CS_ID,0))</f>
        <v>открытая система теплоснабжения г. Апатиты</v>
      </c>
      <c r="AE153" s="2244"/>
      <c r="AF153" s="2244"/>
      <c r="AG153" s="2244"/>
      <c r="AH153" s="2244"/>
      <c r="AI153" s="2244"/>
      <c r="AJ153" s="2244"/>
      <c r="AK153" s="2244"/>
      <c r="AL153" s="2243"/>
      <c r="AM153" s="2244"/>
      <c r="AN153" s="2244"/>
      <c r="AO153" s="2244"/>
      <c r="AP153" s="2244"/>
      <c r="AQ153" s="2244"/>
      <c r="AR153" s="2244"/>
      <c r="AS153" s="5240"/>
      <c r="AT153" s="2245"/>
      <c r="AU153" s="1259" t="s">
        <v>530</v>
      </c>
      <c r="AV153" s="1643"/>
      <c r="AW153" s="1625"/>
      <c r="AX153" s="1625" t="str">
        <f>IF(T153="","",T153)</f>
        <v>Наименование системы теплоснабжения </v>
      </c>
      <c r="AY153" s="1625"/>
      <c r="AZ153" s="1625"/>
      <c r="BA153" s="1636">
        <v>0</v>
      </c>
    </row>
    <row s="1851" customFormat="1" customHeight="1" ht="21">
      <c r="A154" s="1364"/>
      <c r="B154" s="1364"/>
      <c r="C154" s="1364"/>
      <c r="D154" s="1364" t="s">
        <v>216</v>
      </c>
      <c r="E154" s="2260" t="s">
        <v>96</v>
      </c>
      <c r="F154" s="2260"/>
      <c r="G154" s="2260"/>
      <c r="H154" s="2259">
        <v>1</v>
      </c>
      <c r="I154" s="1364"/>
      <c r="J154" s="1364"/>
      <c r="K154" s="1364"/>
      <c r="L154" s="1370"/>
      <c r="M154" s="1366"/>
      <c r="N154" s="1366"/>
      <c r="O154" s="1366"/>
      <c r="P154" s="355"/>
      <c r="Q154" s="353"/>
      <c r="R154" s="354"/>
      <c r="S154" s="2274" t="str">
        <f>INDEX(PT_DIFFERENTIATION_NUM_IST_TE,MATCH(D154,PT_DIFFERENTIATION_IST_TE_ID,0))</f>
        <v>7.1.1.1</v>
      </c>
      <c r="T154" s="311" t="s">
        <v>531</v>
      </c>
      <c r="U154" s="301"/>
      <c r="V154" s="2243"/>
      <c r="W154" s="2244"/>
      <c r="X154" s="2244"/>
      <c r="Y154" s="2244"/>
      <c r="Z154" s="2244"/>
      <c r="AA154" s="2244"/>
      <c r="AB154" s="2244"/>
      <c r="AC154" s="2245"/>
      <c r="AD154" s="2243" t="str">
        <f>INDEX(PT_DIFFERENTIATION_IST_TE,MATCH(D154,PT_DIFFERENTIATION_IST_TE_ID,0))</f>
        <v>Апатитская ТЭЦ</v>
      </c>
      <c r="AE154" s="2244"/>
      <c r="AF154" s="2244"/>
      <c r="AG154" s="2244"/>
      <c r="AH154" s="2244"/>
      <c r="AI154" s="2244"/>
      <c r="AJ154" s="2244"/>
      <c r="AK154" s="2244"/>
      <c r="AL154" s="2243"/>
      <c r="AM154" s="2244"/>
      <c r="AN154" s="2244"/>
      <c r="AO154" s="2244"/>
      <c r="AP154" s="2244"/>
      <c r="AQ154" s="2244"/>
      <c r="AR154" s="2244"/>
      <c r="AS154" s="5240"/>
      <c r="AT154" s="2245"/>
      <c r="AU154" s="1259" t="s">
        <v>532</v>
      </c>
      <c r="AV154" s="1643"/>
      <c r="AW154" s="1625"/>
      <c r="AX154" s="1625" t="str">
        <f>IF(T154="","",T154)</f>
        <v>Источник тепловой энергии  </v>
      </c>
      <c r="AY154" s="1625"/>
      <c r="AZ154" s="1625"/>
      <c r="BA154" s="1636">
        <v>0</v>
      </c>
    </row>
    <row s="1851" customFormat="1" customHeight="1" ht="47.25">
      <c r="A155" s="1364"/>
      <c r="B155" s="1364"/>
      <c r="C155" s="1364"/>
      <c r="D155" s="1364"/>
      <c r="E155" s="2260" t="s">
        <v>96</v>
      </c>
      <c r="F155" s="2260"/>
      <c r="G155" s="2260"/>
      <c r="H155" s="2260"/>
      <c r="I155" s="2257" t="str">
        <f>S154&amp;".1"</f>
        <v>7.1.1.1.1</v>
      </c>
      <c r="J155" s="1364"/>
      <c r="K155" s="1364"/>
      <c r="L155" s="1370" t="s">
        <v>533</v>
      </c>
      <c r="M155" s="1367"/>
      <c r="N155" s="1777"/>
      <c r="O155" s="1777"/>
      <c r="P155" s="2375">
        <v>1</v>
      </c>
      <c r="Q155" s="2375"/>
      <c r="R155" s="357"/>
      <c r="S155" s="2274" t="str">
        <f>$I155</f>
        <v>7.1.1.1.1</v>
      </c>
      <c r="T155" s="286" t="s">
        <v>534</v>
      </c>
      <c r="U155" s="301"/>
      <c r="V155" s="2246"/>
      <c r="W155" s="2247"/>
      <c r="X155" s="2247"/>
      <c r="Y155" s="2247"/>
      <c r="Z155" s="2247"/>
      <c r="AA155" s="2247"/>
      <c r="AB155" s="2247"/>
      <c r="AC155" s="2248"/>
      <c r="AD155" s="2246" t="s">
        <v>576</v>
      </c>
      <c r="AE155" s="2247"/>
      <c r="AF155" s="2247"/>
      <c r="AG155" s="2247"/>
      <c r="AH155" s="2247"/>
      <c r="AI155" s="2247"/>
      <c r="AJ155" s="2247"/>
      <c r="AK155" s="2247"/>
      <c r="AL155" s="2246"/>
      <c r="AM155" s="2247"/>
      <c r="AN155" s="2247"/>
      <c r="AO155" s="2247"/>
      <c r="AP155" s="2247"/>
      <c r="AQ155" s="2247"/>
      <c r="AR155" s="2247"/>
      <c r="AS155" s="5241"/>
      <c r="AT155" s="2248"/>
      <c r="AU155" s="1259" t="s">
        <v>535</v>
      </c>
      <c r="AV155" s="1643"/>
      <c r="AW155" s="1625"/>
      <c r="AX155" s="1625" t="str">
        <f>IF(T155="","",T155)</f>
        <v>Схема подключения теплопотребляющей установки к коллектору источника тепловой энергии</v>
      </c>
      <c r="AY155" s="1625"/>
      <c r="AZ155" s="1625"/>
      <c r="BA155" s="1636">
        <v>0</v>
      </c>
    </row>
    <row s="1851" customFormat="1" customHeight="1" ht="21">
      <c r="A156" s="1364"/>
      <c r="B156" s="1364"/>
      <c r="C156" s="1364"/>
      <c r="D156" s="1364"/>
      <c r="E156" s="2260" t="s">
        <v>96</v>
      </c>
      <c r="F156" s="2260"/>
      <c r="G156" s="2260"/>
      <c r="H156" s="2260"/>
      <c r="I156" s="2287"/>
      <c r="J156" s="2257" t="str">
        <f>I155&amp;".1"</f>
        <v>7.1.1.1.1.1</v>
      </c>
      <c r="K156" s="1364"/>
      <c r="L156" s="1370" t="s">
        <v>536</v>
      </c>
      <c r="M156" s="1367"/>
      <c r="N156" s="1367"/>
      <c r="O156" s="1777"/>
      <c r="P156" s="2375"/>
      <c r="Q156" s="2375">
        <v>1</v>
      </c>
      <c r="R156" s="358"/>
      <c r="S156" s="2274" t="str">
        <f>$J156</f>
        <v>7.1.1.1.1.1</v>
      </c>
      <c r="T156" s="287" t="s">
        <v>537</v>
      </c>
      <c r="U156" s="301"/>
      <c r="V156" s="2246"/>
      <c r="W156" s="2247"/>
      <c r="X156" s="2247"/>
      <c r="Y156" s="2247"/>
      <c r="Z156" s="2247"/>
      <c r="AA156" s="2247"/>
      <c r="AB156" s="2247"/>
      <c r="AC156" s="2248"/>
      <c r="AD156" s="2246" t="s">
        <v>576</v>
      </c>
      <c r="AE156" s="2247"/>
      <c r="AF156" s="2247"/>
      <c r="AG156" s="2247"/>
      <c r="AH156" s="2247"/>
      <c r="AI156" s="2247"/>
      <c r="AJ156" s="2247"/>
      <c r="AK156" s="2247"/>
      <c r="AL156" s="2246"/>
      <c r="AM156" s="2247"/>
      <c r="AN156" s="2247"/>
      <c r="AO156" s="2247"/>
      <c r="AP156" s="2247"/>
      <c r="AQ156" s="2247"/>
      <c r="AR156" s="2247"/>
      <c r="AS156" s="5241"/>
      <c r="AT156" s="2248"/>
      <c r="AU156" s="1259" t="s">
        <v>538</v>
      </c>
      <c r="AV156" s="1643"/>
      <c r="AW156" s="1625"/>
      <c r="AX156" s="1625" t="str">
        <f>IF(T156="","",T156)</f>
        <v>Группа потребителей</v>
      </c>
      <c r="AY156" s="1625"/>
      <c r="AZ156" s="1625"/>
      <c r="BA156" s="1636">
        <v>0</v>
      </c>
    </row>
    <row s="1851" customFormat="1" customHeight="1" ht="21">
      <c r="A157" s="1364"/>
      <c r="B157" s="1364"/>
      <c r="C157" s="1364"/>
      <c r="D157" s="1364"/>
      <c r="E157" s="2260" t="s">
        <v>96</v>
      </c>
      <c r="F157" s="2260"/>
      <c r="G157" s="2260"/>
      <c r="H157" s="2260"/>
      <c r="I157" s="2287"/>
      <c r="J157" s="2287"/>
      <c r="K157" s="2257" t="str">
        <f>J156&amp;".1"</f>
        <v>7.1.1.1.1.1.1</v>
      </c>
      <c r="L157" s="1370" t="s">
        <v>539</v>
      </c>
      <c r="M157" s="1367"/>
      <c r="N157" s="1367"/>
      <c r="O157" s="1367"/>
      <c r="P157" s="2375"/>
      <c r="Q157" s="2375"/>
      <c r="R157" s="358">
        <v>1</v>
      </c>
      <c r="S157" s="2274" t="str">
        <f>$K157</f>
        <v>7.1.1.1.1.1.1</v>
      </c>
      <c r="T157" s="1348" t="s">
        <v>577</v>
      </c>
      <c r="U157" s="301"/>
      <c r="V157" s="752"/>
      <c r="W157" s="326"/>
      <c r="X157" s="752"/>
      <c r="Y157" s="1258"/>
      <c r="Z157" s="2603"/>
      <c r="AA157" s="2108" t="s">
        <v>65</v>
      </c>
      <c r="AB157" s="2603"/>
      <c r="AC157" s="2108" t="s">
        <v>65</v>
      </c>
      <c r="AD157" s="752">
        <v>3190.34</v>
      </c>
      <c r="AE157" s="326"/>
      <c r="AF157" s="752"/>
      <c r="AG157" s="1258"/>
      <c r="AH157" s="2603">
        <v>46023</v>
      </c>
      <c r="AI157" s="2108" t="s">
        <v>65</v>
      </c>
      <c r="AJ157" s="2603">
        <v>46295</v>
      </c>
      <c r="AK157" s="2108" t="s">
        <v>65</v>
      </c>
      <c r="AL157" s="752">
        <v>3190.34</v>
      </c>
      <c r="AM157" s="326"/>
      <c r="AN157" s="752"/>
      <c r="AO157" s="1258"/>
      <c r="AP157" s="2603">
        <v>46296</v>
      </c>
      <c r="AQ157" s="2108" t="s">
        <v>65</v>
      </c>
      <c r="AR157" s="2603">
        <v>46387</v>
      </c>
      <c r="AS157" s="2108" t="s">
        <v>65</v>
      </c>
      <c r="AT157" s="326"/>
      <c r="AU157" s="2254" t="s">
        <v>540</v>
      </c>
      <c r="AV157" s="1643">
        <f>STRCHECKDATE(V158:AT158)</f>
      </c>
      <c r="AW157" s="1625"/>
      <c r="AX157" s="1625" t="str">
        <f>IF(T157="","",T157)</f>
        <v>вода</v>
      </c>
      <c r="AY157" s="1625"/>
      <c r="AZ157" s="1625"/>
      <c r="BA157" s="1636">
        <v>0</v>
      </c>
    </row>
    <row s="1851" customFormat="1" customHeight="1" ht="0.75">
      <c r="A158" s="1364"/>
      <c r="B158" s="1364"/>
      <c r="C158" s="1364"/>
      <c r="D158" s="1364"/>
      <c r="E158" s="2260" t="s">
        <v>96</v>
      </c>
      <c r="F158" s="2260"/>
      <c r="G158" s="2260"/>
      <c r="H158" s="2260"/>
      <c r="I158" s="2287"/>
      <c r="J158" s="2287"/>
      <c r="K158" s="2257"/>
      <c r="L158" s="1370"/>
      <c r="M158" s="1367"/>
      <c r="N158" s="1367"/>
      <c r="O158" s="1367"/>
      <c r="P158" s="2375"/>
      <c r="Q158" s="2375"/>
      <c r="R158" s="358"/>
      <c r="S158" s="2514"/>
      <c r="T158" s="301"/>
      <c r="U158" s="301"/>
      <c r="V158" s="326"/>
      <c r="W158" s="326"/>
      <c r="X158" s="326"/>
      <c r="Y158" s="329" t="str">
        <f>Z157&amp;"-"&amp;AB157</f>
        <v>-</v>
      </c>
      <c r="Z158" s="2310"/>
      <c r="AA158" s="2108"/>
      <c r="AB158" s="2310"/>
      <c r="AC158" s="2108"/>
      <c r="AD158" s="326"/>
      <c r="AE158" s="326"/>
      <c r="AF158" s="326"/>
      <c r="AG158" s="329" t="str">
        <f>AH157&amp;"-"&amp;AJ157</f>
        <v>46023-46295</v>
      </c>
      <c r="AH158" s="2310"/>
      <c r="AI158" s="2108"/>
      <c r="AJ158" s="2310"/>
      <c r="AK158" s="2108"/>
      <c r="AL158" s="326"/>
      <c r="AM158" s="326"/>
      <c r="AN158" s="326"/>
      <c r="AO158" s="329" t="str">
        <f>AP157&amp;"-"&amp;AR157</f>
        <v>46296-46387</v>
      </c>
      <c r="AP158" s="2310"/>
      <c r="AQ158" s="2108"/>
      <c r="AR158" s="2310"/>
      <c r="AS158" s="2108"/>
      <c r="AT158" s="326"/>
      <c r="AU158" s="2255"/>
      <c r="AV158" s="1643"/>
      <c r="AW158" s="1625"/>
      <c r="AX158" s="1625" t="str">
        <f>IF(T158="","",T158)</f>
        <v/>
      </c>
      <c r="AY158" s="1625"/>
      <c r="AZ158" s="1625"/>
      <c r="BA158" s="1636">
        <v>0</v>
      </c>
    </row>
    <row s="1851" customFormat="1" customHeight="1" ht="15">
      <c r="A159" s="1364"/>
      <c r="B159" s="1364"/>
      <c r="C159" s="1364"/>
      <c r="D159" s="1364"/>
      <c r="E159" s="2260" t="s">
        <v>96</v>
      </c>
      <c r="F159" s="2260"/>
      <c r="G159" s="2260"/>
      <c r="H159" s="2260"/>
      <c r="I159" s="2287"/>
      <c r="J159" s="2257"/>
      <c r="K159" s="1364"/>
      <c r="L159" s="1370"/>
      <c r="M159" s="1367"/>
      <c r="N159" s="1367"/>
      <c r="O159" s="1777"/>
      <c r="P159" s="2375"/>
      <c r="Q159" s="2375"/>
      <c r="R159" s="357"/>
      <c r="S159" s="3491"/>
      <c r="T159" s="3492" t="s">
        <v>541</v>
      </c>
      <c r="U159" s="3493"/>
      <c r="V159" s="3494"/>
      <c r="W159" s="3495"/>
      <c r="X159" s="3496"/>
      <c r="Y159" s="3497"/>
      <c r="Z159" s="3498"/>
      <c r="AA159" s="3499"/>
      <c r="AB159" s="3500"/>
      <c r="AC159" s="3501"/>
      <c r="AD159" s="3502"/>
      <c r="AE159" s="3503"/>
      <c r="AF159" s="3504"/>
      <c r="AG159" s="3505"/>
      <c r="AH159" s="3506"/>
      <c r="AI159" s="3507"/>
      <c r="AJ159" s="3508"/>
      <c r="AK159" s="3509"/>
      <c r="AL159" s="3510"/>
      <c r="AM159" s="3511"/>
      <c r="AN159" s="3512"/>
      <c r="AO159" s="3513"/>
      <c r="AP159" s="3514"/>
      <c r="AQ159" s="3515"/>
      <c r="AR159" s="3516"/>
      <c r="AS159" s="5284"/>
      <c r="AT159" s="3518"/>
      <c r="AU159" s="2256"/>
      <c r="AV159" s="1643"/>
      <c r="AW159" s="1625"/>
      <c r="AX159" s="1625" t="str">
        <f>IF(T159="","",T159)</f>
        <v>Добавить вид теплоносителя (параметры теплоносителя)</v>
      </c>
      <c r="AY159" s="1625"/>
      <c r="AZ159" s="1625"/>
      <c r="BA159" s="1636">
        <v>0</v>
      </c>
    </row>
    <row s="1851" customFormat="1" customHeight="1" ht="15">
      <c r="A160" s="1364"/>
      <c r="B160" s="1364"/>
      <c r="C160" s="1364"/>
      <c r="D160" s="1364"/>
      <c r="E160" s="2260" t="s">
        <v>96</v>
      </c>
      <c r="F160" s="2260"/>
      <c r="G160" s="2260"/>
      <c r="H160" s="2260"/>
      <c r="I160" s="2257"/>
      <c r="J160" s="1364"/>
      <c r="K160" s="1364"/>
      <c r="L160" s="1370"/>
      <c r="M160" s="1367"/>
      <c r="N160" s="1777"/>
      <c r="O160" s="1777"/>
      <c r="P160" s="2375"/>
      <c r="Q160" s="2375"/>
      <c r="R160" s="357"/>
      <c r="S160" s="3519"/>
      <c r="T160" s="3520" t="s">
        <v>542</v>
      </c>
      <c r="U160" s="3521"/>
      <c r="V160" s="3522"/>
      <c r="W160" s="3523"/>
      <c r="X160" s="3524"/>
      <c r="Y160" s="3525"/>
      <c r="Z160" s="3526"/>
      <c r="AA160" s="3527"/>
      <c r="AB160" s="3528"/>
      <c r="AC160" s="3529"/>
      <c r="AD160" s="3530"/>
      <c r="AE160" s="3531"/>
      <c r="AF160" s="3532"/>
      <c r="AG160" s="3533"/>
      <c r="AH160" s="3534"/>
      <c r="AI160" s="3535"/>
      <c r="AJ160" s="3536"/>
      <c r="AK160" s="3537"/>
      <c r="AL160" s="3538"/>
      <c r="AM160" s="3539"/>
      <c r="AN160" s="3540"/>
      <c r="AO160" s="3541"/>
      <c r="AP160" s="3542"/>
      <c r="AQ160" s="3543"/>
      <c r="AR160" s="3544"/>
      <c r="AS160" s="5285"/>
      <c r="AT160" s="3546"/>
      <c r="AU160" s="3547"/>
      <c r="AV160" s="1643"/>
      <c r="AW160" s="1625"/>
      <c r="AX160" s="1625" t="str">
        <f>IF(T160="","",T160)</f>
        <v>Добавить группу потребителей</v>
      </c>
      <c r="AY160" s="1625"/>
      <c r="AZ160" s="1625"/>
      <c r="BA160" s="1636">
        <v>0</v>
      </c>
    </row>
    <row s="1851" customFormat="1" customHeight="1" ht="14.25">
      <c r="A161" s="1364"/>
      <c r="B161" s="1364"/>
      <c r="C161" s="1364"/>
      <c r="D161" s="1364"/>
      <c r="E161" s="2260" t="s">
        <v>96</v>
      </c>
      <c r="F161" s="2260"/>
      <c r="G161" s="2260"/>
      <c r="H161" s="2259"/>
      <c r="I161" s="1364"/>
      <c r="J161" s="1364"/>
      <c r="K161" s="1364"/>
      <c r="L161" s="1370"/>
      <c r="M161" s="1366"/>
      <c r="N161" s="1366"/>
      <c r="O161" s="1367"/>
      <c r="P161" s="1824"/>
      <c r="Q161" s="376"/>
      <c r="R161" s="356"/>
      <c r="S161" s="3548"/>
      <c r="T161" s="3549" t="s">
        <v>543</v>
      </c>
      <c r="U161" s="3550"/>
      <c r="V161" s="3551"/>
      <c r="W161" s="3552"/>
      <c r="X161" s="3553"/>
      <c r="Y161" s="3554"/>
      <c r="Z161" s="3555"/>
      <c r="AA161" s="3556"/>
      <c r="AB161" s="3557"/>
      <c r="AC161" s="3558"/>
      <c r="AD161" s="3559"/>
      <c r="AE161" s="3560"/>
      <c r="AF161" s="3561"/>
      <c r="AG161" s="3562"/>
      <c r="AH161" s="3563"/>
      <c r="AI161" s="3564"/>
      <c r="AJ161" s="3565"/>
      <c r="AK161" s="3566"/>
      <c r="AL161" s="3567"/>
      <c r="AM161" s="3568"/>
      <c r="AN161" s="3569"/>
      <c r="AO161" s="3570"/>
      <c r="AP161" s="3571"/>
      <c r="AQ161" s="3572"/>
      <c r="AR161" s="3573"/>
      <c r="AS161" s="5286"/>
      <c r="AT161" s="3575"/>
      <c r="AU161" s="3576"/>
      <c r="AV161" s="1643"/>
      <c r="AW161" s="1625"/>
      <c r="AX161" s="1625" t="str">
        <f>IF(T161="","",T161)</f>
        <v>Добавить схему подключения</v>
      </c>
      <c r="AY161" s="1625"/>
      <c r="AZ161" s="1625"/>
      <c r="BA161" s="1636">
        <v>0</v>
      </c>
    </row>
    <row s="623" customFormat="1" customHeight="1" ht="0.75">
      <c r="A162" s="1344"/>
      <c r="B162" s="1344"/>
      <c r="C162" s="1344"/>
      <c r="D162" s="1344"/>
      <c r="E162" s="2260" t="s">
        <v>96</v>
      </c>
      <c r="F162" s="2260"/>
      <c r="G162" s="2259"/>
      <c r="H162" s="1344"/>
      <c r="I162" s="1344"/>
      <c r="J162" s="1344"/>
      <c r="K162" s="1344"/>
      <c r="L162" s="1546"/>
      <c r="M162" s="1316"/>
      <c r="N162" s="1316"/>
      <c r="O162" s="1643"/>
      <c r="P162" s="1317"/>
      <c r="Q162" s="1345"/>
      <c r="R162" s="1317"/>
      <c r="S162" s="1319"/>
      <c r="T162" s="1320" t="s">
        <v>177</v>
      </c>
      <c r="U162" s="1321"/>
      <c r="V162" s="1321"/>
      <c r="W162" s="1321"/>
      <c r="X162" s="1321"/>
      <c r="Y162" s="1321"/>
      <c r="Z162" s="1321"/>
      <c r="AA162" s="1321"/>
      <c r="AB162" s="1321"/>
      <c r="AC162" s="1321"/>
      <c r="AD162" s="1321"/>
      <c r="AE162" s="1321"/>
      <c r="AF162" s="1321"/>
      <c r="AG162" s="1321"/>
      <c r="AH162" s="1321"/>
      <c r="AI162" s="1321"/>
      <c r="AJ162" s="1321"/>
      <c r="AK162" s="1321"/>
      <c r="AL162" s="1321"/>
      <c r="AM162" s="1321"/>
      <c r="AN162" s="1321"/>
      <c r="AO162" s="1321"/>
      <c r="AP162" s="1321"/>
      <c r="AQ162" s="1321"/>
      <c r="AR162" s="1321"/>
      <c r="AS162" s="1321"/>
      <c r="AT162" s="1321"/>
      <c r="AU162" s="1321"/>
      <c r="AV162" s="1643"/>
      <c r="AW162" s="1625"/>
      <c r="AX162" s="1625" t="str">
        <f>IF(T162="","",T162)</f>
        <v>Добавить источник для дифференциации</v>
      </c>
      <c r="AY162" s="1625"/>
      <c r="AZ162" s="1625"/>
      <c r="BA162" s="1643">
        <v>0</v>
      </c>
    </row>
    <row s="623" customFormat="1" customHeight="1" ht="0.75">
      <c r="A163" s="1344"/>
      <c r="B163" s="1344"/>
      <c r="C163" s="1344"/>
      <c r="D163" s="1344"/>
      <c r="E163" s="2260" t="s">
        <v>96</v>
      </c>
      <c r="F163" s="2259"/>
      <c r="G163" s="1344"/>
      <c r="H163" s="1344"/>
      <c r="I163" s="1344"/>
      <c r="J163" s="1344"/>
      <c r="K163" s="1344"/>
      <c r="L163" s="1546"/>
      <c r="M163" s="1322"/>
      <c r="N163" s="1322"/>
      <c r="O163" s="1643"/>
      <c r="P163" s="1317"/>
      <c r="Q163" s="1345"/>
      <c r="R163" s="1317"/>
      <c r="S163" s="1323"/>
      <c r="T163" s="1324" t="s">
        <v>178</v>
      </c>
      <c r="U163" s="1325"/>
      <c r="V163" s="1325"/>
      <c r="W163" s="1325"/>
      <c r="X163" s="1325"/>
      <c r="Y163" s="1325"/>
      <c r="Z163" s="1325"/>
      <c r="AA163" s="1325"/>
      <c r="AB163" s="1325"/>
      <c r="AC163" s="1325"/>
      <c r="AD163" s="1325"/>
      <c r="AE163" s="1325"/>
      <c r="AF163" s="1325"/>
      <c r="AG163" s="1325"/>
      <c r="AH163" s="1325"/>
      <c r="AI163" s="1325"/>
      <c r="AJ163" s="1325"/>
      <c r="AK163" s="1325"/>
      <c r="AL163" s="1325"/>
      <c r="AM163" s="1325"/>
      <c r="AN163" s="1325"/>
      <c r="AO163" s="1325"/>
      <c r="AP163" s="1325"/>
      <c r="AQ163" s="1325"/>
      <c r="AR163" s="1325"/>
      <c r="AS163" s="1325"/>
      <c r="AT163" s="1325"/>
      <c r="AU163" s="1325"/>
      <c r="AV163" s="1643"/>
      <c r="AW163" s="1625"/>
      <c r="AX163" s="1625" t="str">
        <f>IF(T163="","",T163)</f>
        <v>Добавить централизованную систему для дифференциации</v>
      </c>
      <c r="AY163" s="1625"/>
      <c r="AZ163" s="1625"/>
      <c r="BA163" s="1643">
        <v>0</v>
      </c>
    </row>
    <row s="623" customFormat="1" customHeight="1" ht="0.75">
      <c r="A164" s="1344"/>
      <c r="B164" s="1344"/>
      <c r="C164" s="1344"/>
      <c r="D164" s="1344"/>
      <c r="E164" s="2259" t="s">
        <v>96</v>
      </c>
      <c r="F164" s="1344"/>
      <c r="G164" s="1344"/>
      <c r="H164" s="1344"/>
      <c r="I164" s="1344"/>
      <c r="J164" s="1344"/>
      <c r="K164" s="1344"/>
      <c r="L164" s="1546"/>
      <c r="M164" s="1322"/>
      <c r="N164" s="1322"/>
      <c r="O164" s="1643"/>
      <c r="P164" s="1317"/>
      <c r="Q164" s="1345"/>
      <c r="R164" s="1317"/>
      <c r="S164" s="1323"/>
      <c r="T164" s="1326" t="s">
        <v>183</v>
      </c>
      <c r="U164" s="1325"/>
      <c r="V164" s="1325"/>
      <c r="W164" s="1325"/>
      <c r="X164" s="1325"/>
      <c r="Y164" s="1325"/>
      <c r="Z164" s="1325"/>
      <c r="AA164" s="1325"/>
      <c r="AB164" s="1325"/>
      <c r="AC164" s="1325"/>
      <c r="AD164" s="1325"/>
      <c r="AE164" s="1325"/>
      <c r="AF164" s="1325"/>
      <c r="AG164" s="1325"/>
      <c r="AH164" s="1325"/>
      <c r="AI164" s="1325"/>
      <c r="AJ164" s="1325"/>
      <c r="AK164" s="1325"/>
      <c r="AL164" s="1325"/>
      <c r="AM164" s="1325"/>
      <c r="AN164" s="1325"/>
      <c r="AO164" s="1325"/>
      <c r="AP164" s="1325"/>
      <c r="AQ164" s="1325"/>
      <c r="AR164" s="1325"/>
      <c r="AS164" s="1325"/>
      <c r="AT164" s="1325"/>
      <c r="AU164" s="1325"/>
      <c r="AV164" s="1643"/>
      <c r="AW164" s="1625"/>
      <c r="AX164" s="1625" t="str">
        <f>IF(T164="","",T164)</f>
        <v>Добавить территорию для дифференциации</v>
      </c>
      <c r="AY164" s="1625"/>
      <c r="AZ164" s="1625"/>
      <c r="BA164" s="1643">
        <v>0</v>
      </c>
    </row>
    <row s="1851" customFormat="1" customHeight="1" ht="21">
      <c r="A165" s="1364" t="s">
        <v>218</v>
      </c>
      <c r="B165" s="1364"/>
      <c r="C165" s="1364"/>
      <c r="D165" s="1364"/>
      <c r="E165" s="2259" t="s">
        <v>125</v>
      </c>
      <c r="F165" s="1364"/>
      <c r="G165" s="1364"/>
      <c r="H165" s="1364"/>
      <c r="I165" s="1364"/>
      <c r="J165" s="1364"/>
      <c r="K165" s="1364"/>
      <c r="L165" s="1370"/>
      <c r="M165" s="1366"/>
      <c r="N165" s="1366"/>
      <c r="O165" s="1366"/>
      <c r="P165" s="2398"/>
      <c r="Q165" s="1824"/>
      <c r="R165" s="356"/>
      <c r="S165" s="2274" t="str">
        <f>INDEX(PT_DIFFERENTIATION_NUM_NTAR,MATCH(A165,PT_DIFFERENTIATION_NTAR_ID,0))</f>
        <v>8</v>
      </c>
      <c r="T165" s="1526" t="s">
        <v>136</v>
      </c>
      <c r="U165" s="301"/>
      <c r="V165" s="2243"/>
      <c r="W165" s="2244"/>
      <c r="X165" s="2244"/>
      <c r="Y165" s="2244"/>
      <c r="Z165" s="2244"/>
      <c r="AA165" s="2244"/>
      <c r="AB165" s="2244"/>
      <c r="AC165" s="2245"/>
      <c r="AD165" s="2243" t="str">
        <f>INDEX(PT_DIFFERENTIATION_NTAR,MATCH(A165,PT_DIFFERENTIATION_NTAR_ID,0))</f>
        <v>Тарифы на тепловую энергию, поставляемую потребителям. Для потребителей в случае отсутствия дифференциации тарифов по схеме подключения. Муниципальный округ город Кировск с подведомственной территорией Мурманской области</v>
      </c>
      <c r="AE165" s="2244"/>
      <c r="AF165" s="2244"/>
      <c r="AG165" s="2244"/>
      <c r="AH165" s="2244"/>
      <c r="AI165" s="2244"/>
      <c r="AJ165" s="2244"/>
      <c r="AK165" s="2244"/>
      <c r="AL165" s="2243"/>
      <c r="AM165" s="2244"/>
      <c r="AN165" s="2244"/>
      <c r="AO165" s="2244"/>
      <c r="AP165" s="2244"/>
      <c r="AQ165" s="2244"/>
      <c r="AR165" s="2244"/>
      <c r="AS165" s="5240"/>
      <c r="AT165" s="2245"/>
      <c r="AU165" s="1259" t="s">
        <v>526</v>
      </c>
      <c r="AV165" s="1643"/>
      <c r="AW165" s="1625"/>
      <c r="AX165" s="1625" t="str">
        <f>IF(T165="","",T165)</f>
        <v>Наименование тарифа</v>
      </c>
      <c r="AY165" s="1625"/>
      <c r="AZ165" s="1625"/>
      <c r="BA165" s="1636">
        <v>0</v>
      </c>
    </row>
    <row s="1851" customFormat="1" customHeight="1" ht="21">
      <c r="A166" s="1364"/>
      <c r="B166" s="1364" t="s">
        <v>219</v>
      </c>
      <c r="C166" s="1364"/>
      <c r="D166" s="1364"/>
      <c r="E166" s="2260" t="s">
        <v>97</v>
      </c>
      <c r="F166" s="2259">
        <v>1</v>
      </c>
      <c r="G166" s="1364"/>
      <c r="H166" s="1364"/>
      <c r="I166" s="1364"/>
      <c r="J166" s="1364"/>
      <c r="K166" s="1364"/>
      <c r="L166" s="1370"/>
      <c r="M166" s="1366"/>
      <c r="N166" s="1366"/>
      <c r="O166" s="1366"/>
      <c r="P166" s="2126"/>
      <c r="Q166" s="353"/>
      <c r="R166" s="354"/>
      <c r="S166" s="2274" t="str">
        <f>INDEX(PT_DIFFERENTIATION_NUM_TER,MATCH(B166,PT_DIFFERENTIATION_TER_ID,0))</f>
        <v>8.1</v>
      </c>
      <c r="T166" s="1523" t="s">
        <v>527</v>
      </c>
      <c r="U166" s="301"/>
      <c r="V166" s="2243"/>
      <c r="W166" s="2244"/>
      <c r="X166" s="2244"/>
      <c r="Y166" s="2244"/>
      <c r="Z166" s="2244"/>
      <c r="AA166" s="2244"/>
      <c r="AB166" s="2244"/>
      <c r="AC166" s="2245"/>
      <c r="AD166" s="2243" t="str">
        <f>INDEX(PT_DIFFERENTIATION_TER,MATCH(B166,PT_DIFFERENTIATION_TER_ID,0))</f>
        <v>Территория 2</v>
      </c>
      <c r="AE166" s="2244"/>
      <c r="AF166" s="2244"/>
      <c r="AG166" s="2244"/>
      <c r="AH166" s="2244"/>
      <c r="AI166" s="2244"/>
      <c r="AJ166" s="2244"/>
      <c r="AK166" s="2244"/>
      <c r="AL166" s="2243"/>
      <c r="AM166" s="2244"/>
      <c r="AN166" s="2244"/>
      <c r="AO166" s="2244"/>
      <c r="AP166" s="2244"/>
      <c r="AQ166" s="2244"/>
      <c r="AR166" s="2244"/>
      <c r="AS166" s="5240"/>
      <c r="AT166" s="2245"/>
      <c r="AU166" s="1259" t="s">
        <v>528</v>
      </c>
      <c r="AV166" s="1643"/>
      <c r="AW166" s="1625"/>
      <c r="AX166" s="1625" t="str">
        <f>IF(T166="","",T166)</f>
        <v>Территория действия тарифа</v>
      </c>
      <c r="AY166" s="1625"/>
      <c r="AZ166" s="1625"/>
      <c r="BA166" s="1636">
        <v>0</v>
      </c>
    </row>
    <row s="1851" customFormat="1" customHeight="1" ht="23.25">
      <c r="A167" s="1364"/>
      <c r="B167" s="1364"/>
      <c r="C167" s="1364" t="s">
        <v>220</v>
      </c>
      <c r="D167" s="1364"/>
      <c r="E167" s="2260" t="s">
        <v>97</v>
      </c>
      <c r="F167" s="2260"/>
      <c r="G167" s="2259">
        <v>1</v>
      </c>
      <c r="H167" s="1364"/>
      <c r="I167" s="1364"/>
      <c r="J167" s="1364"/>
      <c r="K167" s="1364"/>
      <c r="L167" s="1370"/>
      <c r="M167" s="1366"/>
      <c r="N167" s="1366"/>
      <c r="O167" s="1366"/>
      <c r="P167" s="355"/>
      <c r="Q167" s="353"/>
      <c r="R167" s="354"/>
      <c r="S167" s="2274" t="str">
        <f>INDEX(PT_DIFFERENTIATION_NUM_CS,MATCH(C167,PT_DIFFERENTIATION_CS_ID,0))</f>
        <v>8.1.1</v>
      </c>
      <c r="T167" s="310" t="s">
        <v>529</v>
      </c>
      <c r="U167" s="301"/>
      <c r="V167" s="2243"/>
      <c r="W167" s="2244"/>
      <c r="X167" s="2244"/>
      <c r="Y167" s="2244"/>
      <c r="Z167" s="2244"/>
      <c r="AA167" s="2244"/>
      <c r="AB167" s="2244"/>
      <c r="AC167" s="2245"/>
      <c r="AD167" s="2243" t="str">
        <f>INDEX(PT_DIFFERENTIATION_CS,MATCH(C167,PT_DIFFERENTIATION_CS_ID,0))</f>
        <v>открытая система теплоснабжения г. Кировск</v>
      </c>
      <c r="AE167" s="2244"/>
      <c r="AF167" s="2244"/>
      <c r="AG167" s="2244"/>
      <c r="AH167" s="2244"/>
      <c r="AI167" s="2244"/>
      <c r="AJ167" s="2244"/>
      <c r="AK167" s="2244"/>
      <c r="AL167" s="2243"/>
      <c r="AM167" s="2244"/>
      <c r="AN167" s="2244"/>
      <c r="AO167" s="2244"/>
      <c r="AP167" s="2244"/>
      <c r="AQ167" s="2244"/>
      <c r="AR167" s="2244"/>
      <c r="AS167" s="5240"/>
      <c r="AT167" s="2245"/>
      <c r="AU167" s="1259" t="s">
        <v>530</v>
      </c>
      <c r="AV167" s="1643"/>
      <c r="AW167" s="1625"/>
      <c r="AX167" s="1625" t="str">
        <f>IF(T167="","",T167)</f>
        <v>Наименование системы теплоснабжения </v>
      </c>
      <c r="AY167" s="1625"/>
      <c r="AZ167" s="1625"/>
      <c r="BA167" s="1636">
        <v>0</v>
      </c>
    </row>
    <row s="1851" customFormat="1" customHeight="1" ht="21">
      <c r="A168" s="1364"/>
      <c r="B168" s="1364"/>
      <c r="C168" s="1364"/>
      <c r="D168" s="1364" t="s">
        <v>221</v>
      </c>
      <c r="E168" s="2260" t="s">
        <v>97</v>
      </c>
      <c r="F168" s="2260"/>
      <c r="G168" s="2260"/>
      <c r="H168" s="2259">
        <v>1</v>
      </c>
      <c r="I168" s="1364"/>
      <c r="J168" s="1364"/>
      <c r="K168" s="1364"/>
      <c r="L168" s="1370"/>
      <c r="M168" s="1366"/>
      <c r="N168" s="1366"/>
      <c r="O168" s="1366"/>
      <c r="P168" s="355"/>
      <c r="Q168" s="353"/>
      <c r="R168" s="354"/>
      <c r="S168" s="2274" t="str">
        <f>INDEX(PT_DIFFERENTIATION_NUM_IST_TE,MATCH(D168,PT_DIFFERENTIATION_IST_TE_ID,0))</f>
        <v>8.1.1.1</v>
      </c>
      <c r="T168" s="311" t="s">
        <v>531</v>
      </c>
      <c r="U168" s="301"/>
      <c r="V168" s="2243"/>
      <c r="W168" s="2244"/>
      <c r="X168" s="2244"/>
      <c r="Y168" s="2244"/>
      <c r="Z168" s="2244"/>
      <c r="AA168" s="2244"/>
      <c r="AB168" s="2244"/>
      <c r="AC168" s="2245"/>
      <c r="AD168" s="2243" t="str">
        <f>INDEX(PT_DIFFERENTIATION_IST_TE,MATCH(D168,PT_DIFFERENTIATION_IST_TE_ID,0))</f>
        <v>Апатитская ТЭЦ</v>
      </c>
      <c r="AE168" s="2244"/>
      <c r="AF168" s="2244"/>
      <c r="AG168" s="2244"/>
      <c r="AH168" s="2244"/>
      <c r="AI168" s="2244"/>
      <c r="AJ168" s="2244"/>
      <c r="AK168" s="2244"/>
      <c r="AL168" s="2243"/>
      <c r="AM168" s="2244"/>
      <c r="AN168" s="2244"/>
      <c r="AO168" s="2244"/>
      <c r="AP168" s="2244"/>
      <c r="AQ168" s="2244"/>
      <c r="AR168" s="2244"/>
      <c r="AS168" s="5240"/>
      <c r="AT168" s="2245"/>
      <c r="AU168" s="1259" t="s">
        <v>532</v>
      </c>
      <c r="AV168" s="1643"/>
      <c r="AW168" s="1625"/>
      <c r="AX168" s="1625" t="str">
        <f>IF(T168="","",T168)</f>
        <v>Источник тепловой энергии  </v>
      </c>
      <c r="AY168" s="1625"/>
      <c r="AZ168" s="1625"/>
      <c r="BA168" s="1636">
        <v>0</v>
      </c>
    </row>
    <row s="1851" customFormat="1" customHeight="1" ht="47.25">
      <c r="A169" s="1364"/>
      <c r="B169" s="1364"/>
      <c r="C169" s="1364"/>
      <c r="D169" s="1364"/>
      <c r="E169" s="2260" t="s">
        <v>97</v>
      </c>
      <c r="F169" s="2260"/>
      <c r="G169" s="2260"/>
      <c r="H169" s="2260"/>
      <c r="I169" s="2257" t="str">
        <f>S168&amp;".1"</f>
        <v>8.1.1.1.1</v>
      </c>
      <c r="J169" s="1364"/>
      <c r="K169" s="1364"/>
      <c r="L169" s="1370" t="s">
        <v>533</v>
      </c>
      <c r="M169" s="1367"/>
      <c r="N169" s="1777"/>
      <c r="O169" s="1777"/>
      <c r="P169" s="2375">
        <v>1</v>
      </c>
      <c r="Q169" s="2375"/>
      <c r="R169" s="357"/>
      <c r="S169" s="2274" t="str">
        <f>$I169</f>
        <v>8.1.1.1.1</v>
      </c>
      <c r="T169" s="286" t="s">
        <v>534</v>
      </c>
      <c r="U169" s="301"/>
      <c r="V169" s="2246"/>
      <c r="W169" s="2247"/>
      <c r="X169" s="2247"/>
      <c r="Y169" s="2247"/>
      <c r="Z169" s="2247"/>
      <c r="AA169" s="2247"/>
      <c r="AB169" s="2247"/>
      <c r="AC169" s="2248"/>
      <c r="AD169" s="2246" t="s">
        <v>576</v>
      </c>
      <c r="AE169" s="2247"/>
      <c r="AF169" s="2247"/>
      <c r="AG169" s="2247"/>
      <c r="AH169" s="2247"/>
      <c r="AI169" s="2247"/>
      <c r="AJ169" s="2247"/>
      <c r="AK169" s="2247"/>
      <c r="AL169" s="2246"/>
      <c r="AM169" s="2247"/>
      <c r="AN169" s="2247"/>
      <c r="AO169" s="2247"/>
      <c r="AP169" s="2247"/>
      <c r="AQ169" s="2247"/>
      <c r="AR169" s="2247"/>
      <c r="AS169" s="5241"/>
      <c r="AT169" s="2248"/>
      <c r="AU169" s="1259" t="s">
        <v>535</v>
      </c>
      <c r="AV169" s="1643"/>
      <c r="AW169" s="1625"/>
      <c r="AX169" s="1625" t="str">
        <f>IF(T169="","",T169)</f>
        <v>Схема подключения теплопотребляющей установки к коллектору источника тепловой энергии</v>
      </c>
      <c r="AY169" s="1625"/>
      <c r="AZ169" s="1625"/>
      <c r="BA169" s="1636">
        <v>0</v>
      </c>
    </row>
    <row s="1851" customFormat="1" customHeight="1" ht="21">
      <c r="A170" s="1364"/>
      <c r="B170" s="1364"/>
      <c r="C170" s="1364"/>
      <c r="D170" s="1364"/>
      <c r="E170" s="2260" t="s">
        <v>97</v>
      </c>
      <c r="F170" s="2260"/>
      <c r="G170" s="2260"/>
      <c r="H170" s="2260"/>
      <c r="I170" s="2287"/>
      <c r="J170" s="2257" t="str">
        <f>I169&amp;".1"</f>
        <v>8.1.1.1.1.1</v>
      </c>
      <c r="K170" s="1364"/>
      <c r="L170" s="1370" t="s">
        <v>536</v>
      </c>
      <c r="M170" s="1367"/>
      <c r="N170" s="1367"/>
      <c r="O170" s="1777"/>
      <c r="P170" s="2375"/>
      <c r="Q170" s="2375">
        <v>1</v>
      </c>
      <c r="R170" s="358"/>
      <c r="S170" s="2274" t="str">
        <f>$J170</f>
        <v>8.1.1.1.1.1</v>
      </c>
      <c r="T170" s="287" t="s">
        <v>537</v>
      </c>
      <c r="U170" s="301"/>
      <c r="V170" s="2246"/>
      <c r="W170" s="2247"/>
      <c r="X170" s="2247"/>
      <c r="Y170" s="2247"/>
      <c r="Z170" s="2247"/>
      <c r="AA170" s="2247"/>
      <c r="AB170" s="2247"/>
      <c r="AC170" s="2248"/>
      <c r="AD170" s="2246" t="s">
        <v>576</v>
      </c>
      <c r="AE170" s="2247"/>
      <c r="AF170" s="2247"/>
      <c r="AG170" s="2247"/>
      <c r="AH170" s="2247"/>
      <c r="AI170" s="2247"/>
      <c r="AJ170" s="2247"/>
      <c r="AK170" s="2247"/>
      <c r="AL170" s="2246"/>
      <c r="AM170" s="2247"/>
      <c r="AN170" s="2247"/>
      <c r="AO170" s="2247"/>
      <c r="AP170" s="2247"/>
      <c r="AQ170" s="2247"/>
      <c r="AR170" s="2247"/>
      <c r="AS170" s="5241"/>
      <c r="AT170" s="2248"/>
      <c r="AU170" s="1259" t="s">
        <v>538</v>
      </c>
      <c r="AV170" s="1643"/>
      <c r="AW170" s="1625"/>
      <c r="AX170" s="1625" t="str">
        <f>IF(T170="","",T170)</f>
        <v>Группа потребителей</v>
      </c>
      <c r="AY170" s="1625"/>
      <c r="AZ170" s="1625"/>
      <c r="BA170" s="1636">
        <v>0</v>
      </c>
    </row>
    <row s="1851" customFormat="1" customHeight="1" ht="21">
      <c r="A171" s="1364"/>
      <c r="B171" s="1364"/>
      <c r="C171" s="1364"/>
      <c r="D171" s="1364"/>
      <c r="E171" s="2260" t="s">
        <v>97</v>
      </c>
      <c r="F171" s="2260"/>
      <c r="G171" s="2260"/>
      <c r="H171" s="2260"/>
      <c r="I171" s="2287"/>
      <c r="J171" s="2287"/>
      <c r="K171" s="2257" t="str">
        <f>J170&amp;".1"</f>
        <v>8.1.1.1.1.1.1</v>
      </c>
      <c r="L171" s="1370" t="s">
        <v>539</v>
      </c>
      <c r="M171" s="1367"/>
      <c r="N171" s="1367"/>
      <c r="O171" s="1367"/>
      <c r="P171" s="2375"/>
      <c r="Q171" s="2375"/>
      <c r="R171" s="358">
        <v>1</v>
      </c>
      <c r="S171" s="2274" t="str">
        <f>$K171</f>
        <v>8.1.1.1.1.1.1</v>
      </c>
      <c r="T171" s="1348" t="s">
        <v>577</v>
      </c>
      <c r="U171" s="301"/>
      <c r="V171" s="752"/>
      <c r="W171" s="326"/>
      <c r="X171" s="752"/>
      <c r="Y171" s="1258"/>
      <c r="Z171" s="2603"/>
      <c r="AA171" s="2108" t="s">
        <v>65</v>
      </c>
      <c r="AB171" s="2603"/>
      <c r="AC171" s="2108" t="s">
        <v>65</v>
      </c>
      <c r="AD171" s="752">
        <v>3190.34</v>
      </c>
      <c r="AE171" s="326"/>
      <c r="AF171" s="752"/>
      <c r="AG171" s="1258"/>
      <c r="AH171" s="2603">
        <v>46023</v>
      </c>
      <c r="AI171" s="2108" t="s">
        <v>65</v>
      </c>
      <c r="AJ171" s="2603">
        <v>46295</v>
      </c>
      <c r="AK171" s="2108" t="s">
        <v>65</v>
      </c>
      <c r="AL171" s="752">
        <v>3190.34</v>
      </c>
      <c r="AM171" s="326"/>
      <c r="AN171" s="752"/>
      <c r="AO171" s="1258"/>
      <c r="AP171" s="2603">
        <v>46296</v>
      </c>
      <c r="AQ171" s="2108" t="s">
        <v>65</v>
      </c>
      <c r="AR171" s="2603">
        <v>46387</v>
      </c>
      <c r="AS171" s="2108" t="s">
        <v>65</v>
      </c>
      <c r="AT171" s="326"/>
      <c r="AU171" s="2254" t="s">
        <v>540</v>
      </c>
      <c r="AV171" s="1643">
        <f>STRCHECKDATE(V172:AT172)</f>
      </c>
      <c r="AW171" s="1625"/>
      <c r="AX171" s="1625" t="str">
        <f>IF(T171="","",T171)</f>
        <v>вода</v>
      </c>
      <c r="AY171" s="1625"/>
      <c r="AZ171" s="1625"/>
      <c r="BA171" s="1636">
        <v>0</v>
      </c>
    </row>
    <row s="1851" customFormat="1" customHeight="1" ht="0.75">
      <c r="A172" s="1364"/>
      <c r="B172" s="1364"/>
      <c r="C172" s="1364"/>
      <c r="D172" s="1364"/>
      <c r="E172" s="2260" t="s">
        <v>97</v>
      </c>
      <c r="F172" s="2260"/>
      <c r="G172" s="2260"/>
      <c r="H172" s="2260"/>
      <c r="I172" s="2287"/>
      <c r="J172" s="2287"/>
      <c r="K172" s="2257"/>
      <c r="L172" s="1370"/>
      <c r="M172" s="1367"/>
      <c r="N172" s="1367"/>
      <c r="O172" s="1367"/>
      <c r="P172" s="2375"/>
      <c r="Q172" s="2375"/>
      <c r="R172" s="358"/>
      <c r="S172" s="2514"/>
      <c r="T172" s="301"/>
      <c r="U172" s="301"/>
      <c r="V172" s="326"/>
      <c r="W172" s="326"/>
      <c r="X172" s="326"/>
      <c r="Y172" s="329" t="str">
        <f>Z171&amp;"-"&amp;AB171</f>
        <v>-</v>
      </c>
      <c r="Z172" s="2310"/>
      <c r="AA172" s="2108"/>
      <c r="AB172" s="2310"/>
      <c r="AC172" s="2108"/>
      <c r="AD172" s="326"/>
      <c r="AE172" s="326"/>
      <c r="AF172" s="326"/>
      <c r="AG172" s="329" t="str">
        <f>AH171&amp;"-"&amp;AJ171</f>
        <v>46023-46295</v>
      </c>
      <c r="AH172" s="2310"/>
      <c r="AI172" s="2108"/>
      <c r="AJ172" s="2310"/>
      <c r="AK172" s="2108"/>
      <c r="AL172" s="326"/>
      <c r="AM172" s="326"/>
      <c r="AN172" s="326"/>
      <c r="AO172" s="329" t="str">
        <f>AP171&amp;"-"&amp;AR171</f>
        <v>46296-46387</v>
      </c>
      <c r="AP172" s="2310"/>
      <c r="AQ172" s="2108"/>
      <c r="AR172" s="2310"/>
      <c r="AS172" s="2108"/>
      <c r="AT172" s="326"/>
      <c r="AU172" s="2255"/>
      <c r="AV172" s="1643"/>
      <c r="AW172" s="1625"/>
      <c r="AX172" s="1625" t="str">
        <f>IF(T172="","",T172)</f>
        <v/>
      </c>
      <c r="AY172" s="1625"/>
      <c r="AZ172" s="1625"/>
      <c r="BA172" s="1636">
        <v>0</v>
      </c>
    </row>
    <row s="1851" customFormat="1" customHeight="1" ht="15">
      <c r="A173" s="1364"/>
      <c r="B173" s="1364"/>
      <c r="C173" s="1364"/>
      <c r="D173" s="1364"/>
      <c r="E173" s="2260" t="s">
        <v>97</v>
      </c>
      <c r="F173" s="2260"/>
      <c r="G173" s="2260"/>
      <c r="H173" s="2260"/>
      <c r="I173" s="2287"/>
      <c r="J173" s="2257"/>
      <c r="K173" s="1364"/>
      <c r="L173" s="1370"/>
      <c r="M173" s="1367"/>
      <c r="N173" s="1367"/>
      <c r="O173" s="1777"/>
      <c r="P173" s="2375"/>
      <c r="Q173" s="2375"/>
      <c r="R173" s="357"/>
      <c r="S173" s="3577"/>
      <c r="T173" s="3578" t="s">
        <v>541</v>
      </c>
      <c r="U173" s="3579"/>
      <c r="V173" s="3580"/>
      <c r="W173" s="3581"/>
      <c r="X173" s="3582"/>
      <c r="Y173" s="3583"/>
      <c r="Z173" s="3584"/>
      <c r="AA173" s="3585"/>
      <c r="AB173" s="3586"/>
      <c r="AC173" s="3587"/>
      <c r="AD173" s="3588"/>
      <c r="AE173" s="3589"/>
      <c r="AF173" s="3590"/>
      <c r="AG173" s="3591"/>
      <c r="AH173" s="3592"/>
      <c r="AI173" s="3593"/>
      <c r="AJ173" s="3594"/>
      <c r="AK173" s="3595"/>
      <c r="AL173" s="3596"/>
      <c r="AM173" s="3597"/>
      <c r="AN173" s="3598"/>
      <c r="AO173" s="3599"/>
      <c r="AP173" s="3600"/>
      <c r="AQ173" s="3601"/>
      <c r="AR173" s="3602"/>
      <c r="AS173" s="5287"/>
      <c r="AT173" s="3604"/>
      <c r="AU173" s="2256"/>
      <c r="AV173" s="1643"/>
      <c r="AW173" s="1625"/>
      <c r="AX173" s="1625" t="str">
        <f>IF(T173="","",T173)</f>
        <v>Добавить вид теплоносителя (параметры теплоносителя)</v>
      </c>
      <c r="AY173" s="1625"/>
      <c r="AZ173" s="1625"/>
      <c r="BA173" s="1636">
        <v>0</v>
      </c>
    </row>
    <row s="1851" customFormat="1" customHeight="1" ht="15">
      <c r="A174" s="1364"/>
      <c r="B174" s="1364"/>
      <c r="C174" s="1364"/>
      <c r="D174" s="1364"/>
      <c r="E174" s="2260" t="s">
        <v>97</v>
      </c>
      <c r="F174" s="2260"/>
      <c r="G174" s="2260"/>
      <c r="H174" s="2260"/>
      <c r="I174" s="2257"/>
      <c r="J174" s="1364"/>
      <c r="K174" s="1364"/>
      <c r="L174" s="1370"/>
      <c r="M174" s="1367"/>
      <c r="N174" s="1777"/>
      <c r="O174" s="1777"/>
      <c r="P174" s="2375"/>
      <c r="Q174" s="2375"/>
      <c r="R174" s="357"/>
      <c r="S174" s="3605"/>
      <c r="T174" s="3606" t="s">
        <v>542</v>
      </c>
      <c r="U174" s="3607"/>
      <c r="V174" s="3608"/>
      <c r="W174" s="3609"/>
      <c r="X174" s="3610"/>
      <c r="Y174" s="3611"/>
      <c r="Z174" s="3612"/>
      <c r="AA174" s="3613"/>
      <c r="AB174" s="3614"/>
      <c r="AC174" s="3615"/>
      <c r="AD174" s="3616"/>
      <c r="AE174" s="3617"/>
      <c r="AF174" s="3618"/>
      <c r="AG174" s="3619"/>
      <c r="AH174" s="3620"/>
      <c r="AI174" s="3621"/>
      <c r="AJ174" s="3622"/>
      <c r="AK174" s="3623"/>
      <c r="AL174" s="3624"/>
      <c r="AM174" s="3625"/>
      <c r="AN174" s="3626"/>
      <c r="AO174" s="3627"/>
      <c r="AP174" s="3628"/>
      <c r="AQ174" s="3629"/>
      <c r="AR174" s="3630"/>
      <c r="AS174" s="5288"/>
      <c r="AT174" s="3632"/>
      <c r="AU174" s="3633"/>
      <c r="AV174" s="1643"/>
      <c r="AW174" s="1625"/>
      <c r="AX174" s="1625" t="str">
        <f>IF(T174="","",T174)</f>
        <v>Добавить группу потребителей</v>
      </c>
      <c r="AY174" s="1625"/>
      <c r="AZ174" s="1625"/>
      <c r="BA174" s="1636">
        <v>0</v>
      </c>
    </row>
    <row s="1851" customFormat="1" customHeight="1" ht="14.25">
      <c r="A175" s="1364"/>
      <c r="B175" s="1364"/>
      <c r="C175" s="1364"/>
      <c r="D175" s="1364"/>
      <c r="E175" s="2260" t="s">
        <v>97</v>
      </c>
      <c r="F175" s="2260"/>
      <c r="G175" s="2260"/>
      <c r="H175" s="2259"/>
      <c r="I175" s="1364"/>
      <c r="J175" s="1364"/>
      <c r="K175" s="1364"/>
      <c r="L175" s="1370"/>
      <c r="M175" s="1366"/>
      <c r="N175" s="1366"/>
      <c r="O175" s="1367"/>
      <c r="P175" s="1824"/>
      <c r="Q175" s="376"/>
      <c r="R175" s="356"/>
      <c r="S175" s="3634"/>
      <c r="T175" s="3635" t="s">
        <v>543</v>
      </c>
      <c r="U175" s="3636"/>
      <c r="V175" s="3637"/>
      <c r="W175" s="3638"/>
      <c r="X175" s="3639"/>
      <c r="Y175" s="3640"/>
      <c r="Z175" s="3641"/>
      <c r="AA175" s="3642"/>
      <c r="AB175" s="3643"/>
      <c r="AC175" s="3644"/>
      <c r="AD175" s="3645"/>
      <c r="AE175" s="3646"/>
      <c r="AF175" s="3647"/>
      <c r="AG175" s="3648"/>
      <c r="AH175" s="3649"/>
      <c r="AI175" s="3650"/>
      <c r="AJ175" s="3651"/>
      <c r="AK175" s="3652"/>
      <c r="AL175" s="3653"/>
      <c r="AM175" s="3654"/>
      <c r="AN175" s="3655"/>
      <c r="AO175" s="3656"/>
      <c r="AP175" s="3657"/>
      <c r="AQ175" s="3658"/>
      <c r="AR175" s="3659"/>
      <c r="AS175" s="5289"/>
      <c r="AT175" s="3661"/>
      <c r="AU175" s="3662"/>
      <c r="AV175" s="1643"/>
      <c r="AW175" s="1625"/>
      <c r="AX175" s="1625" t="str">
        <f>IF(T175="","",T175)</f>
        <v>Добавить схему подключения</v>
      </c>
      <c r="AY175" s="1625"/>
      <c r="AZ175" s="1625"/>
      <c r="BA175" s="1636">
        <v>0</v>
      </c>
    </row>
    <row s="623" customFormat="1" customHeight="1" ht="0.75">
      <c r="A176" s="1344"/>
      <c r="B176" s="1344"/>
      <c r="C176" s="1344"/>
      <c r="D176" s="1344"/>
      <c r="E176" s="2260" t="s">
        <v>97</v>
      </c>
      <c r="F176" s="2260"/>
      <c r="G176" s="2259"/>
      <c r="H176" s="1344"/>
      <c r="I176" s="1344"/>
      <c r="J176" s="1344"/>
      <c r="K176" s="1344"/>
      <c r="L176" s="1546"/>
      <c r="M176" s="1316"/>
      <c r="N176" s="1316"/>
      <c r="O176" s="1643"/>
      <c r="P176" s="1317"/>
      <c r="Q176" s="1345"/>
      <c r="R176" s="1317"/>
      <c r="S176" s="1319"/>
      <c r="T176" s="1320" t="s">
        <v>177</v>
      </c>
      <c r="U176" s="1321"/>
      <c r="V176" s="1321"/>
      <c r="W176" s="1321"/>
      <c r="X176" s="1321"/>
      <c r="Y176" s="1321"/>
      <c r="Z176" s="1321"/>
      <c r="AA176" s="1321"/>
      <c r="AB176" s="1321"/>
      <c r="AC176" s="1321"/>
      <c r="AD176" s="1321"/>
      <c r="AE176" s="1321"/>
      <c r="AF176" s="1321"/>
      <c r="AG176" s="1321"/>
      <c r="AH176" s="1321"/>
      <c r="AI176" s="1321"/>
      <c r="AJ176" s="1321"/>
      <c r="AK176" s="1321"/>
      <c r="AL176" s="1321"/>
      <c r="AM176" s="1321"/>
      <c r="AN176" s="1321"/>
      <c r="AO176" s="1321"/>
      <c r="AP176" s="1321"/>
      <c r="AQ176" s="1321"/>
      <c r="AR176" s="1321"/>
      <c r="AS176" s="1321"/>
      <c r="AT176" s="1321"/>
      <c r="AU176" s="1321"/>
      <c r="AV176" s="1643"/>
      <c r="AW176" s="1625"/>
      <c r="AX176" s="1625" t="str">
        <f>IF(T176="","",T176)</f>
        <v>Добавить источник для дифференциации</v>
      </c>
      <c r="AY176" s="1625"/>
      <c r="AZ176" s="1625"/>
      <c r="BA176" s="1643">
        <v>0</v>
      </c>
    </row>
    <row s="623" customFormat="1" customHeight="1" ht="0.75">
      <c r="A177" s="1344"/>
      <c r="B177" s="1344"/>
      <c r="C177" s="1344"/>
      <c r="D177" s="1344"/>
      <c r="E177" s="2260" t="s">
        <v>97</v>
      </c>
      <c r="F177" s="2259"/>
      <c r="G177" s="1344"/>
      <c r="H177" s="1344"/>
      <c r="I177" s="1344"/>
      <c r="J177" s="1344"/>
      <c r="K177" s="1344"/>
      <c r="L177" s="1546"/>
      <c r="M177" s="1322"/>
      <c r="N177" s="1322"/>
      <c r="O177" s="1643"/>
      <c r="P177" s="1317"/>
      <c r="Q177" s="1345"/>
      <c r="R177" s="1317"/>
      <c r="S177" s="1323"/>
      <c r="T177" s="1324" t="s">
        <v>178</v>
      </c>
      <c r="U177" s="1325"/>
      <c r="V177" s="1325"/>
      <c r="W177" s="1325"/>
      <c r="X177" s="1325"/>
      <c r="Y177" s="1325"/>
      <c r="Z177" s="1325"/>
      <c r="AA177" s="1325"/>
      <c r="AB177" s="1325"/>
      <c r="AC177" s="1325"/>
      <c r="AD177" s="1325"/>
      <c r="AE177" s="1325"/>
      <c r="AF177" s="1325"/>
      <c r="AG177" s="1325"/>
      <c r="AH177" s="1325"/>
      <c r="AI177" s="1325"/>
      <c r="AJ177" s="1325"/>
      <c r="AK177" s="1325"/>
      <c r="AL177" s="1325"/>
      <c r="AM177" s="1325"/>
      <c r="AN177" s="1325"/>
      <c r="AO177" s="1325"/>
      <c r="AP177" s="1325"/>
      <c r="AQ177" s="1325"/>
      <c r="AR177" s="1325"/>
      <c r="AS177" s="1325"/>
      <c r="AT177" s="1325"/>
      <c r="AU177" s="1325"/>
      <c r="AV177" s="1643"/>
      <c r="AW177" s="1625"/>
      <c r="AX177" s="1625" t="str">
        <f>IF(T177="","",T177)</f>
        <v>Добавить централизованную систему для дифференциации</v>
      </c>
      <c r="AY177" s="1625"/>
      <c r="AZ177" s="1625"/>
      <c r="BA177" s="1643">
        <v>0</v>
      </c>
    </row>
    <row s="623" customFormat="1" customHeight="1" ht="0.75">
      <c r="A178" s="1344"/>
      <c r="B178" s="1344"/>
      <c r="C178" s="1344"/>
      <c r="D178" s="1344"/>
      <c r="E178" s="2259" t="s">
        <v>97</v>
      </c>
      <c r="F178" s="1344"/>
      <c r="G178" s="1344"/>
      <c r="H178" s="1344"/>
      <c r="I178" s="1344"/>
      <c r="J178" s="1344"/>
      <c r="K178" s="1344"/>
      <c r="L178" s="1546"/>
      <c r="M178" s="1322"/>
      <c r="N178" s="1322"/>
      <c r="O178" s="1643"/>
      <c r="P178" s="1317"/>
      <c r="Q178" s="1345"/>
      <c r="R178" s="1317"/>
      <c r="S178" s="1323"/>
      <c r="T178" s="1326" t="s">
        <v>183</v>
      </c>
      <c r="U178" s="1325"/>
      <c r="V178" s="1325"/>
      <c r="W178" s="1325"/>
      <c r="X178" s="1325"/>
      <c r="Y178" s="1325"/>
      <c r="Z178" s="1325"/>
      <c r="AA178" s="1325"/>
      <c r="AB178" s="1325"/>
      <c r="AC178" s="1325"/>
      <c r="AD178" s="1325"/>
      <c r="AE178" s="1325"/>
      <c r="AF178" s="1325"/>
      <c r="AG178" s="1325"/>
      <c r="AH178" s="1325"/>
      <c r="AI178" s="1325"/>
      <c r="AJ178" s="1325"/>
      <c r="AK178" s="1325"/>
      <c r="AL178" s="1325"/>
      <c r="AM178" s="1325"/>
      <c r="AN178" s="1325"/>
      <c r="AO178" s="1325"/>
      <c r="AP178" s="1325"/>
      <c r="AQ178" s="1325"/>
      <c r="AR178" s="1325"/>
      <c r="AS178" s="1325"/>
      <c r="AT178" s="1325"/>
      <c r="AU178" s="1325"/>
      <c r="AV178" s="1643"/>
      <c r="AW178" s="1625"/>
      <c r="AX178" s="1625" t="str">
        <f>IF(T178="","",T178)</f>
        <v>Добавить территорию для дифференциации</v>
      </c>
      <c r="AY178" s="1625"/>
      <c r="AZ178" s="1625"/>
      <c r="BA178" s="1643">
        <v>0</v>
      </c>
    </row>
    <row s="1643" customFormat="1" customHeight="1" ht="1.05">
      <c r="A179" s="1315"/>
      <c r="B179" s="1315"/>
      <c r="C179" s="1315"/>
      <c r="D179" s="1315"/>
      <c r="E179" s="1344"/>
      <c r="F179" s="1315"/>
      <c r="G179" s="1315"/>
      <c r="H179" s="1315"/>
      <c r="I179" s="1315"/>
      <c r="J179" s="1315"/>
      <c r="K179" s="1315"/>
      <c r="L179" s="1340"/>
      <c r="M179" s="1322"/>
      <c r="N179" s="1322"/>
      <c r="P179" s="1317"/>
      <c r="Q179" s="1318"/>
      <c r="R179" s="1317"/>
      <c r="S179" s="1323"/>
      <c r="T179" s="1326" t="s">
        <v>222</v>
      </c>
      <c r="U179" s="1325"/>
      <c r="V179" s="1325"/>
      <c r="W179" s="1325"/>
      <c r="X179" s="1325"/>
      <c r="Y179" s="1325"/>
      <c r="Z179" s="1325"/>
      <c r="AA179" s="1325"/>
      <c r="AB179" s="1325"/>
      <c r="AC179" s="1325"/>
      <c r="AD179" s="1325"/>
      <c r="AE179" s="1325"/>
      <c r="AF179" s="1325"/>
      <c r="AG179" s="1325"/>
      <c r="AH179" s="1325"/>
      <c r="AI179" s="1325"/>
      <c r="AJ179" s="1325"/>
      <c r="AK179" s="1325"/>
      <c r="AL179" s="1325"/>
      <c r="AM179" s="1325"/>
      <c r="AN179" s="1325"/>
      <c r="AO179" s="1325"/>
      <c r="AP179" s="1325"/>
      <c r="AQ179" s="1325"/>
      <c r="AR179" s="1325"/>
      <c r="AS179" s="5247"/>
      <c r="AT179" s="1325"/>
      <c r="AU179" s="1325"/>
      <c r="AW179" s="790"/>
      <c r="AX179" s="790" t="str">
        <f>IF(T179="","",T179)</f>
        <v>Добавить наименование тарифа</v>
      </c>
      <c r="AY179" s="790"/>
      <c r="AZ179" s="790"/>
      <c r="BA179" s="519">
        <v>1</v>
      </c>
    </row>
    <row customHeight="1" ht="11.549999999999999">
      <c r="M180" s="1161"/>
      <c r="N180" s="1161"/>
      <c r="O180" s="538"/>
      <c r="P180" s="1156"/>
      <c r="Q180" s="1156"/>
      <c r="R180" s="1156"/>
      <c r="S180" s="1156"/>
      <c r="AL180" s="1636"/>
      <c r="AM180" s="1636"/>
      <c r="AN180" s="1636"/>
      <c r="AO180" s="1636"/>
      <c r="AP180" s="1636"/>
      <c r="AQ180" s="1636"/>
      <c r="AR180" s="1636"/>
      <c r="AS180" s="5239"/>
      <c r="AV180" s="1156"/>
      <c r="AW180" s="1156"/>
      <c r="AX180" s="1156"/>
      <c r="AY180" s="1156"/>
      <c r="AZ180" s="1156"/>
      <c r="BA180" s="1156">
        <v>11</v>
      </c>
    </row>
    <row customHeight="1" ht="28.5">
      <c r="O181" s="538"/>
      <c r="S181" s="1254"/>
      <c r="T181" s="2286"/>
      <c r="U181" s="2286"/>
      <c r="V181" s="2286"/>
      <c r="W181" s="2286"/>
      <c r="X181" s="2286"/>
      <c r="Y181" s="2286"/>
      <c r="Z181" s="2286"/>
      <c r="AA181" s="2286"/>
      <c r="AB181" s="2286"/>
      <c r="AC181" s="2286"/>
      <c r="AD181" s="2286"/>
      <c r="AE181" s="2286"/>
      <c r="AF181" s="2286"/>
      <c r="AG181" s="2286"/>
      <c r="AH181" s="2286"/>
      <c r="AI181" s="2286"/>
      <c r="AJ181" s="2286"/>
      <c r="AK181" s="2286"/>
      <c r="AL181" s="2386"/>
      <c r="AM181" s="2386"/>
      <c r="AN181" s="2386"/>
      <c r="AO181" s="2386"/>
      <c r="AP181" s="2386"/>
      <c r="AQ181" s="2386"/>
      <c r="AR181" s="2386"/>
      <c r="AS181" s="5290"/>
      <c r="AT181" s="2286"/>
      <c r="AU181" s="2286"/>
      <c r="BA181" s="1156">
        <v>27</v>
      </c>
    </row>
    <row customHeight="1" ht="67.2">
      <c r="O182" s="538"/>
      <c r="P182" s="1304"/>
      <c r="T182" s="2286"/>
      <c r="U182" s="2286"/>
      <c r="V182" s="2286"/>
      <c r="W182" s="2286"/>
      <c r="X182" s="2286"/>
      <c r="Y182" s="2286"/>
      <c r="Z182" s="2286"/>
      <c r="AA182" s="2286"/>
      <c r="AB182" s="2286"/>
      <c r="AC182" s="2286"/>
      <c r="AD182" s="2286"/>
      <c r="AE182" s="2286"/>
      <c r="AF182" s="2286"/>
      <c r="AG182" s="2286"/>
      <c r="AH182" s="2286"/>
      <c r="AI182" s="2286"/>
      <c r="AJ182" s="2286"/>
      <c r="AK182" s="2286"/>
      <c r="AL182" s="2386"/>
      <c r="AM182" s="2386"/>
      <c r="AN182" s="2386"/>
      <c r="AO182" s="2386"/>
      <c r="AP182" s="2386"/>
      <c r="AQ182" s="2386"/>
      <c r="AR182" s="2386"/>
      <c r="AS182" s="5290"/>
      <c r="AT182" s="2286"/>
      <c r="AU182" s="2286"/>
      <c r="BA182" s="1156">
        <v>64</v>
      </c>
    </row>
    <row customHeight="1" ht="14.699999999999998">
      <c r="O183" s="538"/>
      <c r="AL183" s="1636"/>
      <c r="AM183" s="1636"/>
      <c r="AN183" s="1636"/>
      <c r="AO183" s="1636"/>
      <c r="AP183" s="1636"/>
      <c r="AQ183" s="1636"/>
      <c r="AR183" s="1636"/>
      <c r="AS183" s="5239"/>
      <c r="BA183" s="1156">
        <v>14</v>
      </c>
    </row>
    <row customHeight="1" ht="18.75">
      <c r="O184" s="538"/>
      <c r="P184" s="1329"/>
      <c r="S184" s="1254"/>
      <c r="T184" s="2286"/>
      <c r="U184" s="2286"/>
      <c r="V184" s="2286"/>
      <c r="W184" s="2286"/>
      <c r="X184" s="2286"/>
      <c r="Y184" s="2286"/>
      <c r="Z184" s="2286"/>
      <c r="AA184" s="2286"/>
      <c r="AB184" s="2286"/>
      <c r="AC184" s="2286"/>
      <c r="AD184" s="2286"/>
      <c r="AE184" s="2286"/>
      <c r="AF184" s="2286"/>
      <c r="AG184" s="2286"/>
      <c r="AH184" s="2286"/>
      <c r="AI184" s="2286"/>
      <c r="AJ184" s="2286"/>
      <c r="AK184" s="2286"/>
      <c r="AL184" s="2386"/>
      <c r="AM184" s="2386"/>
      <c r="AN184" s="2386"/>
      <c r="AO184" s="2386"/>
      <c r="AP184" s="2386"/>
      <c r="AQ184" s="2386"/>
      <c r="AR184" s="2386"/>
      <c r="AS184" s="5290"/>
      <c r="AT184" s="2286"/>
      <c r="AU184" s="2286"/>
      <c r="BA184" s="1156">
        <v>18</v>
      </c>
    </row>
    <row customHeight="1" ht="18.75">
      <c r="O185" s="538"/>
      <c r="P185" s="1329"/>
      <c r="T185" s="2286"/>
      <c r="U185" s="2286"/>
      <c r="V185" s="2286"/>
      <c r="W185" s="2286"/>
      <c r="X185" s="2286"/>
      <c r="Y185" s="2286"/>
      <c r="Z185" s="2286"/>
      <c r="AA185" s="2286"/>
      <c r="AB185" s="2286"/>
      <c r="AC185" s="2286"/>
      <c r="AD185" s="2286"/>
      <c r="AE185" s="2286"/>
      <c r="AF185" s="2286"/>
      <c r="AG185" s="2286"/>
      <c r="AH185" s="2286"/>
      <c r="AI185" s="2286"/>
      <c r="AJ185" s="2286"/>
      <c r="AK185" s="2286"/>
      <c r="AL185" s="2386"/>
      <c r="AM185" s="2386"/>
      <c r="AN185" s="2386"/>
      <c r="AO185" s="2386"/>
      <c r="AP185" s="2386"/>
      <c r="AQ185" s="2386"/>
      <c r="AR185" s="2386"/>
      <c r="AS185" s="5290"/>
      <c r="AT185" s="2286"/>
      <c r="AU185" s="2286"/>
      <c r="BA185" s="1156">
        <v>18</v>
      </c>
    </row>
    <row customHeight="1" ht="29.25">
      <c r="O186" s="538"/>
      <c r="P186" s="1329"/>
      <c r="S186" s="1254"/>
      <c r="T186" s="2286"/>
      <c r="U186" s="2286"/>
      <c r="V186" s="2286"/>
      <c r="W186" s="2286"/>
      <c r="X186" s="2286"/>
      <c r="Y186" s="2286"/>
      <c r="Z186" s="2286"/>
      <c r="AA186" s="2286"/>
      <c r="AB186" s="2286"/>
      <c r="AC186" s="2286"/>
      <c r="AD186" s="2286"/>
      <c r="AE186" s="2286"/>
      <c r="AF186" s="2286"/>
      <c r="AG186" s="2286"/>
      <c r="AH186" s="2286"/>
      <c r="AI186" s="2286"/>
      <c r="AJ186" s="2286"/>
      <c r="AK186" s="2286"/>
      <c r="AL186" s="2386"/>
      <c r="AM186" s="2386"/>
      <c r="AN186" s="2386"/>
      <c r="AO186" s="2386"/>
      <c r="AP186" s="2386"/>
      <c r="AQ186" s="2386"/>
      <c r="AR186" s="2386"/>
      <c r="AS186" s="5290"/>
      <c r="AT186" s="2286"/>
      <c r="AU186" s="2286"/>
      <c r="BA186" s="1156">
        <v>28</v>
      </c>
    </row>
    <row customHeight="1" ht="22.5" hidden="1">
      <c r="A187" s="1161" t="s">
        <v>86</v>
      </c>
      <c r="B187" s="1161">
        <v>0</v>
      </c>
      <c r="C187" s="1161">
        <v>0</v>
      </c>
      <c r="D187" s="1161">
        <v>0</v>
      </c>
      <c r="E187" s="1161">
        <v>0</v>
      </c>
      <c r="F187" s="1161">
        <v>0</v>
      </c>
      <c r="G187" s="1161">
        <v>0</v>
      </c>
      <c r="H187" s="1161">
        <v>0</v>
      </c>
      <c r="I187" s="1161">
        <v>0</v>
      </c>
      <c r="J187" s="1161">
        <v>0</v>
      </c>
      <c r="K187" s="1161">
        <v>0</v>
      </c>
      <c r="L187" s="1330">
        <v>0</v>
      </c>
      <c r="M187" s="1363">
        <v>0</v>
      </c>
      <c r="N187" s="1363">
        <v>0</v>
      </c>
      <c r="O187" s="1363">
        <v>0</v>
      </c>
      <c r="P187" s="1219">
        <v>3</v>
      </c>
      <c r="Q187" s="345">
        <v>3</v>
      </c>
      <c r="R187" s="345">
        <v>3</v>
      </c>
      <c r="S187" s="582">
        <v>12</v>
      </c>
      <c r="T187" s="1156">
        <v>35</v>
      </c>
      <c r="U187" s="1156">
        <v>0</v>
      </c>
      <c r="V187" s="1156">
        <v>0</v>
      </c>
      <c r="W187" s="1156">
        <v>0</v>
      </c>
      <c r="X187" s="1156">
        <v>0</v>
      </c>
      <c r="Y187" s="1156">
        <v>0</v>
      </c>
      <c r="Z187" s="1156">
        <v>0</v>
      </c>
      <c r="AA187" s="1156">
        <v>0</v>
      </c>
      <c r="AB187" s="1156">
        <v>0</v>
      </c>
      <c r="AC187" s="1156">
        <v>0</v>
      </c>
      <c r="AD187" s="1156">
        <v>24</v>
      </c>
      <c r="AE187" s="1156">
        <v>0</v>
      </c>
      <c r="AF187" s="1156">
        <v>24</v>
      </c>
      <c r="AG187" s="1156">
        <v>24</v>
      </c>
      <c r="AH187" s="1156">
        <v>11</v>
      </c>
      <c r="AI187" s="1156">
        <v>3</v>
      </c>
      <c r="AJ187" s="1156">
        <v>11</v>
      </c>
      <c r="AK187" s="1156">
        <v>0</v>
      </c>
      <c r="AL187" s="1636">
        <v>0</v>
      </c>
      <c r="AM187" s="1636">
        <v>0</v>
      </c>
      <c r="AN187" s="1636">
        <v>0</v>
      </c>
      <c r="AO187" s="1636">
        <v>0</v>
      </c>
      <c r="AP187" s="1636">
        <v>0</v>
      </c>
      <c r="AQ187" s="1636">
        <v>0</v>
      </c>
      <c r="AR187" s="1636">
        <v>0</v>
      </c>
      <c r="AS187" s="5239">
        <v>0</v>
      </c>
      <c r="AT187" s="1156">
        <v>4</v>
      </c>
      <c r="AU187" s="1156">
        <v>115</v>
      </c>
      <c r="AV187" s="512">
        <v>10</v>
      </c>
      <c r="AW187" s="512">
        <v>10</v>
      </c>
      <c r="AX187" s="512">
        <v>10</v>
      </c>
      <c r="AY187" s="512">
        <v>10</v>
      </c>
      <c r="AZ187" s="512">
        <v>10</v>
      </c>
      <c r="BA187" s="1156">
        <v>23</v>
      </c>
    </row>
  </sheetData>
  <sheetProtection formatColumns="0" formatRows="0" autoFilter="0" sort="0" insertRows="0" insertColumns="1" deleteRows="0" deleteColumns="0"/>
  <mergeCells count="435">
    <mergeCell ref="V7:AC7"/>
    <mergeCell ref="AD7:AT7"/>
    <mergeCell ref="S34:T34"/>
    <mergeCell ref="V34:AB34"/>
    <mergeCell ref="AD34:AJ34"/>
    <mergeCell ref="S35:T35"/>
    <mergeCell ref="V35:AB35"/>
    <mergeCell ref="AD35:AJ35"/>
    <mergeCell ref="V2:AC2"/>
    <mergeCell ref="AD2:AT2"/>
    <mergeCell ref="V3:AC3"/>
    <mergeCell ref="AD3:AT3"/>
    <mergeCell ref="V4:AC4"/>
    <mergeCell ref="AD4:AT4"/>
    <mergeCell ref="V5:AC5"/>
    <mergeCell ref="AD5:AT5"/>
    <mergeCell ref="V6:AC6"/>
    <mergeCell ref="AD6:AT6"/>
    <mergeCell ref="AI17:AI18"/>
    <mergeCell ref="AJ17:AJ18"/>
    <mergeCell ref="AK17:AK18"/>
    <mergeCell ref="AK8:AK9"/>
    <mergeCell ref="AD29:AJ29"/>
    <mergeCell ref="AD30:AJ30"/>
    <mergeCell ref="T184:AU184"/>
    <mergeCell ref="T185:AU185"/>
    <mergeCell ref="T186:AU186"/>
    <mergeCell ref="E2:E15"/>
    <mergeCell ref="F3:F14"/>
    <mergeCell ref="G4:G13"/>
    <mergeCell ref="H5:H12"/>
    <mergeCell ref="I6:I11"/>
    <mergeCell ref="J7:J10"/>
    <mergeCell ref="I47:I52"/>
    <mergeCell ref="J48:J51"/>
    <mergeCell ref="K49:K50"/>
    <mergeCell ref="P47:P52"/>
    <mergeCell ref="Q48:Q51"/>
    <mergeCell ref="AH49:AH50"/>
    <mergeCell ref="AI49:AI50"/>
    <mergeCell ref="AJ49:AJ50"/>
    <mergeCell ref="AK49:AK50"/>
    <mergeCell ref="T181:AU181"/>
    <mergeCell ref="W40:W41"/>
    <mergeCell ref="T182:AU182"/>
    <mergeCell ref="Z49:Z50"/>
    <mergeCell ref="AA49:AA50"/>
    <mergeCell ref="AB49:AB50"/>
    <mergeCell ref="Z40:AB40"/>
    <mergeCell ref="AA41:AB41"/>
    <mergeCell ref="AA42:AB42"/>
    <mergeCell ref="V37:AC37"/>
    <mergeCell ref="S38:AT38"/>
    <mergeCell ref="AU38:AU41"/>
    <mergeCell ref="S39:S41"/>
    <mergeCell ref="T39:T41"/>
    <mergeCell ref="V39:AB39"/>
    <mergeCell ref="AC39:AC41"/>
    <mergeCell ref="AT39:AT41"/>
    <mergeCell ref="AI42:AJ42"/>
    <mergeCell ref="AD39:AJ39"/>
    <mergeCell ref="AK39:AK41"/>
    <mergeCell ref="AD40:AD41"/>
    <mergeCell ref="AE40:AE41"/>
    <mergeCell ref="AF40:AG40"/>
    <mergeCell ref="AH40:AJ40"/>
    <mergeCell ref="AI41:AJ41"/>
    <mergeCell ref="AC49:AC50"/>
    <mergeCell ref="AU49:AU51"/>
    <mergeCell ref="AU8:AU10"/>
    <mergeCell ref="K8:K9"/>
    <mergeCell ref="P6:P11"/>
    <mergeCell ref="E43:E68"/>
    <mergeCell ref="F44:F55"/>
    <mergeCell ref="G45:G54"/>
    <mergeCell ref="H46:H53"/>
    <mergeCell ref="V40:V41"/>
    <mergeCell ref="X40:Y40"/>
    <mergeCell ref="V29:AB29"/>
    <mergeCell ref="V30:AB30"/>
    <mergeCell ref="V31:AB31"/>
    <mergeCell ref="V32:AB32"/>
    <mergeCell ref="Q7:Q10"/>
    <mergeCell ref="AH8:AH9"/>
    <mergeCell ref="AI8:AI9"/>
    <mergeCell ref="AJ8:AJ9"/>
    <mergeCell ref="Z8:Z9"/>
    <mergeCell ref="AA8:AA9"/>
    <mergeCell ref="AB8:AB9"/>
    <mergeCell ref="AC8:AC9"/>
    <mergeCell ref="AH17:AH18"/>
    <mergeCell ref="S26:AJ26"/>
    <mergeCell ref="S27:AJ27"/>
    <mergeCell ref="S29:T29"/>
    <mergeCell ref="S30:T30"/>
    <mergeCell ref="S31:T31"/>
    <mergeCell ref="S32:T32"/>
    <mergeCell ref="AD31:AJ31"/>
    <mergeCell ref="AD32:AJ32"/>
    <mergeCell ref="AD37:AK37"/>
    <mergeCell ref="V43:AC43"/>
    <mergeCell ref="V44:AC44"/>
    <mergeCell ref="V45:AC45"/>
    <mergeCell ref="V46:AC46"/>
    <mergeCell ref="V47:AC47"/>
    <mergeCell ref="V48:AC48"/>
    <mergeCell ref="AD43:AT43"/>
    <mergeCell ref="AD44:AT44"/>
    <mergeCell ref="AD45:AT45"/>
    <mergeCell ref="AD46:AT46"/>
    <mergeCell ref="AD47:AT47"/>
    <mergeCell ref="AD48:AT48"/>
    <mergeCell ref="V74:AC74"/>
    <mergeCell ref="AD74:AT74"/>
    <mergeCell ref="V69:AC69"/>
    <mergeCell ref="AD69:AT69"/>
    <mergeCell ref="V70:AC70"/>
    <mergeCell ref="AD70:AT70"/>
    <mergeCell ref="V71:AC71"/>
    <mergeCell ref="AD71:AT71"/>
    <mergeCell ref="V72:AC72"/>
    <mergeCell ref="AD72:AT72"/>
    <mergeCell ref="V73:AC73"/>
    <mergeCell ref="AD73:AT73"/>
    <mergeCell ref="AK75:AK76"/>
    <mergeCell ref="E69:E94"/>
    <mergeCell ref="F70:F81"/>
    <mergeCell ref="G71:G80"/>
    <mergeCell ref="H72:H79"/>
    <mergeCell ref="I73:I78"/>
    <mergeCell ref="J74:J77"/>
    <mergeCell ref="AU75:AU77"/>
    <mergeCell ref="K75:K76"/>
    <mergeCell ref="P73:P78"/>
    <mergeCell ref="Q74:Q77"/>
    <mergeCell ref="AH75:AH76"/>
    <mergeCell ref="AI75:AI76"/>
    <mergeCell ref="AJ75:AJ76"/>
    <mergeCell ref="Z75:Z76"/>
    <mergeCell ref="AA75:AA76"/>
    <mergeCell ref="AB75:AB76"/>
    <mergeCell ref="AC75:AC76"/>
    <mergeCell ref="V60:AC60"/>
    <mergeCell ref="AD60:AT60"/>
    <mergeCell ref="V56:AC56"/>
    <mergeCell ref="AD56:AT56"/>
    <mergeCell ref="V57:AC57"/>
    <mergeCell ref="AD57:AT57"/>
    <mergeCell ref="V58:AC58"/>
    <mergeCell ref="AD58:AT58"/>
    <mergeCell ref="V59:AC59"/>
    <mergeCell ref="AD59:AT59"/>
    <mergeCell ref="AK61:AK62"/>
    <mergeCell ref="F56:F67"/>
    <mergeCell ref="G57:G66"/>
    <mergeCell ref="H58:H65"/>
    <mergeCell ref="I59:I64"/>
    <mergeCell ref="J60:J63"/>
    <mergeCell ref="AU61:AU63"/>
    <mergeCell ref="K61:K62"/>
    <mergeCell ref="P59:P64"/>
    <mergeCell ref="Q60:Q63"/>
    <mergeCell ref="AH61:AH62"/>
    <mergeCell ref="AI61:AI62"/>
    <mergeCell ref="AJ61:AJ62"/>
    <mergeCell ref="Z61:Z62"/>
    <mergeCell ref="AA61:AA62"/>
    <mergeCell ref="AB61:AB62"/>
    <mergeCell ref="AC61:AC62"/>
    <mergeCell ref="V86:AC86"/>
    <mergeCell ref="AD86:AT86"/>
    <mergeCell ref="V82:AC82"/>
    <mergeCell ref="AD82:AT82"/>
    <mergeCell ref="V83:AC83"/>
    <mergeCell ref="AD83:AT83"/>
    <mergeCell ref="V84:AC84"/>
    <mergeCell ref="AD84:AT84"/>
    <mergeCell ref="V85:AC85"/>
    <mergeCell ref="AD85:AT85"/>
    <mergeCell ref="AK87:AK88"/>
    <mergeCell ref="F82:F93"/>
    <mergeCell ref="G83:G92"/>
    <mergeCell ref="H84:H91"/>
    <mergeCell ref="I85:I90"/>
    <mergeCell ref="J86:J89"/>
    <mergeCell ref="AU87:AU89"/>
    <mergeCell ref="K87:K88"/>
    <mergeCell ref="P85:P90"/>
    <mergeCell ref="Q86:Q89"/>
    <mergeCell ref="AH87:AH88"/>
    <mergeCell ref="AI87:AI88"/>
    <mergeCell ref="AJ87:AJ88"/>
    <mergeCell ref="Z87:Z88"/>
    <mergeCell ref="AA87:AA88"/>
    <mergeCell ref="AB87:AB88"/>
    <mergeCell ref="AC87:AC88"/>
    <mergeCell ref="V100:AC100"/>
    <mergeCell ref="AD100:AT100"/>
    <mergeCell ref="V95:AC95"/>
    <mergeCell ref="AD95:AT95"/>
    <mergeCell ref="V96:AC96"/>
    <mergeCell ref="AD96:AT96"/>
    <mergeCell ref="V97:AC97"/>
    <mergeCell ref="AD97:AT97"/>
    <mergeCell ref="V98:AC98"/>
    <mergeCell ref="AD98:AT98"/>
    <mergeCell ref="V99:AC99"/>
    <mergeCell ref="AD99:AT99"/>
    <mergeCell ref="AK101:AK102"/>
    <mergeCell ref="E95:E108"/>
    <mergeCell ref="F96:F107"/>
    <mergeCell ref="G97:G106"/>
    <mergeCell ref="H98:H105"/>
    <mergeCell ref="I99:I104"/>
    <mergeCell ref="J100:J103"/>
    <mergeCell ref="AU101:AU103"/>
    <mergeCell ref="K101:K102"/>
    <mergeCell ref="P99:P104"/>
    <mergeCell ref="Q100:Q103"/>
    <mergeCell ref="AH101:AH102"/>
    <mergeCell ref="AI101:AI102"/>
    <mergeCell ref="AJ101:AJ102"/>
    <mergeCell ref="Z101:Z102"/>
    <mergeCell ref="AA101:AA102"/>
    <mergeCell ref="AB101:AB102"/>
    <mergeCell ref="AC101:AC102"/>
    <mergeCell ref="V114:AC114"/>
    <mergeCell ref="AD114:AT114"/>
    <mergeCell ref="V109:AC109"/>
    <mergeCell ref="AD109:AT109"/>
    <mergeCell ref="V110:AC110"/>
    <mergeCell ref="AD110:AT110"/>
    <mergeCell ref="V111:AC111"/>
    <mergeCell ref="AD111:AT111"/>
    <mergeCell ref="V112:AC112"/>
    <mergeCell ref="AD112:AT112"/>
    <mergeCell ref="V113:AC113"/>
    <mergeCell ref="AD113:AT113"/>
    <mergeCell ref="AK115:AK116"/>
    <mergeCell ref="E109:E122"/>
    <mergeCell ref="F110:F121"/>
    <mergeCell ref="G111:G120"/>
    <mergeCell ref="H112:H119"/>
    <mergeCell ref="I113:I118"/>
    <mergeCell ref="J114:J117"/>
    <mergeCell ref="AU115:AU117"/>
    <mergeCell ref="K115:K116"/>
    <mergeCell ref="P113:P118"/>
    <mergeCell ref="Q114:Q117"/>
    <mergeCell ref="AH115:AH116"/>
    <mergeCell ref="AI115:AI116"/>
    <mergeCell ref="AJ115:AJ116"/>
    <mergeCell ref="Z115:Z116"/>
    <mergeCell ref="AA115:AA116"/>
    <mergeCell ref="AB115:AB116"/>
    <mergeCell ref="AC115:AC116"/>
    <mergeCell ref="V128:AC128"/>
    <mergeCell ref="AD128:AT128"/>
    <mergeCell ref="V123:AC123"/>
    <mergeCell ref="AD123:AT123"/>
    <mergeCell ref="V124:AC124"/>
    <mergeCell ref="AD124:AT124"/>
    <mergeCell ref="V125:AC125"/>
    <mergeCell ref="AD125:AT125"/>
    <mergeCell ref="V126:AC126"/>
    <mergeCell ref="AD126:AT126"/>
    <mergeCell ref="V127:AC127"/>
    <mergeCell ref="AD127:AT127"/>
    <mergeCell ref="AK129:AK130"/>
    <mergeCell ref="E123:E136"/>
    <mergeCell ref="F124:F135"/>
    <mergeCell ref="G125:G134"/>
    <mergeCell ref="H126:H133"/>
    <mergeCell ref="I127:I132"/>
    <mergeCell ref="J128:J131"/>
    <mergeCell ref="AU129:AU131"/>
    <mergeCell ref="K129:K130"/>
    <mergeCell ref="P127:P132"/>
    <mergeCell ref="Q128:Q131"/>
    <mergeCell ref="AH129:AH130"/>
    <mergeCell ref="AI129:AI130"/>
    <mergeCell ref="AJ129:AJ130"/>
    <mergeCell ref="Z129:Z130"/>
    <mergeCell ref="AA129:AA130"/>
    <mergeCell ref="AB129:AB130"/>
    <mergeCell ref="AC129:AC130"/>
    <mergeCell ref="V142:AC142"/>
    <mergeCell ref="AD142:AT142"/>
    <mergeCell ref="V137:AC137"/>
    <mergeCell ref="AD137:AT137"/>
    <mergeCell ref="V138:AC138"/>
    <mergeCell ref="AD138:AT138"/>
    <mergeCell ref="V139:AC139"/>
    <mergeCell ref="AD139:AT139"/>
    <mergeCell ref="V140:AC140"/>
    <mergeCell ref="AD140:AT140"/>
    <mergeCell ref="V141:AC141"/>
    <mergeCell ref="AD141:AT141"/>
    <mergeCell ref="AK143:AK144"/>
    <mergeCell ref="E137:E150"/>
    <mergeCell ref="F138:F149"/>
    <mergeCell ref="G139:G148"/>
    <mergeCell ref="H140:H147"/>
    <mergeCell ref="I141:I146"/>
    <mergeCell ref="J142:J145"/>
    <mergeCell ref="AU143:AU145"/>
    <mergeCell ref="K143:K144"/>
    <mergeCell ref="P141:P146"/>
    <mergeCell ref="Q142:Q145"/>
    <mergeCell ref="AH143:AH144"/>
    <mergeCell ref="AI143:AI144"/>
    <mergeCell ref="AJ143:AJ144"/>
    <mergeCell ref="Z143:Z144"/>
    <mergeCell ref="AA143:AA144"/>
    <mergeCell ref="AB143:AB144"/>
    <mergeCell ref="AC143:AC144"/>
    <mergeCell ref="V156:AC156"/>
    <mergeCell ref="AD156:AT156"/>
    <mergeCell ref="V151:AC151"/>
    <mergeCell ref="AD151:AT151"/>
    <mergeCell ref="V152:AC152"/>
    <mergeCell ref="AD152:AT152"/>
    <mergeCell ref="V153:AC153"/>
    <mergeCell ref="AD153:AT153"/>
    <mergeCell ref="V154:AC154"/>
    <mergeCell ref="AD154:AT154"/>
    <mergeCell ref="V155:AC155"/>
    <mergeCell ref="AD155:AT155"/>
    <mergeCell ref="AK157:AK158"/>
    <mergeCell ref="E151:E164"/>
    <mergeCell ref="F152:F163"/>
    <mergeCell ref="G153:G162"/>
    <mergeCell ref="H154:H161"/>
    <mergeCell ref="I155:I160"/>
    <mergeCell ref="J156:J159"/>
    <mergeCell ref="AU157:AU159"/>
    <mergeCell ref="K157:K158"/>
    <mergeCell ref="P155:P160"/>
    <mergeCell ref="Q156:Q159"/>
    <mergeCell ref="AH157:AH158"/>
    <mergeCell ref="AI157:AI158"/>
    <mergeCell ref="AJ157:AJ158"/>
    <mergeCell ref="Z157:Z158"/>
    <mergeCell ref="AA157:AA158"/>
    <mergeCell ref="AB157:AB158"/>
    <mergeCell ref="AC157:AC158"/>
    <mergeCell ref="V170:AC170"/>
    <mergeCell ref="AD170:AT170"/>
    <mergeCell ref="V165:AC165"/>
    <mergeCell ref="AD165:AT165"/>
    <mergeCell ref="V166:AC166"/>
    <mergeCell ref="AD166:AT166"/>
    <mergeCell ref="V167:AC167"/>
    <mergeCell ref="AD167:AT167"/>
    <mergeCell ref="V168:AC168"/>
    <mergeCell ref="AD168:AT168"/>
    <mergeCell ref="V169:AC169"/>
    <mergeCell ref="AD169:AT169"/>
    <mergeCell ref="AK171:AK172"/>
    <mergeCell ref="E165:E178"/>
    <mergeCell ref="F166:F177"/>
    <mergeCell ref="G167:G176"/>
    <mergeCell ref="H168:H175"/>
    <mergeCell ref="I169:I174"/>
    <mergeCell ref="J170:J173"/>
    <mergeCell ref="AU171:AU173"/>
    <mergeCell ref="K171:K172"/>
    <mergeCell ref="P169:P174"/>
    <mergeCell ref="Q170:Q173"/>
    <mergeCell ref="AH171:AH172"/>
    <mergeCell ref="AI171:AI172"/>
    <mergeCell ref="AJ171:AJ172"/>
    <mergeCell ref="Z171:Z172"/>
    <mergeCell ref="AA171:AA172"/>
    <mergeCell ref="AB171:AB172"/>
    <mergeCell ref="AC171:AC172"/>
    <mergeCell ref="AP8:AP9"/>
    <mergeCell ref="AQ8:AQ9"/>
    <mergeCell ref="AR8:AR9"/>
    <mergeCell ref="AS8:AS9"/>
    <mergeCell ref="AL29:AR29"/>
    <mergeCell ref="AL30:AR30"/>
    <mergeCell ref="AL31:AR31"/>
    <mergeCell ref="AL32:AR32"/>
    <mergeCell ref="AL34:AR34"/>
    <mergeCell ref="AL35:AR35"/>
    <mergeCell ref="AL37:AS37"/>
    <mergeCell ref="AL39:AR39"/>
    <mergeCell ref="AS39:AS41"/>
    <mergeCell ref="AL40:AL41"/>
    <mergeCell ref="AM40:AM41"/>
    <mergeCell ref="AN40:AO40"/>
    <mergeCell ref="AP40:AR40"/>
    <mergeCell ref="AQ41:AR41"/>
    <mergeCell ref="AQ42:AR42"/>
    <mergeCell ref="AP49:AP50"/>
    <mergeCell ref="AQ49:AQ50"/>
    <mergeCell ref="AR49:AR50"/>
    <mergeCell ref="AS49:AS50"/>
    <mergeCell ref="AP61:AP62"/>
    <mergeCell ref="AQ61:AQ62"/>
    <mergeCell ref="AR61:AR62"/>
    <mergeCell ref="AS61:AS62"/>
    <mergeCell ref="AP75:AP76"/>
    <mergeCell ref="AQ75:AQ76"/>
    <mergeCell ref="AR75:AR76"/>
    <mergeCell ref="AS75:AS76"/>
    <mergeCell ref="AP87:AP88"/>
    <mergeCell ref="AQ87:AQ88"/>
    <mergeCell ref="AR87:AR88"/>
    <mergeCell ref="AS87:AS88"/>
    <mergeCell ref="AP101:AP102"/>
    <mergeCell ref="AQ101:AQ102"/>
    <mergeCell ref="AR101:AR102"/>
    <mergeCell ref="AS101:AS102"/>
    <mergeCell ref="AP115:AP116"/>
    <mergeCell ref="AQ115:AQ116"/>
    <mergeCell ref="AR115:AR116"/>
    <mergeCell ref="AS115:AS116"/>
    <mergeCell ref="AP129:AP130"/>
    <mergeCell ref="AQ129:AQ130"/>
    <mergeCell ref="AR129:AR130"/>
    <mergeCell ref="AS129:AS130"/>
    <mergeCell ref="AP143:AP144"/>
    <mergeCell ref="AQ143:AQ144"/>
    <mergeCell ref="AR143:AR144"/>
    <mergeCell ref="AS143:AS144"/>
    <mergeCell ref="AP157:AP158"/>
    <mergeCell ref="AQ157:AQ158"/>
    <mergeCell ref="AR157:AR158"/>
    <mergeCell ref="AS157:AS158"/>
    <mergeCell ref="AP171:AP172"/>
    <mergeCell ref="AQ171:AQ172"/>
    <mergeCell ref="AR171:AR172"/>
    <mergeCell ref="AS171:AS172"/>
  </mergeCells>
  <dataValidations count="8">
    <dataValidation allowBlank="1" sqref="S131245:AU131251 S196781:AU196787 S262317:AU262323 S327853:AU327859 S393389:AU393395 S458925:AU458931 S524461:AU524467 S589997:AU590003 S655533:AU655539 S721069:AU721075 S786605:AU786611 S852141:AU852147 S917677:AU917683 S983213:AU983219 S65709:AU65715"/>
    <dataValidation type="list" allowBlank="1" showInputMessage="1" errorTitle="Ошибка" error="Выберите значение из списка" prompt="Выберите значение из списка" sqref="V983210:AT983210 V65706:AT65706 V131242:AT131242 V196778:AT196778 V262314:AT262314 V327850:AT327850 V393386:AT393386 V458922:AT458922 V524458:AT524458 V589994:AT589994 V655530:AT655530 V721066:AT721066 V786602:AT786602 V852138:AT852138 V917674:AT917674">
      <formula1>kind_of_cons</formula1>
    </dataValidation>
    <dataValidation allowBlank="1" promptTitle="checkPeriodRange" sqref="Y65708 Y131244 Y196780 Y262316 Y327852 Y393388 Y458924 Y524460 Y589996 Y655532 Y721068 Y786604 Y852140 Y917676 Y983212 Y9 AG65708 AG131244 AG196780 AG262316 AG327852 AG393388 AG458924 AG524460 AG589996 AG655532 AG721068 AG786604 AG852140 AG917676 AG983212 AG9 Y50 AG18 AG50 Y76 AG76 Y62 AG62 Y88 AG88 Y102 AG102 Y116 AG116 Y130 AG130 Y144 AG144 Y158 AG158 Y172 AG172 AO9 AO50 AO62 AO76 AO88 AO102 AO116 AO130 AO144 AO158 AO172"/>
    <dataValidation type="list" allowBlank="1" showInputMessage="1" showErrorMessage="1" errorTitle="Ошибка" error="Выберите значение из списка" sqref="V983209:W983209 V65705:W65705 V131241:W131241 V196777:W196777 V262313:W262313 V327849:W327849 V393385:W393385 V458921:W458921 V524457:W524457 V589993:W589993 V655529:W655529 V721065:W721065 V786601:W786601 V852137:W852137 V917673:W917673 AD983209:AE983209 AD65705:AE65705 AD131241:AE131241 AD196777:AE196777 AD262313:AE262313 AD327849:AE327849 AD393385:AE393385 AD458921:AE458921 AD524457:AE524457 AD589993:AE589993 AD655529:AE655529 AD721065:AE721065 AD786601:AE786601 AD852137:AE852137 AD917673:AE917673">
      <formula1>kind_of_scheme_in</formula1>
    </dataValidation>
    <dataValidation type="textLength" operator="lessThanOrEqual" allowBlank="1" showInputMessage="1" showErrorMessage="1" errorTitle="Ошибка" error="Допускается ввод не более 900 символов!" sqref="AU65701:AU65708 AU131237:AU131244 AU196773:AU196780 AU262309:AU262316 AU327845:AU327852 AU393381:AU393388 AU458917:AU458924 AU524453:AU524460 AU589989:AU589996 AU655525:AU655532 AU721061:AU721068 AU786597:AU786604 AU852133:AU852140 AU917669:AU917676 AU983205:AU983212">
      <formula1>900</formula1>
    </dataValidation>
    <dataValidation type="list" allowBlank="1" showInputMessage="1" showErrorMessage="1" errorTitle="Ошибка" error="Выберите значение из списка" sqref="T65707 T131243 T196779 T262315 T327851 T393387 T458923 T524459 T589995 T655531 T721067 T786603 T852139 T917675 T983211">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707 Z131243 Z196779 Z262315 Z327851 Z393387 Z458923 Z524459 Z589995 Z655531 Z721067 Z786603 Z852139 Z917675 Z983211 AB65707 AB131243 AB196779 AB262315 AB327851 AB393387 AB458923 AB524459 AB589995 AB655531 AB721067 AB786603 AB852139 AB917675 AB983211 Z8 AH65707 AH131243 AH196779 AH262315 AH327851 AH393387 AH458923 AH524459 AH589995 AH655531 AH721067 AH786603 AH852139 AH917675 AH983211 AJ65707 AJ131243 AJ196779 AJ262315 AJ327851 AJ393387 AJ458923 AJ524459 AJ589995 AJ655531 AJ721067 AJ786603 AJ852139 AJ917675 AJ983211 AJ49 AH49 AH8 AJ8 AB8 AH17 AJ17 Z49 AB49 Z75 AB75 AH75 AJ75 Z61 AB61 AH61 AJ61 Z87 AB87 AH87 AJ87 Z101 AB101 AH101 AJ101 Z115 AB115 AH115 AJ115 Z129 AB129 AH129 AJ129 Z143 AB143 AH143 AJ143 Z157 AB157 AH157 AJ157 Z171 AB171 AH171 AJ171 AP8 AR8 AP49 AR49 AP61 AR61 AP75 AR75 AP87 AR87 AP101 AR101 AP115 AR115 AP129 AR129 AP143 AR143 AP157 AR157 AP171 AR171"/>
    <dataValidation allowBlank="1" showInputMessage="1" showErrorMessage="1" prompt="Для выбора выполните двойной щелчок левой клавиши мыши по соответствующей ячейке." sqref="AA65707 AA131243 AA196779 AA262315 AA327851 AA393387 AA458923 AA524459 AA589995 AA655531 AA721067 AA786603 AA852139 AA917675 AA983211 AC131243 AC458923 AC196779 AC262315 AC327851 AC393387 AC524459 AC589995 AC655531 AC721067 AC786603 AC852139 AC917675 AC983211 AC65707 AI65707 AI131243 AI196779 AI262315 AI327851 AI393387 AI458923 AI524459 AI589995 AI655531 AI721067 AI786603 AI852139 AI917675 AI983211 AK327851:AS327851 AK393387:AS393387 AK49 AQ49 AS49 AK524459:AS524459 AK8 AQ8 AS8 AK589995:AS589995 AK655531:AS655531 AK17 AK721067:AS721067 AK786603:AS786603 AK852139:AS852139 AK917675:AS917675 AK983211:AS983211 AK65707:AS65707 AK131243:AS131243 AI49 AK458923:AS458923 AI8 AC8 AA8 AI17 AK196779:AS196779 AA49 AC49 AK262315:AS262315 AA75 AC75 AI75 AK75 AQ75 AS75 AA61 AC61 AI61 AK61 AQ61 AS61 AA87 AC87 AI87 AK87 AQ87 AS87 AA101 AC101 AI101 AK101 AQ101 AS101 AA115 AC115 AI115 AK115 AQ115 AS115 AA129 AC129 AI129 AK129 AQ129 AS129 AA143 AC143 AI143 AK143 AQ143 AS143 AA157 AC157 AI157 AK157 AQ157 AS157 AA171 AC171 AI171 AK171 AQ171 AS171"/>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146A818-C088-C58E-49C8-FD507A2CAEE4}" mc:Ignorable="x14ac xr xr2 xr3">
  <sheetPr>
    <tabColor theme="6" tint="0.4"/>
  </sheetPr>
  <dimension ref="A1:BA119"/>
  <sheetViews>
    <sheetView showGridLines="0" zoomScale="90" workbookViewId="0">
      <pane xSplit="29" ySplit="42" topLeftCell="AD43" activePane="bottomRight" state="frozen"/>
      <selection pane="bottomLeft" activeCell="A43" sqref="A43"/>
      <selection pane="topRight" activeCell="AD1" sqref="AD1"/>
      <selection pane="bottomRight" activeCell="AD75" sqref="AD75:AT75"/>
    </sheetView>
  </sheetViews>
  <sheetFormatPr defaultColWidth="10.57421875" customHeight="1" defaultRowHeight="14.25"/>
  <cols>
    <col min="1" max="1" style="1367" width="10.57421875" hidden="1"/>
    <col min="2" max="2" style="1367" width="11.00390625" hidden="1" customWidth="1"/>
    <col min="3" max="3" style="1367" width="10.57421875" hidden="1"/>
    <col min="4" max="4" style="1367" width="11.8515625" hidden="1" customWidth="1"/>
    <col min="5" max="5" style="1367" width="10.00390625" hidden="1" customWidth="1"/>
    <col min="6" max="6" style="1367" width="8.7109375" hidden="1" customWidth="1"/>
    <col min="7" max="7" style="1367" width="7.57421875" hidden="1" customWidth="1"/>
    <col min="8" max="8" style="1367" width="11.421875" hidden="1" customWidth="1"/>
    <col min="9" max="9" style="1367" width="12.00390625" hidden="1" customWidth="1"/>
    <col min="10" max="10" style="1367" width="9.8515625" hidden="1" customWidth="1"/>
    <col min="11" max="11" style="1367" width="11.421875" hidden="1" customWidth="1"/>
    <col min="12" max="12" style="2608" width="19.140625" hidden="1" customWidth="1"/>
    <col min="13" max="14" style="1777" width="12.28125" hidden="1" customWidth="1"/>
    <col min="15" max="15" style="1777" width="23.421875" hidden="1" customWidth="1"/>
    <col min="16" max="16" style="2398" width="3.00390625" customWidth="1"/>
    <col min="17" max="18" style="345" width="3.00390625" customWidth="1"/>
    <col min="19" max="19" style="2408" width="12.00390625" customWidth="1"/>
    <col min="20" max="20" style="1636" width="31.00390625" customWidth="1"/>
    <col min="21" max="21" style="1636" width="0.140625" customWidth="1"/>
    <col min="22" max="22" style="1636" width="24.7109375" hidden="1" customWidth="1"/>
    <col min="23" max="23" style="1636" width="0.140625" hidden="1" customWidth="1"/>
    <col min="24" max="25" style="1636" width="24.7109375" hidden="1" customWidth="1"/>
    <col min="26" max="26" style="1636" width="11.7109375" hidden="1" customWidth="1"/>
    <col min="27" max="27" style="1636" width="3.7109375" hidden="1" customWidth="1"/>
    <col min="28" max="28" style="1636" width="11.7109375" hidden="1" customWidth="1"/>
    <col min="29" max="29" style="1636" width="8.57421875" hidden="1" customWidth="1"/>
    <col min="30" max="30" style="1636" width="24.7109375" customWidth="1"/>
    <col min="31" max="31" style="1636" width="0.140625" customWidth="1"/>
    <col min="32" max="33" style="1636" width="24.00390625" customWidth="1"/>
    <col min="34" max="34" style="1636" width="11.00390625" customWidth="1"/>
    <col min="35" max="35" style="1636" width="3.7109375" customWidth="1"/>
    <col min="36" max="36" style="1636" width="11.00390625" customWidth="1"/>
    <col min="37" max="37" style="1636" width="8.57421875" customWidth="1"/>
    <col min="45" max="45" style="65" width="10.57421875" hidden="1"/>
    <col min="46" max="46" style="1636" width="4.00390625" customWidth="1"/>
    <col min="47" max="47" style="1636" width="115.00390625" customWidth="1"/>
    <col min="48" max="52" style="1643" width="10.00390625" customWidth="1"/>
    <col min="53" max="53" style="1636" width="10.57421875" hidden="1"/>
  </cols>
  <sheetData>
    <row customHeight="1" ht="22.5" hidden="1">
      <c r="Y1" s="328"/>
      <c r="Z1" s="328"/>
      <c r="AG1" s="328"/>
      <c r="AH1" s="328"/>
      <c r="AL1" s="1636"/>
      <c r="AM1" s="1636"/>
      <c r="AN1" s="1636"/>
      <c r="AO1" s="1636"/>
      <c r="AP1" s="1636"/>
      <c r="AQ1" s="1636"/>
      <c r="AR1" s="1636"/>
      <c r="AS1" s="5239"/>
      <c r="BA1" s="1156" t="s">
        <v>14</v>
      </c>
    </row>
    <row customHeight="1" ht="21" hidden="1">
      <c r="A2" s="1364"/>
      <c r="B2" s="1364"/>
      <c r="C2" s="1364"/>
      <c r="D2" s="1364"/>
      <c r="E2" s="2259">
        <v>1</v>
      </c>
      <c r="F2" s="1364"/>
      <c r="G2" s="1364"/>
      <c r="H2" s="1364"/>
      <c r="I2" s="1364"/>
      <c r="J2" s="1364"/>
      <c r="K2" s="1364"/>
      <c r="L2" s="1365"/>
      <c r="M2" s="1366"/>
      <c r="N2" s="1366"/>
      <c r="O2" s="1366"/>
      <c r="P2" s="362"/>
      <c r="Q2" s="361"/>
      <c r="R2" s="356"/>
      <c r="S2" s="1337">
        <f>INDEX(PT_DIFFERENTIATION_NUM_NTAR,MATCH(A2,PT_DIFFERENTIATION_NTAR_ID,0))</f>
      </c>
      <c r="T2" s="299" t="s">
        <v>136</v>
      </c>
      <c r="U2" s="301"/>
      <c r="V2" s="2243"/>
      <c r="W2" s="2244"/>
      <c r="X2" s="2244"/>
      <c r="Y2" s="2244"/>
      <c r="Z2" s="2244"/>
      <c r="AA2" s="2244"/>
      <c r="AB2" s="2244"/>
      <c r="AC2" s="2245"/>
      <c r="AD2" s="2243">
        <f>INDEX(PT_DIFFERENTIATION_NTAR,MATCH(A2,PT_DIFFERENTIATION_NTAR_ID,0))</f>
      </c>
      <c r="AE2" s="2244"/>
      <c r="AF2" s="2244"/>
      <c r="AG2" s="2244"/>
      <c r="AH2" s="2244"/>
      <c r="AI2" s="2244"/>
      <c r="AJ2" s="2244"/>
      <c r="AK2" s="2244"/>
      <c r="AL2" s="2243"/>
      <c r="AM2" s="2244"/>
      <c r="AN2" s="2244"/>
      <c r="AO2" s="2244"/>
      <c r="AP2" s="2244"/>
      <c r="AQ2" s="2244"/>
      <c r="AR2" s="2244"/>
      <c r="AS2" s="5240"/>
      <c r="AT2" s="2245"/>
      <c r="AU2" s="1259" t="s">
        <v>526</v>
      </c>
      <c r="AW2" s="501"/>
      <c r="AX2" s="501" t="str">
        <f>IF(T2="","",T2)</f>
        <v>Наименование тарифа</v>
      </c>
      <c r="AY2" s="501"/>
      <c r="AZ2" s="501"/>
      <c r="BA2" s="1156">
        <v>0</v>
      </c>
    </row>
    <row customHeight="1" ht="21" hidden="1">
      <c r="A3" s="1364"/>
      <c r="B3" s="1364"/>
      <c r="C3" s="1364"/>
      <c r="D3" s="1364"/>
      <c r="E3" s="2260"/>
      <c r="F3" s="2259">
        <v>1</v>
      </c>
      <c r="G3" s="1364"/>
      <c r="H3" s="1364"/>
      <c r="I3" s="1364"/>
      <c r="J3" s="1364"/>
      <c r="K3" s="1364"/>
      <c r="L3" s="1365"/>
      <c r="M3" s="1366"/>
      <c r="N3" s="1366"/>
      <c r="O3" s="1366"/>
      <c r="P3" s="1333"/>
      <c r="Q3" s="353"/>
      <c r="R3" s="354"/>
      <c r="S3" s="1337">
        <f>INDEX(PT_DIFFERENTIATION_NUM_TER,MATCH(B3,PT_DIFFERENTIATION_TER_ID,0))</f>
      </c>
      <c r="T3" s="309" t="s">
        <v>527</v>
      </c>
      <c r="U3" s="301"/>
      <c r="V3" s="2243"/>
      <c r="W3" s="2244"/>
      <c r="X3" s="2244"/>
      <c r="Y3" s="2244"/>
      <c r="Z3" s="2244"/>
      <c r="AA3" s="2244"/>
      <c r="AB3" s="2244"/>
      <c r="AC3" s="2245"/>
      <c r="AD3" s="2243">
        <f>INDEX(PT_DIFFERENTIATION_TER,MATCH(B3,PT_DIFFERENTIATION_TER_ID,0))</f>
      </c>
      <c r="AE3" s="2244"/>
      <c r="AF3" s="2244"/>
      <c r="AG3" s="2244"/>
      <c r="AH3" s="2244"/>
      <c r="AI3" s="2244"/>
      <c r="AJ3" s="2244"/>
      <c r="AK3" s="2244"/>
      <c r="AL3" s="2243"/>
      <c r="AM3" s="2244"/>
      <c r="AN3" s="2244"/>
      <c r="AO3" s="2244"/>
      <c r="AP3" s="2244"/>
      <c r="AQ3" s="2244"/>
      <c r="AR3" s="2244"/>
      <c r="AS3" s="5240"/>
      <c r="AT3" s="2245"/>
      <c r="AU3" s="1259" t="s">
        <v>528</v>
      </c>
      <c r="AW3" s="501"/>
      <c r="AX3" s="501" t="str">
        <f>IF(T3="","",T3)</f>
        <v>Территория действия тарифа</v>
      </c>
      <c r="AY3" s="501"/>
      <c r="AZ3" s="501"/>
      <c r="BA3" s="1156">
        <v>0</v>
      </c>
    </row>
    <row customHeight="1" ht="23.25" hidden="1">
      <c r="A4" s="1364"/>
      <c r="B4" s="1364"/>
      <c r="C4" s="1364"/>
      <c r="D4" s="1364"/>
      <c r="E4" s="2260"/>
      <c r="F4" s="2260"/>
      <c r="G4" s="2259">
        <v>1</v>
      </c>
      <c r="H4" s="1364"/>
      <c r="I4" s="1364"/>
      <c r="J4" s="1364"/>
      <c r="K4" s="1364"/>
      <c r="L4" s="1365"/>
      <c r="M4" s="1366"/>
      <c r="N4" s="1366"/>
      <c r="O4" s="1366"/>
      <c r="P4" s="355"/>
      <c r="Q4" s="353"/>
      <c r="R4" s="354"/>
      <c r="S4" s="1337">
        <f>INDEX(PT_DIFFERENTIATION_NUM_CS,MATCH(C4,PT_DIFFERENTIATION_CS_ID,0))</f>
      </c>
      <c r="T4" s="310" t="s">
        <v>529</v>
      </c>
      <c r="U4" s="301"/>
      <c r="V4" s="2243"/>
      <c r="W4" s="2244"/>
      <c r="X4" s="2244"/>
      <c r="Y4" s="2244"/>
      <c r="Z4" s="2244"/>
      <c r="AA4" s="2244"/>
      <c r="AB4" s="2244"/>
      <c r="AC4" s="2245"/>
      <c r="AD4" s="2243">
        <f>INDEX(PT_DIFFERENTIATION_CS,MATCH(C4,PT_DIFFERENTIATION_CS_ID,0))</f>
      </c>
      <c r="AE4" s="2244"/>
      <c r="AF4" s="2244"/>
      <c r="AG4" s="2244"/>
      <c r="AH4" s="2244"/>
      <c r="AI4" s="2244"/>
      <c r="AJ4" s="2244"/>
      <c r="AK4" s="2244"/>
      <c r="AL4" s="2243"/>
      <c r="AM4" s="2244"/>
      <c r="AN4" s="2244"/>
      <c r="AO4" s="2244"/>
      <c r="AP4" s="2244"/>
      <c r="AQ4" s="2244"/>
      <c r="AR4" s="2244"/>
      <c r="AS4" s="5240"/>
      <c r="AT4" s="2245"/>
      <c r="AU4" s="1259" t="s">
        <v>530</v>
      </c>
      <c r="AW4" s="501"/>
      <c r="AX4" s="501" t="str">
        <f>IF(T4="","",T4)</f>
        <v>Наименование системы теплоснабжения </v>
      </c>
      <c r="AY4" s="501"/>
      <c r="AZ4" s="501"/>
      <c r="BA4" s="1156">
        <v>0</v>
      </c>
    </row>
    <row customHeight="1" ht="21" hidden="1">
      <c r="A5" s="1364"/>
      <c r="B5" s="1364"/>
      <c r="C5" s="1364"/>
      <c r="D5" s="1364"/>
      <c r="E5" s="2260"/>
      <c r="F5" s="2260"/>
      <c r="G5" s="2260"/>
      <c r="H5" s="2259">
        <v>1</v>
      </c>
      <c r="I5" s="1364"/>
      <c r="J5" s="1364"/>
      <c r="K5" s="1364"/>
      <c r="L5" s="1365"/>
      <c r="M5" s="1366"/>
      <c r="N5" s="1366"/>
      <c r="O5" s="1366"/>
      <c r="P5" s="355"/>
      <c r="Q5" s="353"/>
      <c r="R5" s="354"/>
      <c r="S5" s="1337">
        <f>INDEX(PT_DIFFERENTIATION_NUM_IST_TE,MATCH(D5,PT_DIFFERENTIATION_IST_TE_ID,0))</f>
      </c>
      <c r="T5" s="311" t="s">
        <v>531</v>
      </c>
      <c r="U5" s="301"/>
      <c r="V5" s="2243"/>
      <c r="W5" s="2244"/>
      <c r="X5" s="2244"/>
      <c r="Y5" s="2244"/>
      <c r="Z5" s="2244"/>
      <c r="AA5" s="2244"/>
      <c r="AB5" s="2244"/>
      <c r="AC5" s="2245"/>
      <c r="AD5" s="2243">
        <f>INDEX(PT_DIFFERENTIATION_IST_TE,MATCH(D5,PT_DIFFERENTIATION_IST_TE_ID,0))</f>
      </c>
      <c r="AE5" s="2244"/>
      <c r="AF5" s="2244"/>
      <c r="AG5" s="2244"/>
      <c r="AH5" s="2244"/>
      <c r="AI5" s="2244"/>
      <c r="AJ5" s="2244"/>
      <c r="AK5" s="2244"/>
      <c r="AL5" s="2243"/>
      <c r="AM5" s="2244"/>
      <c r="AN5" s="2244"/>
      <c r="AO5" s="2244"/>
      <c r="AP5" s="2244"/>
      <c r="AQ5" s="2244"/>
      <c r="AR5" s="2244"/>
      <c r="AS5" s="5240"/>
      <c r="AT5" s="2245"/>
      <c r="AU5" s="1259" t="s">
        <v>532</v>
      </c>
      <c r="AW5" s="501"/>
      <c r="AX5" s="501" t="str">
        <f>IF(T5="","",T5)</f>
        <v>Источник тепловой энергии  </v>
      </c>
      <c r="AY5" s="501"/>
      <c r="AZ5" s="501"/>
      <c r="BA5" s="1156">
        <v>0</v>
      </c>
    </row>
    <row customHeight="1" ht="47.25" hidden="1">
      <c r="A6" s="1364"/>
      <c r="B6" s="1364"/>
      <c r="C6" s="1364"/>
      <c r="D6" s="1364"/>
      <c r="E6" s="2260"/>
      <c r="F6" s="2260"/>
      <c r="G6" s="2260"/>
      <c r="H6" s="2260"/>
      <c r="I6" s="2257">
        <f>S5&amp;".1"</f>
      </c>
      <c r="J6" s="1364"/>
      <c r="K6" s="1364"/>
      <c r="L6" s="1365" t="s">
        <v>533</v>
      </c>
      <c r="M6" s="538"/>
      <c r="P6" s="2258">
        <v>1</v>
      </c>
      <c r="Q6" s="1332"/>
      <c r="R6" s="357"/>
      <c r="S6" s="1337">
        <f>$I6</f>
      </c>
      <c r="T6" s="286" t="s">
        <v>534</v>
      </c>
      <c r="U6" s="301"/>
      <c r="V6" s="2246"/>
      <c r="W6" s="2247"/>
      <c r="X6" s="2247"/>
      <c r="Y6" s="2247"/>
      <c r="Z6" s="2247"/>
      <c r="AA6" s="2247"/>
      <c r="AB6" s="2247"/>
      <c r="AC6" s="2248"/>
      <c r="AD6" s="2246"/>
      <c r="AE6" s="2247"/>
      <c r="AF6" s="2247"/>
      <c r="AG6" s="2247"/>
      <c r="AH6" s="2247"/>
      <c r="AI6" s="2247"/>
      <c r="AJ6" s="2247"/>
      <c r="AK6" s="2247"/>
      <c r="AL6" s="2246"/>
      <c r="AM6" s="2247"/>
      <c r="AN6" s="2247"/>
      <c r="AO6" s="2247"/>
      <c r="AP6" s="2247"/>
      <c r="AQ6" s="2247"/>
      <c r="AR6" s="2247"/>
      <c r="AS6" s="5241"/>
      <c r="AT6" s="2248"/>
      <c r="AU6" s="1259" t="s">
        <v>535</v>
      </c>
      <c r="AW6" s="501"/>
      <c r="AX6" s="501" t="str">
        <f>IF(T6="","",T6)</f>
        <v>Схема подключения теплопотребляющей установки к коллектору источника тепловой энергии</v>
      </c>
      <c r="AY6" s="501"/>
      <c r="AZ6" s="501"/>
      <c r="BA6" s="1156">
        <v>0</v>
      </c>
    </row>
    <row customHeight="1" ht="21" hidden="1">
      <c r="A7" s="1364"/>
      <c r="B7" s="1364"/>
      <c r="C7" s="1364"/>
      <c r="D7" s="1364"/>
      <c r="E7" s="2260"/>
      <c r="F7" s="2260"/>
      <c r="G7" s="2260"/>
      <c r="H7" s="2260"/>
      <c r="I7" s="2287"/>
      <c r="J7" s="2257">
        <f>I6&amp;".1"</f>
      </c>
      <c r="K7" s="1364"/>
      <c r="L7" s="1365" t="s">
        <v>536</v>
      </c>
      <c r="M7" s="538"/>
      <c r="N7" s="1367"/>
      <c r="P7" s="2258"/>
      <c r="Q7" s="2258">
        <v>1</v>
      </c>
      <c r="R7" s="358"/>
      <c r="S7" s="1337">
        <f>$J7</f>
      </c>
      <c r="T7" s="287" t="s">
        <v>537</v>
      </c>
      <c r="U7" s="301"/>
      <c r="V7" s="2246"/>
      <c r="W7" s="2247"/>
      <c r="X7" s="2247"/>
      <c r="Y7" s="2247"/>
      <c r="Z7" s="2247"/>
      <c r="AA7" s="2247"/>
      <c r="AB7" s="2247"/>
      <c r="AC7" s="2248"/>
      <c r="AD7" s="2246"/>
      <c r="AE7" s="2247"/>
      <c r="AF7" s="2247"/>
      <c r="AG7" s="2247"/>
      <c r="AH7" s="2247"/>
      <c r="AI7" s="2247"/>
      <c r="AJ7" s="2247"/>
      <c r="AK7" s="2247"/>
      <c r="AL7" s="2246"/>
      <c r="AM7" s="2247"/>
      <c r="AN7" s="2247"/>
      <c r="AO7" s="2247"/>
      <c r="AP7" s="2247"/>
      <c r="AQ7" s="2247"/>
      <c r="AR7" s="2247"/>
      <c r="AS7" s="5241"/>
      <c r="AT7" s="2248"/>
      <c r="AU7" s="1259" t="s">
        <v>538</v>
      </c>
      <c r="AW7" s="501"/>
      <c r="AX7" s="501" t="str">
        <f>IF(T7="","",T7)</f>
        <v>Группа потребителей</v>
      </c>
      <c r="AY7" s="501"/>
      <c r="AZ7" s="501"/>
      <c r="BA7" s="1156">
        <v>0</v>
      </c>
    </row>
    <row customHeight="1" ht="21" hidden="1">
      <c r="A8" s="1364"/>
      <c r="B8" s="1364"/>
      <c r="C8" s="1364"/>
      <c r="D8" s="1364"/>
      <c r="E8" s="2260"/>
      <c r="F8" s="2260"/>
      <c r="G8" s="2260"/>
      <c r="H8" s="2260"/>
      <c r="I8" s="2287"/>
      <c r="J8" s="2287"/>
      <c r="K8" s="2257">
        <f>J7&amp;".1"</f>
      </c>
      <c r="L8" s="1365" t="s">
        <v>539</v>
      </c>
      <c r="M8" s="538"/>
      <c r="N8" s="1367"/>
      <c r="O8" s="1367"/>
      <c r="P8" s="2258"/>
      <c r="Q8" s="2258"/>
      <c r="R8" s="358">
        <v>1</v>
      </c>
      <c r="S8" s="1337">
        <f>$K8</f>
      </c>
      <c r="T8" s="1348"/>
      <c r="U8" s="301"/>
      <c r="V8" s="752"/>
      <c r="W8" s="326"/>
      <c r="X8" s="752"/>
      <c r="Y8" s="1258"/>
      <c r="Z8" s="2266"/>
      <c r="AA8" s="2108" t="s">
        <v>65</v>
      </c>
      <c r="AB8" s="2266"/>
      <c r="AC8" s="2108" t="s">
        <v>65</v>
      </c>
      <c r="AD8" s="752"/>
      <c r="AE8" s="326"/>
      <c r="AF8" s="752"/>
      <c r="AG8" s="1258"/>
      <c r="AH8" s="2266"/>
      <c r="AI8" s="2108" t="s">
        <v>65</v>
      </c>
      <c r="AJ8" s="2266"/>
      <c r="AK8" s="2108" t="s">
        <v>65</v>
      </c>
      <c r="AL8" s="752"/>
      <c r="AM8" s="326"/>
      <c r="AN8" s="752"/>
      <c r="AO8" s="1258"/>
      <c r="AP8" s="2603"/>
      <c r="AQ8" s="2108" t="s">
        <v>65</v>
      </c>
      <c r="AR8" s="2603"/>
      <c r="AS8" s="2108" t="s">
        <v>65</v>
      </c>
      <c r="AT8" s="326"/>
      <c r="AU8" s="2254" t="s">
        <v>540</v>
      </c>
      <c r="AV8" s="512">
        <f>STRCHECKDATE(V9:AT9)</f>
      </c>
      <c r="AW8" s="501"/>
      <c r="AX8" s="501" t="str">
        <f>IF(T8="","",T8)</f>
        <v/>
      </c>
      <c r="AY8" s="501"/>
      <c r="AZ8" s="501"/>
      <c r="BA8" s="1156">
        <v>0</v>
      </c>
    </row>
    <row customHeight="1" ht="0.75" hidden="1">
      <c r="A9" s="1364"/>
      <c r="B9" s="1364"/>
      <c r="C9" s="1364"/>
      <c r="D9" s="1364"/>
      <c r="E9" s="2260"/>
      <c r="F9" s="2260"/>
      <c r="G9" s="2260"/>
      <c r="H9" s="2260"/>
      <c r="I9" s="2287"/>
      <c r="J9" s="2287"/>
      <c r="K9" s="2257"/>
      <c r="L9" s="1365"/>
      <c r="M9" s="538"/>
      <c r="N9" s="1367"/>
      <c r="O9" s="1367"/>
      <c r="P9" s="2258"/>
      <c r="Q9" s="2258"/>
      <c r="R9" s="358"/>
      <c r="S9" s="1343"/>
      <c r="T9" s="301"/>
      <c r="U9" s="301"/>
      <c r="V9" s="326"/>
      <c r="W9" s="326"/>
      <c r="X9" s="326"/>
      <c r="Y9" s="329" t="str">
        <f>Z8&amp;"-"&amp;AB8</f>
        <v>-</v>
      </c>
      <c r="Z9" s="2267"/>
      <c r="AA9" s="2108"/>
      <c r="AB9" s="2267"/>
      <c r="AC9" s="2108"/>
      <c r="AD9" s="326"/>
      <c r="AE9" s="326"/>
      <c r="AF9" s="326"/>
      <c r="AG9" s="329" t="str">
        <f>AH8&amp;"-"&amp;AJ8</f>
        <v>-</v>
      </c>
      <c r="AH9" s="2267"/>
      <c r="AI9" s="2108"/>
      <c r="AJ9" s="2267"/>
      <c r="AK9" s="2108"/>
      <c r="AL9" s="326"/>
      <c r="AM9" s="326"/>
      <c r="AN9" s="326"/>
      <c r="AO9" s="329" t="str">
        <f>AP8&amp;"-"&amp;AR8</f>
        <v>-</v>
      </c>
      <c r="AP9" s="2310"/>
      <c r="AQ9" s="2108"/>
      <c r="AR9" s="2310"/>
      <c r="AS9" s="2108"/>
      <c r="AT9" s="326"/>
      <c r="AU9" s="2255"/>
      <c r="AW9" s="501"/>
      <c r="AX9" s="501" t="str">
        <f>IF(T9="","",T9)</f>
        <v/>
      </c>
      <c r="AY9" s="501"/>
      <c r="AZ9" s="501"/>
      <c r="BA9" s="1156">
        <v>0</v>
      </c>
    </row>
    <row customHeight="1" ht="15" hidden="1">
      <c r="A10" s="1364"/>
      <c r="B10" s="1364"/>
      <c r="C10" s="1364"/>
      <c r="D10" s="1364"/>
      <c r="E10" s="2260"/>
      <c r="F10" s="2260"/>
      <c r="G10" s="2260"/>
      <c r="H10" s="2260"/>
      <c r="I10" s="2287"/>
      <c r="J10" s="2257"/>
      <c r="K10" s="1364"/>
      <c r="L10" s="1365"/>
      <c r="M10" s="538"/>
      <c r="N10" s="1367"/>
      <c r="P10" s="2258"/>
      <c r="Q10" s="2258"/>
      <c r="R10" s="357"/>
      <c r="S10" s="1279"/>
      <c r="T10" s="289" t="s">
        <v>541</v>
      </c>
      <c r="U10" s="368"/>
      <c r="V10" s="368"/>
      <c r="W10" s="368"/>
      <c r="X10" s="368"/>
      <c r="Y10" s="368"/>
      <c r="Z10" s="368"/>
      <c r="AA10" s="368"/>
      <c r="AB10" s="368"/>
      <c r="AC10" s="368"/>
      <c r="AD10" s="368"/>
      <c r="AE10" s="368"/>
      <c r="AF10" s="368"/>
      <c r="AG10" s="368"/>
      <c r="AH10" s="368"/>
      <c r="AI10" s="368"/>
      <c r="AJ10" s="368"/>
      <c r="AK10" s="368"/>
      <c r="AL10" s="3663"/>
      <c r="AM10" s="3664"/>
      <c r="AN10" s="3665"/>
      <c r="AO10" s="3666"/>
      <c r="AP10" s="3667"/>
      <c r="AQ10" s="3668"/>
      <c r="AR10" s="3669"/>
      <c r="AS10" s="5291"/>
      <c r="AT10" s="325"/>
      <c r="AU10" s="2256"/>
      <c r="AW10" s="501"/>
      <c r="AX10" s="501" t="str">
        <f>IF(T10="","",T10)</f>
        <v>Добавить вид теплоносителя (параметры теплоносителя)</v>
      </c>
      <c r="AY10" s="501"/>
      <c r="AZ10" s="501"/>
      <c r="BA10" s="1156">
        <v>0</v>
      </c>
    </row>
    <row customHeight="1" ht="15" hidden="1">
      <c r="A11" s="1364"/>
      <c r="B11" s="1364"/>
      <c r="C11" s="1364"/>
      <c r="D11" s="1364"/>
      <c r="E11" s="2260"/>
      <c r="F11" s="2260"/>
      <c r="G11" s="2260"/>
      <c r="H11" s="2260"/>
      <c r="I11" s="2257"/>
      <c r="J11" s="1364"/>
      <c r="K11" s="1364"/>
      <c r="L11" s="1365"/>
      <c r="M11" s="538"/>
      <c r="P11" s="2258"/>
      <c r="Q11" s="1332"/>
      <c r="R11" s="357"/>
      <c r="S11" s="1279"/>
      <c r="T11" s="288" t="s">
        <v>542</v>
      </c>
      <c r="U11" s="368"/>
      <c r="V11" s="368"/>
      <c r="W11" s="368"/>
      <c r="X11" s="368"/>
      <c r="Y11" s="368"/>
      <c r="Z11" s="368"/>
      <c r="AA11" s="368"/>
      <c r="AB11" s="368"/>
      <c r="AC11" s="367"/>
      <c r="AD11" s="368"/>
      <c r="AE11" s="368"/>
      <c r="AF11" s="368"/>
      <c r="AG11" s="368"/>
      <c r="AH11" s="368"/>
      <c r="AI11" s="368"/>
      <c r="AJ11" s="368"/>
      <c r="AK11" s="367"/>
      <c r="AL11" s="3671"/>
      <c r="AM11" s="3672"/>
      <c r="AN11" s="3673"/>
      <c r="AO11" s="3674"/>
      <c r="AP11" s="3675"/>
      <c r="AQ11" s="3676"/>
      <c r="AR11" s="3677"/>
      <c r="AS11" s="5292"/>
      <c r="AT11" s="368"/>
      <c r="AU11" s="304"/>
      <c r="AW11" s="501"/>
      <c r="AX11" s="501" t="str">
        <f>IF(T11="","",T11)</f>
        <v>Добавить группу потребителей</v>
      </c>
      <c r="AY11" s="501"/>
      <c r="AZ11" s="501"/>
      <c r="BA11" s="1156">
        <v>0</v>
      </c>
    </row>
    <row customHeight="1" ht="14.25" hidden="1">
      <c r="A12" s="1364"/>
      <c r="B12" s="1364"/>
      <c r="C12" s="1364"/>
      <c r="D12" s="1364"/>
      <c r="E12" s="2260"/>
      <c r="F12" s="2260"/>
      <c r="G12" s="2260"/>
      <c r="H12" s="2259"/>
      <c r="I12" s="1364"/>
      <c r="J12" s="1364"/>
      <c r="K12" s="1364"/>
      <c r="L12" s="1365"/>
      <c r="M12" s="1366"/>
      <c r="N12" s="1366"/>
      <c r="O12" s="538"/>
      <c r="P12" s="361"/>
      <c r="Q12" s="376"/>
      <c r="R12" s="356"/>
      <c r="S12" s="1279"/>
      <c r="T12" s="366" t="s">
        <v>543</v>
      </c>
      <c r="U12" s="368"/>
      <c r="V12" s="368"/>
      <c r="W12" s="368"/>
      <c r="X12" s="368"/>
      <c r="Y12" s="368"/>
      <c r="Z12" s="368"/>
      <c r="AA12" s="368"/>
      <c r="AB12" s="368"/>
      <c r="AC12" s="367"/>
      <c r="AD12" s="368"/>
      <c r="AE12" s="368"/>
      <c r="AF12" s="368"/>
      <c r="AG12" s="368"/>
      <c r="AH12" s="368"/>
      <c r="AI12" s="368"/>
      <c r="AJ12" s="368"/>
      <c r="AK12" s="367"/>
      <c r="AL12" s="3679"/>
      <c r="AM12" s="3680"/>
      <c r="AN12" s="3681"/>
      <c r="AO12" s="3682"/>
      <c r="AP12" s="3683"/>
      <c r="AQ12" s="3684"/>
      <c r="AR12" s="3685"/>
      <c r="AS12" s="5293"/>
      <c r="AT12" s="368"/>
      <c r="AU12" s="304"/>
      <c r="AW12" s="501"/>
      <c r="AX12" s="501" t="str">
        <f>IF(T12="","",T12)</f>
        <v>Добавить схему подключения</v>
      </c>
      <c r="AY12" s="501"/>
      <c r="AZ12" s="501"/>
      <c r="BA12" s="1156">
        <v>0</v>
      </c>
    </row>
    <row s="1643" customFormat="1" customHeight="1" ht="0.75" hidden="1">
      <c r="A13" s="1315"/>
      <c r="B13" s="1315"/>
      <c r="C13" s="1315"/>
      <c r="D13" s="1315"/>
      <c r="E13" s="2260"/>
      <c r="F13" s="2260"/>
      <c r="G13" s="2259"/>
      <c r="H13" s="1315"/>
      <c r="I13" s="1315"/>
      <c r="J13" s="1315"/>
      <c r="K13" s="1315"/>
      <c r="L13" s="1340"/>
      <c r="M13" s="1316"/>
      <c r="N13" s="1316"/>
      <c r="P13" s="1317"/>
      <c r="Q13" s="1318"/>
      <c r="R13" s="1317"/>
      <c r="S13" s="1319"/>
      <c r="T13" s="1320" t="s">
        <v>177</v>
      </c>
      <c r="U13" s="1321"/>
      <c r="V13" s="1321"/>
      <c r="W13" s="1321"/>
      <c r="X13" s="1321"/>
      <c r="Y13" s="1321"/>
      <c r="Z13" s="1321"/>
      <c r="AA13" s="1321"/>
      <c r="AB13" s="1321"/>
      <c r="AC13" s="1321"/>
      <c r="AD13" s="1321"/>
      <c r="AE13" s="1321"/>
      <c r="AF13" s="1321"/>
      <c r="AG13" s="1321"/>
      <c r="AH13" s="1321"/>
      <c r="AI13" s="1321"/>
      <c r="AJ13" s="1321"/>
      <c r="AK13" s="1321"/>
      <c r="AL13" s="1321"/>
      <c r="AM13" s="1321"/>
      <c r="AN13" s="1321"/>
      <c r="AO13" s="1321"/>
      <c r="AP13" s="1321"/>
      <c r="AQ13" s="1321"/>
      <c r="AR13" s="1321"/>
      <c r="AS13" s="1321"/>
      <c r="AT13" s="1321"/>
      <c r="AU13" s="1321"/>
      <c r="AW13" s="790"/>
      <c r="AX13" s="790" t="str">
        <f>IF(T13="","",T13)</f>
        <v>Добавить источник для дифференциации</v>
      </c>
      <c r="AY13" s="790"/>
      <c r="AZ13" s="790"/>
      <c r="BA13" s="519">
        <v>0</v>
      </c>
    </row>
    <row s="1643" customFormat="1" customHeight="1" ht="0.75" hidden="1">
      <c r="A14" s="1315"/>
      <c r="B14" s="1315"/>
      <c r="C14" s="1315"/>
      <c r="D14" s="1315"/>
      <c r="E14" s="2260"/>
      <c r="F14" s="2259"/>
      <c r="G14" s="1315"/>
      <c r="H14" s="1315"/>
      <c r="I14" s="1315"/>
      <c r="J14" s="1315"/>
      <c r="K14" s="1315"/>
      <c r="L14" s="1340"/>
      <c r="M14" s="1322"/>
      <c r="N14" s="1322"/>
      <c r="P14" s="1317"/>
      <c r="Q14" s="1318"/>
      <c r="R14" s="1317"/>
      <c r="S14" s="1323"/>
      <c r="T14" s="1324" t="s">
        <v>178</v>
      </c>
      <c r="U14" s="1325"/>
      <c r="V14" s="1325"/>
      <c r="W14" s="1325"/>
      <c r="X14" s="1325"/>
      <c r="Y14" s="1325"/>
      <c r="Z14" s="1325"/>
      <c r="AA14" s="1325"/>
      <c r="AB14" s="1325"/>
      <c r="AC14" s="1325"/>
      <c r="AD14" s="1325"/>
      <c r="AE14" s="1325"/>
      <c r="AF14" s="1325"/>
      <c r="AG14" s="1325"/>
      <c r="AH14" s="1325"/>
      <c r="AI14" s="1325"/>
      <c r="AJ14" s="1325"/>
      <c r="AK14" s="1325"/>
      <c r="AL14" s="1325"/>
      <c r="AM14" s="1325"/>
      <c r="AN14" s="1325"/>
      <c r="AO14" s="1325"/>
      <c r="AP14" s="1325"/>
      <c r="AQ14" s="1325"/>
      <c r="AR14" s="1325"/>
      <c r="AS14" s="1325"/>
      <c r="AT14" s="1325"/>
      <c r="AU14" s="1325"/>
      <c r="AW14" s="790"/>
      <c r="AX14" s="790" t="str">
        <f>IF(T14="","",T14)</f>
        <v>Добавить централизованную систему для дифференциации</v>
      </c>
      <c r="AY14" s="790"/>
      <c r="AZ14" s="790"/>
      <c r="BA14" s="519">
        <v>0</v>
      </c>
    </row>
    <row s="1643" customFormat="1" customHeight="1" ht="0.75" hidden="1">
      <c r="A15" s="1315"/>
      <c r="B15" s="1315"/>
      <c r="C15" s="1315"/>
      <c r="D15" s="1315"/>
      <c r="E15" s="2259"/>
      <c r="F15" s="1315"/>
      <c r="G15" s="1315"/>
      <c r="H15" s="1315"/>
      <c r="I15" s="1315"/>
      <c r="J15" s="1315"/>
      <c r="K15" s="1315"/>
      <c r="L15" s="1340"/>
      <c r="M15" s="1322"/>
      <c r="N15" s="1322"/>
      <c r="P15" s="1317"/>
      <c r="Q15" s="1318"/>
      <c r="R15" s="1317"/>
      <c r="S15" s="1323"/>
      <c r="T15" s="1326" t="s">
        <v>183</v>
      </c>
      <c r="U15" s="1325"/>
      <c r="V15" s="1325"/>
      <c r="W15" s="1325"/>
      <c r="X15" s="1325"/>
      <c r="Y15" s="1325"/>
      <c r="Z15" s="1325"/>
      <c r="AA15" s="1325"/>
      <c r="AB15" s="1325"/>
      <c r="AC15" s="1325"/>
      <c r="AD15" s="1325"/>
      <c r="AE15" s="1325"/>
      <c r="AF15" s="1325"/>
      <c r="AG15" s="1325"/>
      <c r="AH15" s="1325"/>
      <c r="AI15" s="1325"/>
      <c r="AJ15" s="1325"/>
      <c r="AK15" s="1325"/>
      <c r="AL15" s="1325"/>
      <c r="AM15" s="1325"/>
      <c r="AN15" s="1325"/>
      <c r="AO15" s="1325"/>
      <c r="AP15" s="1325"/>
      <c r="AQ15" s="1325"/>
      <c r="AR15" s="1325"/>
      <c r="AS15" s="1325"/>
      <c r="AT15" s="1325"/>
      <c r="AU15" s="1325"/>
      <c r="AW15" s="790"/>
      <c r="AX15" s="790" t="str">
        <f>IF(T15="","",T15)</f>
        <v>Добавить территорию для дифференциации</v>
      </c>
      <c r="AY15" s="790"/>
      <c r="AZ15" s="790"/>
      <c r="BA15" s="519">
        <v>0</v>
      </c>
    </row>
    <row customHeight="1" ht="14.25" hidden="1">
      <c r="AC16" s="328"/>
      <c r="AK16" s="328"/>
      <c r="AL16" s="1636"/>
      <c r="AM16" s="1636"/>
      <c r="AN16" s="1636"/>
      <c r="AO16" s="1636"/>
      <c r="AP16" s="1636"/>
      <c r="AQ16" s="1636"/>
      <c r="AR16" s="1636"/>
      <c r="AS16" s="5239"/>
      <c r="BA16" s="1156">
        <v>0</v>
      </c>
    </row>
    <row customHeight="1" ht="14.25" hidden="1">
      <c r="AD17" s="1361"/>
      <c r="AE17" s="1361"/>
      <c r="AF17" s="1361"/>
      <c r="AG17" s="1362"/>
      <c r="AH17" s="2268"/>
      <c r="AI17" s="2269" t="s">
        <v>65</v>
      </c>
      <c r="AJ17" s="2268"/>
      <c r="AK17" s="2269" t="s">
        <v>65</v>
      </c>
      <c r="AL17" s="1636"/>
      <c r="AM17" s="1636"/>
      <c r="AN17" s="1636"/>
      <c r="AO17" s="1636"/>
      <c r="AP17" s="1636"/>
      <c r="AQ17" s="1636"/>
      <c r="AR17" s="1636"/>
      <c r="AS17" s="5239"/>
      <c r="BA17" s="1156">
        <v>0</v>
      </c>
    </row>
    <row customHeight="1" ht="14.25" hidden="1">
      <c r="AD18" s="1361"/>
      <c r="AE18" s="1361"/>
      <c r="AF18" s="1361"/>
      <c r="AG18" s="329" t="str">
        <f>AH17&amp;"-"&amp;AJ17</f>
        <v>-</v>
      </c>
      <c r="AH18" s="2269"/>
      <c r="AI18" s="2269"/>
      <c r="AJ18" s="2269"/>
      <c r="AK18" s="2269"/>
      <c r="AL18" s="1636"/>
      <c r="AM18" s="1636"/>
      <c r="AN18" s="1636"/>
      <c r="AO18" s="1636"/>
      <c r="AP18" s="1636"/>
      <c r="AQ18" s="1636"/>
      <c r="AR18" s="1636"/>
      <c r="AS18" s="5239"/>
      <c r="BA18" s="1156">
        <v>0</v>
      </c>
    </row>
    <row customHeight="1" ht="14.25" hidden="1">
      <c r="AK19" s="328"/>
      <c r="AL19" s="1636"/>
      <c r="AM19" s="1636"/>
      <c r="AN19" s="1636"/>
      <c r="AO19" s="1636"/>
      <c r="AP19" s="1636"/>
      <c r="AQ19" s="1636"/>
      <c r="AR19" s="1636"/>
      <c r="AS19" s="5239"/>
      <c r="BA19" s="1156">
        <v>0</v>
      </c>
    </row>
    <row s="1367" customFormat="1" customHeight="1" ht="22.5" hidden="1">
      <c r="L20" s="1330"/>
      <c r="M20" s="1363"/>
      <c r="N20" s="1363"/>
      <c r="O20" s="1368" t="s">
        <v>544</v>
      </c>
      <c r="P20" s="1363"/>
      <c r="Q20" s="1372"/>
      <c r="R20" s="1372"/>
      <c r="S20" s="730"/>
      <c r="Z20" s="1368"/>
      <c r="AB20" s="1368"/>
      <c r="AC20" s="1367"/>
      <c r="AH20" s="1368"/>
      <c r="AJ20" s="1368"/>
      <c r="AK20" s="1367"/>
      <c r="AL20" s="1367"/>
      <c r="AM20" s="1367"/>
      <c r="AN20" s="1367"/>
      <c r="AO20" s="1367"/>
      <c r="AP20" s="1368"/>
      <c r="AQ20" s="1367"/>
      <c r="AR20" s="1368"/>
      <c r="AS20" s="5248"/>
      <c r="AV20" s="512"/>
      <c r="AW20" s="512"/>
      <c r="AX20" s="512"/>
      <c r="AY20" s="512"/>
      <c r="AZ20" s="512"/>
      <c r="BA20" s="1161">
        <v>0</v>
      </c>
    </row>
    <row s="1367" customFormat="1" customHeight="1" ht="14.25" hidden="1">
      <c r="L21" s="1330"/>
      <c r="M21" s="1363"/>
      <c r="N21" s="1363"/>
      <c r="O21" s="1363"/>
      <c r="P21" s="1363"/>
      <c r="Q21" s="1372"/>
      <c r="R21" s="1372"/>
      <c r="S21" s="730"/>
      <c r="AC21" s="1367"/>
      <c r="AK21" s="1367"/>
      <c r="AL21" s="1367"/>
      <c r="AM21" s="1367"/>
      <c r="AN21" s="1367"/>
      <c r="AO21" s="1367"/>
      <c r="AP21" s="1367"/>
      <c r="AQ21" s="1367"/>
      <c r="AR21" s="1367"/>
      <c r="AS21" s="5248"/>
      <c r="AV21" s="512"/>
      <c r="AW21" s="512"/>
      <c r="AX21" s="512"/>
      <c r="AY21" s="512"/>
      <c r="AZ21" s="512"/>
      <c r="BA21" s="1161">
        <v>0</v>
      </c>
    </row>
    <row s="1367" customFormat="1" customHeight="1" ht="14.25" hidden="1">
      <c r="L22" s="1330"/>
      <c r="M22" s="1363"/>
      <c r="N22" s="1363"/>
      <c r="O22" s="1365" t="s">
        <v>545</v>
      </c>
      <c r="P22" s="1363"/>
      <c r="Q22" s="1372"/>
      <c r="R22" s="1372"/>
      <c r="S22" s="730"/>
      <c r="T22" s="1161" t="s">
        <v>546</v>
      </c>
      <c r="AA22" s="187" t="s">
        <v>547</v>
      </c>
      <c r="AC22" s="187" t="s">
        <v>548</v>
      </c>
      <c r="AD22" s="1161" t="s">
        <v>546</v>
      </c>
      <c r="AI22" s="187" t="s">
        <v>549</v>
      </c>
      <c r="AK22" s="187" t="s">
        <v>548</v>
      </c>
      <c r="AL22" s="1367"/>
      <c r="AM22" s="1367"/>
      <c r="AN22" s="1367"/>
      <c r="AO22" s="1367"/>
      <c r="AP22" s="1367"/>
      <c r="AQ22" s="1371" t="s">
        <v>547</v>
      </c>
      <c r="AR22" s="1367"/>
      <c r="AS22" s="5249" t="s">
        <v>548</v>
      </c>
      <c r="AV22" s="512"/>
      <c r="AW22" s="512"/>
      <c r="AX22" s="512"/>
      <c r="AY22" s="512"/>
      <c r="AZ22" s="512"/>
      <c r="BA22" s="1161">
        <v>0</v>
      </c>
    </row>
    <row customHeight="1" ht="14.25" hidden="1">
      <c r="O23" s="1365"/>
      <c r="AL23" s="1636"/>
      <c r="AM23" s="1636"/>
      <c r="AN23" s="1636"/>
      <c r="AO23" s="1636"/>
      <c r="AP23" s="1636"/>
      <c r="AQ23" s="1636"/>
      <c r="AR23" s="1636"/>
      <c r="AS23" s="5239"/>
      <c r="BA23" s="1156">
        <v>0</v>
      </c>
    </row>
    <row customHeight="1" ht="14.25" hidden="1">
      <c r="O24" s="1365"/>
      <c r="AL24" s="1636"/>
      <c r="AM24" s="1636"/>
      <c r="AN24" s="1636"/>
      <c r="AO24" s="1636"/>
      <c r="AP24" s="1636"/>
      <c r="AQ24" s="1636"/>
      <c r="AR24" s="1636"/>
      <c r="AS24" s="5239"/>
      <c r="BA24" s="1156">
        <v>0</v>
      </c>
    </row>
    <row customHeight="1" ht="14.699999999999998">
      <c r="Q25" s="377"/>
      <c r="R25" s="377"/>
      <c r="S25" s="1276"/>
      <c r="T25" s="364"/>
      <c r="U25" s="364"/>
      <c r="V25" s="510"/>
      <c r="W25" s="510"/>
      <c r="X25" s="510"/>
      <c r="Y25" s="510"/>
      <c r="Z25" s="510"/>
      <c r="AA25" s="510"/>
      <c r="AB25" s="510"/>
      <c r="AC25" s="510"/>
      <c r="AD25" s="510"/>
      <c r="AE25" s="510"/>
      <c r="AF25" s="510"/>
      <c r="AG25" s="510"/>
      <c r="AH25" s="510"/>
      <c r="AI25" s="510"/>
      <c r="AJ25" s="510"/>
      <c r="AK25" s="510"/>
      <c r="AL25" s="1636"/>
      <c r="AM25" s="1636"/>
      <c r="AN25" s="1636"/>
      <c r="AO25" s="1636"/>
      <c r="AP25" s="1636"/>
      <c r="AQ25" s="1636"/>
      <c r="AR25" s="1636"/>
      <c r="AS25" s="5239"/>
      <c r="BA25" s="1156">
        <v>14</v>
      </c>
    </row>
    <row customHeight="1" ht="14.699999999999998">
      <c r="Q26" s="377"/>
      <c r="R26" s="377"/>
      <c r="S26" s="2249" t="str">
        <f>IF(TEMPLATE_GROUP="P",PT_P_FORM_HEAT_4_NAME_FORM,PT_R_FORM_HEAT_21_NAME_FORM)</f>
        <v>Форма 3. Информация об установленных тарифах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об установленных тарифах на тепловую энергию (мощность), поставляемую теплоснабжающими организациями потребителям, другим теплоснабжающим организациям, об установленной плате за услуги по поддержанию резервной тепловой мощности при отсутствии потребления тепловой энергии</v>
      </c>
      <c r="T26" s="2249"/>
      <c r="U26" s="2249"/>
      <c r="V26" s="2249"/>
      <c r="W26" s="2249"/>
      <c r="X26" s="2249"/>
      <c r="Y26" s="2249"/>
      <c r="Z26" s="2249"/>
      <c r="AA26" s="2249"/>
      <c r="AB26" s="2249"/>
      <c r="AC26" s="2249"/>
      <c r="AD26" s="2249"/>
      <c r="AE26" s="2249"/>
      <c r="AF26" s="2249"/>
      <c r="AG26" s="2249"/>
      <c r="AH26" s="2249"/>
      <c r="AI26" s="2249"/>
      <c r="AJ26" s="2249"/>
      <c r="AK26" s="1244"/>
      <c r="AL26" s="2249"/>
      <c r="AM26" s="2249"/>
      <c r="AN26" s="2249"/>
      <c r="AO26" s="2249"/>
      <c r="AP26" s="2249"/>
      <c r="AQ26" s="2249"/>
      <c r="AR26" s="2249"/>
      <c r="AS26" s="5250"/>
      <c r="BA26" s="1156">
        <v>14</v>
      </c>
    </row>
    <row customHeight="1" ht="14.699999999999998">
      <c r="Q27" s="377"/>
      <c r="R27" s="377"/>
      <c r="S27" s="2250" t="str">
        <f>IF(org=0,"Не определено",org)</f>
        <v>ПАО "ТГК-1" (филиал "Кольский")</v>
      </c>
      <c r="T27" s="2250"/>
      <c r="U27" s="2250"/>
      <c r="V27" s="2250"/>
      <c r="W27" s="2250"/>
      <c r="X27" s="2250"/>
      <c r="Y27" s="2250"/>
      <c r="Z27" s="2250"/>
      <c r="AA27" s="2250"/>
      <c r="AB27" s="2250"/>
      <c r="AC27" s="2250"/>
      <c r="AD27" s="2250"/>
      <c r="AE27" s="2250"/>
      <c r="AF27" s="2250"/>
      <c r="AG27" s="2250"/>
      <c r="AH27" s="2250"/>
      <c r="AI27" s="2250"/>
      <c r="AJ27" s="2250"/>
      <c r="AK27" s="1244"/>
      <c r="AL27" s="2250"/>
      <c r="AM27" s="2250"/>
      <c r="AN27" s="2250"/>
      <c r="AO27" s="2250"/>
      <c r="AP27" s="2250"/>
      <c r="AQ27" s="2250"/>
      <c r="AR27" s="2250"/>
      <c r="AS27" s="5251"/>
      <c r="BA27" s="1156">
        <v>14</v>
      </c>
    </row>
    <row customHeight="1" ht="14.25">
      <c r="Q28" s="377"/>
      <c r="R28" s="377"/>
      <c r="S28" s="1276"/>
      <c r="T28" s="364"/>
      <c r="U28" s="364"/>
      <c r="V28" s="323"/>
      <c r="W28" s="323"/>
      <c r="X28" s="323"/>
      <c r="Y28" s="323"/>
      <c r="Z28" s="323"/>
      <c r="AA28" s="323"/>
      <c r="AB28" s="323"/>
      <c r="AC28" s="323"/>
      <c r="AD28" s="323"/>
      <c r="AE28" s="323"/>
      <c r="AF28" s="323"/>
      <c r="AG28" s="323"/>
      <c r="AH28" s="323"/>
      <c r="AI28" s="323"/>
      <c r="AJ28" s="323"/>
      <c r="AK28" s="323"/>
      <c r="AL28" s="323"/>
      <c r="AM28" s="323"/>
      <c r="AN28" s="323"/>
      <c r="AO28" s="323"/>
      <c r="AP28" s="323"/>
      <c r="AQ28" s="323"/>
      <c r="AR28" s="323"/>
      <c r="AS28" s="5252"/>
      <c r="AT28" s="510"/>
      <c r="BA28" s="1156">
        <v>0</v>
      </c>
    </row>
    <row s="1854" customFormat="1" customHeight="1" ht="25.5">
      <c r="A29" s="1369"/>
      <c r="B29" s="1369"/>
      <c r="C29" s="1369"/>
      <c r="D29" s="1369"/>
      <c r="E29" s="1369"/>
      <c r="F29" s="1369"/>
      <c r="G29" s="1369"/>
      <c r="H29" s="1369"/>
      <c r="I29" s="1369"/>
      <c r="J29" s="1369"/>
      <c r="K29" s="1369"/>
      <c r="L29" s="1370"/>
      <c r="M29" s="1369"/>
      <c r="N29" s="1369"/>
      <c r="O29" s="1369"/>
      <c r="S29" s="2251" t="s">
        <v>42</v>
      </c>
      <c r="T29" s="2251"/>
      <c r="U29" s="1373"/>
      <c r="V29" s="2252" t="str">
        <f>IF(TITLE_NAME_OR_PR_CHANGE="",IF(TITLE_NAME_OR_PR="","",TITLE_NAME_OR_PR),TITLE_NAME_OR_PR_CHANGE)</f>
        <v>Комитет по тарифному регулированию Мурманской области</v>
      </c>
      <c r="W29" s="2252"/>
      <c r="X29" s="2252"/>
      <c r="Y29" s="2252"/>
      <c r="Z29" s="2252"/>
      <c r="AA29" s="2252"/>
      <c r="AB29" s="2252"/>
      <c r="AC29" s="327"/>
      <c r="AD29" s="2252" t="str">
        <f>IF(TITLE_NAME_OR_PR_CHANGE="",IF(TITLE_NAME_OR_PR="","",TITLE_NAME_OR_PR),TITLE_NAME_OR_PR_CHANGE)</f>
        <v>Комитет по тарифному регулированию Мурманской области</v>
      </c>
      <c r="AE29" s="2252"/>
      <c r="AF29" s="2252"/>
      <c r="AG29" s="2252"/>
      <c r="AH29" s="2252"/>
      <c r="AI29" s="2252"/>
      <c r="AJ29" s="2252"/>
      <c r="AK29" s="327"/>
      <c r="AL29" s="2252" t="str">
        <f>IF(TITLE_NAME_OR_PR_CHANGE="",IF(TITLE_NAME_OR_PR="","",TITLE_NAME_OR_PR),TITLE_NAME_OR_PR_CHANGE)</f>
        <v>Комитет по тарифному регулированию Мурманской области</v>
      </c>
      <c r="AM29" s="2252"/>
      <c r="AN29" s="2252"/>
      <c r="AO29" s="2252"/>
      <c r="AP29" s="2252"/>
      <c r="AQ29" s="2252"/>
      <c r="AR29" s="2252"/>
      <c r="AS29" s="5239"/>
      <c r="AT29" s="327"/>
      <c r="AU29" s="281"/>
      <c r="AV29" s="369"/>
      <c r="AW29" s="369"/>
      <c r="AX29" s="369"/>
      <c r="AY29" s="369"/>
      <c r="AZ29" s="369"/>
      <c r="BA29" s="419">
        <v>0</v>
      </c>
    </row>
    <row s="1854" customFormat="1" customHeight="1" ht="18.75">
      <c r="A30" s="1369"/>
      <c r="B30" s="1369"/>
      <c r="C30" s="1369"/>
      <c r="D30" s="1369"/>
      <c r="E30" s="1369"/>
      <c r="F30" s="1369"/>
      <c r="G30" s="1369"/>
      <c r="H30" s="1369"/>
      <c r="I30" s="1369"/>
      <c r="J30" s="1369"/>
      <c r="K30" s="1369"/>
      <c r="L30" s="1370"/>
      <c r="M30" s="1369"/>
      <c r="N30" s="1369"/>
      <c r="O30" s="1369"/>
      <c r="S30" s="2251" t="s">
        <v>550</v>
      </c>
      <c r="T30" s="2251"/>
      <c r="U30" s="1373"/>
      <c r="V30" s="2265" t="str">
        <f>IF(TITLE_DATE_PR_CHANGE="",IF(TITLE_DATE_PR="","",TITLE_DATE_PR),TITLE_DATE_PR_CHANGE)</f>
        <v>46010</v>
      </c>
      <c r="W30" s="2265"/>
      <c r="X30" s="2265"/>
      <c r="Y30" s="2265"/>
      <c r="Z30" s="2265"/>
      <c r="AA30" s="2265"/>
      <c r="AB30" s="2265"/>
      <c r="AC30" s="327"/>
      <c r="AD30" s="2265" t="str">
        <f>IF(TITLE_DATE_PR_CHANGE="",IF(TITLE_DATE_PR="","",TITLE_DATE_PR),TITLE_DATE_PR_CHANGE)</f>
        <v>46010</v>
      </c>
      <c r="AE30" s="2265"/>
      <c r="AF30" s="2265"/>
      <c r="AG30" s="2265"/>
      <c r="AH30" s="2265"/>
      <c r="AI30" s="2265"/>
      <c r="AJ30" s="2265"/>
      <c r="AK30" s="327"/>
      <c r="AL30" s="2265" t="str">
        <f>IF(TITLE_DATE_PR_CHANGE="",IF(TITLE_DATE_PR="","",TITLE_DATE_PR),TITLE_DATE_PR_CHANGE)</f>
        <v>46010</v>
      </c>
      <c r="AM30" s="2265"/>
      <c r="AN30" s="2265"/>
      <c r="AO30" s="2265"/>
      <c r="AP30" s="2265"/>
      <c r="AQ30" s="2265"/>
      <c r="AR30" s="2265"/>
      <c r="AS30" s="5239"/>
      <c r="AT30" s="327"/>
      <c r="AU30" s="281"/>
      <c r="AV30" s="369"/>
      <c r="AW30" s="369"/>
      <c r="AX30" s="369"/>
      <c r="AY30" s="369"/>
      <c r="AZ30" s="369"/>
      <c r="BA30" s="419">
        <v>0</v>
      </c>
    </row>
    <row s="1854" customFormat="1" customHeight="1" ht="18.75">
      <c r="A31" s="1369"/>
      <c r="B31" s="1369"/>
      <c r="C31" s="1369"/>
      <c r="D31" s="1369"/>
      <c r="E31" s="1369"/>
      <c r="F31" s="1369"/>
      <c r="G31" s="1369"/>
      <c r="H31" s="1369"/>
      <c r="I31" s="1369"/>
      <c r="J31" s="1369"/>
      <c r="K31" s="1369"/>
      <c r="L31" s="1370"/>
      <c r="M31" s="1369"/>
      <c r="N31" s="1369"/>
      <c r="O31" s="1369"/>
      <c r="S31" s="2251" t="s">
        <v>551</v>
      </c>
      <c r="T31" s="2251"/>
      <c r="U31" s="1373"/>
      <c r="V31" s="2252" t="str">
        <f>IF(TITLE_NUMBER_PR_CHANGE="",IF(TITLE_NUMBER_PR="","",TITLE_NUMBER_PR),TITLE_NUMBER_PR_CHANGE)</f>
        <v>53/77; 53/49</v>
      </c>
      <c r="W31" s="2252"/>
      <c r="X31" s="2252"/>
      <c r="Y31" s="2252"/>
      <c r="Z31" s="2252"/>
      <c r="AA31" s="2252"/>
      <c r="AB31" s="2252"/>
      <c r="AC31" s="327"/>
      <c r="AD31" s="2252" t="str">
        <f>IF(TITLE_NUMBER_PR_CHANGE="",IF(TITLE_NUMBER_PR="","",TITLE_NUMBER_PR),TITLE_NUMBER_PR_CHANGE)</f>
        <v>53/77; 53/49</v>
      </c>
      <c r="AE31" s="2252"/>
      <c r="AF31" s="2252"/>
      <c r="AG31" s="2252"/>
      <c r="AH31" s="2252"/>
      <c r="AI31" s="2252"/>
      <c r="AJ31" s="2252"/>
      <c r="AK31" s="327"/>
      <c r="AL31" s="2252" t="str">
        <f>IF(TITLE_NUMBER_PR_CHANGE="",IF(TITLE_NUMBER_PR="","",TITLE_NUMBER_PR),TITLE_NUMBER_PR_CHANGE)</f>
        <v>53/77; 53/49</v>
      </c>
      <c r="AM31" s="2252"/>
      <c r="AN31" s="2252"/>
      <c r="AO31" s="2252"/>
      <c r="AP31" s="2252"/>
      <c r="AQ31" s="2252"/>
      <c r="AR31" s="2252"/>
      <c r="AS31" s="5239"/>
      <c r="AT31" s="327"/>
      <c r="AU31" s="281"/>
      <c r="AV31" s="369"/>
      <c r="AW31" s="369"/>
      <c r="AX31" s="369"/>
      <c r="AY31" s="369"/>
      <c r="AZ31" s="369"/>
      <c r="BA31" s="419">
        <v>0</v>
      </c>
    </row>
    <row s="1854" customFormat="1" customHeight="1" ht="18.75">
      <c r="A32" s="1369"/>
      <c r="B32" s="1369"/>
      <c r="C32" s="1369"/>
      <c r="D32" s="1369"/>
      <c r="E32" s="1369"/>
      <c r="F32" s="1369"/>
      <c r="G32" s="1369"/>
      <c r="H32" s="1369"/>
      <c r="I32" s="1369"/>
      <c r="J32" s="1369"/>
      <c r="K32" s="1369"/>
      <c r="L32" s="1370"/>
      <c r="M32" s="1369"/>
      <c r="N32" s="1369"/>
      <c r="O32" s="1369"/>
      <c r="S32" s="2251" t="s">
        <v>44</v>
      </c>
      <c r="T32" s="2251"/>
      <c r="U32" s="1373"/>
      <c r="V32" s="2252" t="str">
        <f>IF(TITLE_IST_PUB_CHANGE="",IF(TITLE_IST_PUB="","",TITLE_IST_PUB),TITLE_IST_PUB_CHANGE)</f>
        <v>Официальный электронный бюллетень Правительства Мурманской области</v>
      </c>
      <c r="W32" s="2252"/>
      <c r="X32" s="2252"/>
      <c r="Y32" s="2252"/>
      <c r="Z32" s="2252"/>
      <c r="AA32" s="2252"/>
      <c r="AB32" s="2252"/>
      <c r="AC32" s="327"/>
      <c r="AD32" s="2252" t="str">
        <f>IF(TITLE_IST_PUB_CHANGE="",IF(TITLE_IST_PUB="","",TITLE_IST_PUB),TITLE_IST_PUB_CHANGE)</f>
        <v>Официальный электронный бюллетень Правительства Мурманской области</v>
      </c>
      <c r="AE32" s="2252"/>
      <c r="AF32" s="2252"/>
      <c r="AG32" s="2252"/>
      <c r="AH32" s="2252"/>
      <c r="AI32" s="2252"/>
      <c r="AJ32" s="2252"/>
      <c r="AK32" s="327"/>
      <c r="AL32" s="2252" t="str">
        <f>IF(TITLE_IST_PUB_CHANGE="",IF(TITLE_IST_PUB="","",TITLE_IST_PUB),TITLE_IST_PUB_CHANGE)</f>
        <v>Официальный электронный бюллетень Правительства Мурманской области</v>
      </c>
      <c r="AM32" s="2252"/>
      <c r="AN32" s="2252"/>
      <c r="AO32" s="2252"/>
      <c r="AP32" s="2252"/>
      <c r="AQ32" s="2252"/>
      <c r="AR32" s="2252"/>
      <c r="AS32" s="5239"/>
      <c r="AT32" s="327"/>
      <c r="AU32" s="281"/>
      <c r="AV32" s="369"/>
      <c r="AW32" s="369"/>
      <c r="AX32" s="369"/>
      <c r="AY32" s="369"/>
      <c r="AZ32" s="369"/>
      <c r="BA32" s="419">
        <v>0</v>
      </c>
    </row>
    <row customHeight="1" ht="14.25" hidden="1">
      <c r="Q33" s="377"/>
      <c r="R33" s="377"/>
      <c r="S33" s="1276"/>
      <c r="T33" s="364"/>
      <c r="U33" s="364"/>
      <c r="V33" s="323"/>
      <c r="W33" s="323"/>
      <c r="X33" s="323"/>
      <c r="Y33" s="323"/>
      <c r="Z33" s="323"/>
      <c r="AA33" s="323"/>
      <c r="AB33" s="323"/>
      <c r="AC33" s="323"/>
      <c r="AD33" s="323"/>
      <c r="AE33" s="323"/>
      <c r="AF33" s="323"/>
      <c r="AG33" s="323"/>
      <c r="AH33" s="323"/>
      <c r="AI33" s="323"/>
      <c r="AJ33" s="323"/>
      <c r="AK33" s="323"/>
      <c r="AL33" s="323"/>
      <c r="AM33" s="323"/>
      <c r="AN33" s="323"/>
      <c r="AO33" s="323"/>
      <c r="AP33" s="323"/>
      <c r="AQ33" s="323"/>
      <c r="AR33" s="323"/>
      <c r="AS33" s="5252"/>
      <c r="AT33" s="510"/>
      <c r="BA33" s="1156">
        <v>0</v>
      </c>
    </row>
    <row s="1854" customFormat="1" customHeight="1" ht="18.75" hidden="1">
      <c r="A34" s="1369"/>
      <c r="B34" s="1369"/>
      <c r="C34" s="1369"/>
      <c r="D34" s="1369"/>
      <c r="E34" s="1369"/>
      <c r="F34" s="1369"/>
      <c r="G34" s="1369"/>
      <c r="H34" s="1369"/>
      <c r="I34" s="1369"/>
      <c r="J34" s="1369"/>
      <c r="K34" s="1369"/>
      <c r="L34" s="1370"/>
      <c r="M34" s="1369"/>
      <c r="N34" s="1369"/>
      <c r="O34" s="1369"/>
      <c r="S34" s="2251" t="s">
        <v>552</v>
      </c>
      <c r="T34" s="2251"/>
      <c r="U34" s="1373"/>
      <c r="V34" s="2265" t="str">
        <f>IF(TITLE_DATE_PR_CHANGE="",IF(TITLE_DATE_PR="","",TITLE_DATE_PR),TITLE_DATE_PR_CHANGE)</f>
        <v>46010</v>
      </c>
      <c r="W34" s="2265"/>
      <c r="X34" s="2265"/>
      <c r="Y34" s="2265"/>
      <c r="Z34" s="2265"/>
      <c r="AA34" s="2265"/>
      <c r="AB34" s="2265"/>
      <c r="AC34" s="327"/>
      <c r="AD34" s="2265" t="str">
        <f>IF(TITLE_DATE_PR_CHANGE="",IF(TITLE_DATE_PR="","",TITLE_DATE_PR),TITLE_DATE_PR_CHANGE)</f>
        <v>46010</v>
      </c>
      <c r="AE34" s="2265"/>
      <c r="AF34" s="2265"/>
      <c r="AG34" s="2265"/>
      <c r="AH34" s="2265"/>
      <c r="AI34" s="2265"/>
      <c r="AJ34" s="2265"/>
      <c r="AK34" s="327"/>
      <c r="AL34" s="2265" t="str">
        <f>IF(TITLE_DATE_PR_CHANGE="",IF(TITLE_DATE_PR="","",TITLE_DATE_PR),TITLE_DATE_PR_CHANGE)</f>
        <v>46010</v>
      </c>
      <c r="AM34" s="2265"/>
      <c r="AN34" s="2265"/>
      <c r="AO34" s="2265"/>
      <c r="AP34" s="2265"/>
      <c r="AQ34" s="2265"/>
      <c r="AR34" s="2265"/>
      <c r="AS34" s="5239"/>
      <c r="AT34" s="327"/>
      <c r="AU34" s="281"/>
      <c r="AV34" s="369"/>
      <c r="AW34" s="369"/>
      <c r="AX34" s="369"/>
      <c r="AY34" s="369"/>
      <c r="AZ34" s="369"/>
      <c r="BA34" s="419">
        <v>0</v>
      </c>
    </row>
    <row s="1854" customFormat="1" customHeight="1" ht="18.75" hidden="1">
      <c r="A35" s="1369"/>
      <c r="B35" s="1369"/>
      <c r="C35" s="1369"/>
      <c r="D35" s="1369"/>
      <c r="E35" s="1369"/>
      <c r="F35" s="1369"/>
      <c r="G35" s="1369"/>
      <c r="H35" s="1369"/>
      <c r="I35" s="1369"/>
      <c r="J35" s="1369"/>
      <c r="K35" s="1369"/>
      <c r="L35" s="1370"/>
      <c r="M35" s="1369"/>
      <c r="N35" s="1369"/>
      <c r="O35" s="1369"/>
      <c r="S35" s="2251" t="s">
        <v>553</v>
      </c>
      <c r="T35" s="2251"/>
      <c r="U35" s="1373"/>
      <c r="V35" s="2252" t="str">
        <f>IF(TITLE_NUMBER_PR_CHANGE="",IF(TITLE_NUMBER_PR="","",TITLE_NUMBER_PR),TITLE_NUMBER_PR_CHANGE)</f>
        <v>53/77; 53/49</v>
      </c>
      <c r="W35" s="2252"/>
      <c r="X35" s="2252"/>
      <c r="Y35" s="2252"/>
      <c r="Z35" s="2252"/>
      <c r="AA35" s="2252"/>
      <c r="AB35" s="2252"/>
      <c r="AC35" s="327"/>
      <c r="AD35" s="2252" t="str">
        <f>IF(TITLE_NUMBER_PR_CHANGE="",IF(TITLE_NUMBER_PR="","",TITLE_NUMBER_PR),TITLE_NUMBER_PR_CHANGE)</f>
        <v>53/77; 53/49</v>
      </c>
      <c r="AE35" s="2252"/>
      <c r="AF35" s="2252"/>
      <c r="AG35" s="2252"/>
      <c r="AH35" s="2252"/>
      <c r="AI35" s="2252"/>
      <c r="AJ35" s="2252"/>
      <c r="AK35" s="327"/>
      <c r="AL35" s="2252" t="str">
        <f>IF(TITLE_NUMBER_PR_CHANGE="",IF(TITLE_NUMBER_PR="","",TITLE_NUMBER_PR),TITLE_NUMBER_PR_CHANGE)</f>
        <v>53/77; 53/49</v>
      </c>
      <c r="AM35" s="2252"/>
      <c r="AN35" s="2252"/>
      <c r="AO35" s="2252"/>
      <c r="AP35" s="2252"/>
      <c r="AQ35" s="2252"/>
      <c r="AR35" s="2252"/>
      <c r="AS35" s="5239"/>
      <c r="AT35" s="327"/>
      <c r="AU35" s="281"/>
      <c r="AV35" s="369"/>
      <c r="AW35" s="369"/>
      <c r="AX35" s="369"/>
      <c r="AY35" s="369"/>
      <c r="AZ35" s="369"/>
      <c r="BA35" s="419">
        <v>0</v>
      </c>
    </row>
    <row s="1854" customFormat="1" customHeight="1" ht="0">
      <c r="A36" s="1369"/>
      <c r="B36" s="1369"/>
      <c r="C36" s="1369"/>
      <c r="D36" s="1369"/>
      <c r="E36" s="1369"/>
      <c r="F36" s="1369"/>
      <c r="G36" s="1369"/>
      <c r="H36" s="1369"/>
      <c r="I36" s="1369"/>
      <c r="J36" s="1369"/>
      <c r="K36" s="1369"/>
      <c r="L36" s="1370"/>
      <c r="M36" s="1369"/>
      <c r="N36" s="1369"/>
      <c r="O36" s="1369"/>
      <c r="S36" s="324"/>
      <c r="T36" s="324"/>
      <c r="U36" s="1341"/>
      <c r="V36" s="327"/>
      <c r="W36" s="327"/>
      <c r="X36" s="327"/>
      <c r="Y36" s="327"/>
      <c r="Z36" s="327"/>
      <c r="AA36" s="327"/>
      <c r="AB36" s="327"/>
      <c r="AC36" s="279" t="s">
        <v>554</v>
      </c>
      <c r="AD36" s="327"/>
      <c r="AE36" s="327"/>
      <c r="AF36" s="327"/>
      <c r="AG36" s="327"/>
      <c r="AH36" s="327"/>
      <c r="AI36" s="327"/>
      <c r="AJ36" s="327"/>
      <c r="AK36" s="279" t="s">
        <v>554</v>
      </c>
      <c r="AL36" s="1636"/>
      <c r="AM36" s="1636"/>
      <c r="AN36" s="1636"/>
      <c r="AO36" s="1636"/>
      <c r="AP36" s="1636"/>
      <c r="AQ36" s="1636"/>
      <c r="AR36" s="1636"/>
      <c r="AS36" s="5253" t="s">
        <v>554</v>
      </c>
      <c r="AV36" s="369"/>
      <c r="AW36" s="369"/>
      <c r="AX36" s="369"/>
      <c r="AY36" s="369"/>
      <c r="AZ36" s="369"/>
      <c r="BA36" s="419">
        <v>0</v>
      </c>
    </row>
    <row customHeight="1" ht="14.699999999999998">
      <c r="Q37" s="377"/>
      <c r="R37" s="377"/>
      <c r="S37" s="1276"/>
      <c r="T37" s="364"/>
      <c r="U37" s="1245"/>
      <c r="V37" s="2253"/>
      <c r="W37" s="2253"/>
      <c r="X37" s="2253"/>
      <c r="Y37" s="2253"/>
      <c r="Z37" s="2253"/>
      <c r="AA37" s="2253"/>
      <c r="AB37" s="2253"/>
      <c r="AC37" s="2253"/>
      <c r="AD37" s="2253"/>
      <c r="AE37" s="2253"/>
      <c r="AF37" s="2253"/>
      <c r="AG37" s="2253"/>
      <c r="AH37" s="2253"/>
      <c r="AI37" s="2253"/>
      <c r="AJ37" s="2253"/>
      <c r="AK37" s="2253"/>
      <c r="AL37" s="2253" t="s">
        <v>108</v>
      </c>
      <c r="AM37" s="2253"/>
      <c r="AN37" s="2253"/>
      <c r="AO37" s="2253"/>
      <c r="AP37" s="2253"/>
      <c r="AQ37" s="2253"/>
      <c r="AR37" s="2253"/>
      <c r="AS37" s="5254"/>
      <c r="BA37" s="1156">
        <v>14</v>
      </c>
    </row>
    <row customHeight="1" ht="15">
      <c r="Q38" s="377"/>
      <c r="R38" s="377"/>
      <c r="S38" s="2128" t="s">
        <v>430</v>
      </c>
      <c r="T38" s="2128"/>
      <c r="U38" s="2128"/>
      <c r="V38" s="2128"/>
      <c r="W38" s="2128"/>
      <c r="X38" s="2128"/>
      <c r="Y38" s="2128"/>
      <c r="Z38" s="2128"/>
      <c r="AA38" s="2128"/>
      <c r="AB38" s="2128"/>
      <c r="AC38" s="2128"/>
      <c r="AD38" s="2128"/>
      <c r="AE38" s="2128"/>
      <c r="AF38" s="2128"/>
      <c r="AG38" s="2128"/>
      <c r="AH38" s="2128"/>
      <c r="AI38" s="2128"/>
      <c r="AJ38" s="2128"/>
      <c r="AK38" s="2128"/>
      <c r="AL38" s="2313" t="s">
        <v>430</v>
      </c>
      <c r="AM38" s="2313"/>
      <c r="AN38" s="2313"/>
      <c r="AO38" s="2313"/>
      <c r="AP38" s="2313"/>
      <c r="AQ38" s="2313"/>
      <c r="AR38" s="2313"/>
      <c r="AS38" s="5255"/>
      <c r="AT38" s="2128"/>
      <c r="AU38" s="2128"/>
      <c r="BA38" s="1156"/>
    </row>
    <row customHeight="1" ht="14.699999999999998">
      <c r="Q39" s="377"/>
      <c r="R39" s="377"/>
      <c r="S39" s="2274" t="s">
        <v>92</v>
      </c>
      <c r="T39" s="2210" t="s">
        <v>555</v>
      </c>
      <c r="U39" s="302"/>
      <c r="V39" s="2275" t="s">
        <v>556</v>
      </c>
      <c r="W39" s="2276"/>
      <c r="X39" s="2276"/>
      <c r="Y39" s="2276"/>
      <c r="Z39" s="2276"/>
      <c r="AA39" s="2276"/>
      <c r="AB39" s="2277"/>
      <c r="AC39" s="2278" t="s">
        <v>557</v>
      </c>
      <c r="AD39" s="2275" t="s">
        <v>556</v>
      </c>
      <c r="AE39" s="2276"/>
      <c r="AF39" s="2276"/>
      <c r="AG39" s="2276"/>
      <c r="AH39" s="2276"/>
      <c r="AI39" s="2276"/>
      <c r="AJ39" s="2277"/>
      <c r="AK39" s="2278" t="s">
        <v>558</v>
      </c>
      <c r="AL39" s="2400" t="s">
        <v>556</v>
      </c>
      <c r="AM39" s="2401"/>
      <c r="AN39" s="2401"/>
      <c r="AO39" s="2401"/>
      <c r="AP39" s="2401"/>
      <c r="AQ39" s="2401"/>
      <c r="AR39" s="2402"/>
      <c r="AS39" s="5256" t="s">
        <v>557</v>
      </c>
      <c r="AT39" s="2281" t="s">
        <v>559</v>
      </c>
      <c r="AU39" s="2128"/>
      <c r="BA39" s="1156">
        <v>14</v>
      </c>
    </row>
    <row customHeight="1" ht="35.699999999999996">
      <c r="Q40" s="377"/>
      <c r="R40" s="377"/>
      <c r="S40" s="2274"/>
      <c r="T40" s="2210"/>
      <c r="U40" s="1032"/>
      <c r="V40" s="2261" t="s">
        <v>560</v>
      </c>
      <c r="W40" s="2284" t="s">
        <v>561</v>
      </c>
      <c r="X40" s="2263" t="s">
        <v>562</v>
      </c>
      <c r="Y40" s="2264"/>
      <c r="Z40" s="2263" t="s">
        <v>579</v>
      </c>
      <c r="AA40" s="2270"/>
      <c r="AB40" s="2264"/>
      <c r="AC40" s="2279"/>
      <c r="AD40" s="2261" t="s">
        <v>560</v>
      </c>
      <c r="AE40" s="2284" t="s">
        <v>561</v>
      </c>
      <c r="AF40" s="2263" t="s">
        <v>562</v>
      </c>
      <c r="AG40" s="2264"/>
      <c r="AH40" s="2263" t="s">
        <v>563</v>
      </c>
      <c r="AI40" s="2270"/>
      <c r="AJ40" s="2264"/>
      <c r="AK40" s="2279"/>
      <c r="AL40" s="2261" t="s">
        <v>560</v>
      </c>
      <c r="AM40" s="2611" t="s">
        <v>561</v>
      </c>
      <c r="AN40" s="2263" t="s">
        <v>562</v>
      </c>
      <c r="AO40" s="2264"/>
      <c r="AP40" s="2263" t="s">
        <v>579</v>
      </c>
      <c r="AQ40" s="2270"/>
      <c r="AR40" s="2264"/>
      <c r="AS40" s="5257"/>
      <c r="AT40" s="2282"/>
      <c r="AU40" s="2128"/>
      <c r="BA40" s="1156">
        <v>34</v>
      </c>
    </row>
    <row customHeight="1" ht="35.699999999999996">
      <c r="A41" s="1371"/>
      <c r="B41" s="1371" t="s">
        <v>148</v>
      </c>
      <c r="C41" s="1371" t="s">
        <v>149</v>
      </c>
      <c r="D41" s="1371" t="s">
        <v>150</v>
      </c>
      <c r="E41" s="1365" t="s">
        <v>564</v>
      </c>
      <c r="F41" s="1365" t="s">
        <v>565</v>
      </c>
      <c r="G41" s="1365" t="s">
        <v>566</v>
      </c>
      <c r="H41" s="1365" t="s">
        <v>567</v>
      </c>
      <c r="I41" s="1365" t="s">
        <v>568</v>
      </c>
      <c r="J41" s="1365" t="s">
        <v>569</v>
      </c>
      <c r="K41" s="1365" t="s">
        <v>570</v>
      </c>
      <c r="L41" s="1365" t="s">
        <v>545</v>
      </c>
      <c r="Q41" s="377"/>
      <c r="R41" s="377"/>
      <c r="S41" s="2274"/>
      <c r="T41" s="2210"/>
      <c r="U41" s="303"/>
      <c r="V41" s="2262"/>
      <c r="W41" s="2285"/>
      <c r="X41" s="1223" t="s">
        <v>571</v>
      </c>
      <c r="Y41" s="1223" t="s">
        <v>572</v>
      </c>
      <c r="Z41" s="1339" t="s">
        <v>573</v>
      </c>
      <c r="AA41" s="2271" t="s">
        <v>574</v>
      </c>
      <c r="AB41" s="2272"/>
      <c r="AC41" s="2280"/>
      <c r="AD41" s="2262"/>
      <c r="AE41" s="2285"/>
      <c r="AF41" s="1223" t="s">
        <v>571</v>
      </c>
      <c r="AG41" s="1223" t="s">
        <v>572</v>
      </c>
      <c r="AH41" s="1339" t="s">
        <v>573</v>
      </c>
      <c r="AI41" s="2271" t="s">
        <v>574</v>
      </c>
      <c r="AJ41" s="2272"/>
      <c r="AK41" s="2280"/>
      <c r="AL41" s="2262"/>
      <c r="AM41" s="2285"/>
      <c r="AN41" s="2578" t="s">
        <v>571</v>
      </c>
      <c r="AO41" s="2578" t="s">
        <v>572</v>
      </c>
      <c r="AP41" s="2578" t="s">
        <v>573</v>
      </c>
      <c r="AQ41" s="2271" t="s">
        <v>574</v>
      </c>
      <c r="AR41" s="2272"/>
      <c r="AS41" s="5258"/>
      <c r="AT41" s="2283"/>
      <c r="AU41" s="2128"/>
      <c r="BA41" s="1156">
        <v>34</v>
      </c>
    </row>
    <row s="1642" customFormat="1" customHeight="1" ht="11.25" hidden="1">
      <c r="A42" s="1371"/>
      <c r="B42" s="1371"/>
      <c r="C42" s="1371"/>
      <c r="D42" s="1371"/>
      <c r="E42" s="1371"/>
      <c r="F42" s="1371"/>
      <c r="G42" s="1371"/>
      <c r="H42" s="1371"/>
      <c r="I42" s="1371"/>
      <c r="J42" s="1371"/>
      <c r="K42" s="1371"/>
      <c r="L42" s="1365"/>
      <c r="M42" s="1363"/>
      <c r="N42" s="1363"/>
      <c r="O42" s="1363"/>
      <c r="P42" s="1247"/>
      <c r="Q42" s="1248"/>
      <c r="R42" s="1255">
        <v>1</v>
      </c>
      <c r="S42" s="1278" t="s">
        <v>123</v>
      </c>
      <c r="T42" s="1256" t="s">
        <v>107</v>
      </c>
      <c r="U42" s="1246" t="str">
        <f>OFFSET(U42,0,-1)</f>
        <v>2</v>
      </c>
      <c r="V42" s="1336">
        <f>OFFSET(V42,0,-1)+1</f>
        <v>3</v>
      </c>
      <c r="W42" s="1336"/>
      <c r="X42" s="1336">
        <f>OFFSET(X42,0,-1)+1</f>
        <v>1</v>
      </c>
      <c r="Y42" s="1336">
        <f>OFFSET(Y42,0,-1)+1</f>
        <v>2</v>
      </c>
      <c r="Z42" s="1336">
        <f>OFFSET(Z42,0,-1)+1</f>
        <v>3</v>
      </c>
      <c r="AA42" s="2273">
        <f>OFFSET(AA42,0,-1)+1</f>
        <v>4</v>
      </c>
      <c r="AB42" s="2273"/>
      <c r="AC42" s="1336">
        <f>OFFSET(AC42,0,-2)+1</f>
        <v>5</v>
      </c>
      <c r="AD42" s="1336">
        <f>OFFSET(AD42,0,-1)+1</f>
        <v>6</v>
      </c>
      <c r="AE42" s="1336"/>
      <c r="AF42" s="1336">
        <f>OFFSET(AF42,0,-1)+1</f>
        <v>1</v>
      </c>
      <c r="AG42" s="1336">
        <f>OFFSET(AG42,0,-1)+1</f>
        <v>2</v>
      </c>
      <c r="AH42" s="1336">
        <f>OFFSET(AH42,0,-1)+1</f>
        <v>3</v>
      </c>
      <c r="AI42" s="2273">
        <f>OFFSET(AI42,0,-1)+1</f>
        <v>4</v>
      </c>
      <c r="AJ42" s="2273"/>
      <c r="AK42" s="1336">
        <f>OFFSET(AK42,0,-2)+1</f>
        <v>5</v>
      </c>
      <c r="AL42" s="2273">
        <f>OFFSET(AL42,0,-1)+1</f>
        <v>6</v>
      </c>
      <c r="AM42" s="2273"/>
      <c r="AN42" s="2273">
        <f>OFFSET(AN42,0,-1)+1</f>
        <v>1</v>
      </c>
      <c r="AO42" s="2273">
        <f>OFFSET(AO42,0,-1)+1</f>
        <v>2</v>
      </c>
      <c r="AP42" s="2273">
        <f>OFFSET(AP42,0,-1)+1</f>
        <v>3</v>
      </c>
      <c r="AQ42" s="2273">
        <f>OFFSET(AQ42,0,-1)+1</f>
        <v>4</v>
      </c>
      <c r="AR42" s="2273"/>
      <c r="AS42" s="5259">
        <f>OFFSET(AS42,0,-2)+1</f>
        <v>5</v>
      </c>
      <c r="AT42" s="1246">
        <f>OFFSET(AT42,0,-1)</f>
        <v>5</v>
      </c>
      <c r="AU42" s="1336">
        <f>OFFSET(AU42,0,-1)+1</f>
        <v>6</v>
      </c>
      <c r="AV42" s="512"/>
      <c r="AW42" s="512"/>
      <c r="AX42" s="512"/>
      <c r="AY42" s="512"/>
      <c r="AZ42" s="512"/>
      <c r="BA42" s="497">
        <v>0</v>
      </c>
    </row>
    <row customHeight="1" ht="54.75">
      <c r="A43" s="1364" t="s">
        <v>229</v>
      </c>
      <c r="B43" s="1364"/>
      <c r="C43" s="1364"/>
      <c r="D43" s="1364"/>
      <c r="E43" s="2259">
        <v>1</v>
      </c>
      <c r="F43" s="1364"/>
      <c r="G43" s="1364"/>
      <c r="H43" s="1364"/>
      <c r="I43" s="1364"/>
      <c r="J43" s="1364"/>
      <c r="K43" s="1364"/>
      <c r="L43" s="1365"/>
      <c r="M43" s="1366"/>
      <c r="N43" s="1366"/>
      <c r="O43" s="1366"/>
      <c r="P43" s="362"/>
      <c r="Q43" s="361"/>
      <c r="R43" s="356"/>
      <c r="S43" s="1337">
        <f>INDEX(PT_DIFFERENTIATION_NUM_NTAR,MATCH(A43,PT_DIFFERENTIATION_NTAR_ID,0))</f>
        <v>1</v>
      </c>
      <c r="T43" s="299" t="s">
        <v>136</v>
      </c>
      <c r="U43" s="301"/>
      <c r="V43" s="2243"/>
      <c r="W43" s="2244"/>
      <c r="X43" s="2244"/>
      <c r="Y43" s="2244"/>
      <c r="Z43" s="2244"/>
      <c r="AA43" s="2244"/>
      <c r="AB43" s="2244"/>
      <c r="AC43" s="2245"/>
      <c r="AD43" s="2243" t="str">
        <f>INDEX(PT_DIFFERENTIATION_NTAR,MATCH(A43,PT_DIFFERENTIATION_NTAR_ID,0))</f>
        <v>Льготные тарифы на тепловую энергию, поставляемую группе потребителей "население". Для потребителей, в случае отсутствия дифференциации тарифов по схеме подключения. Населенный пункт Раякоски Печенгского муниципального округа Мурманской области
</v>
      </c>
      <c r="AE43" s="2244"/>
      <c r="AF43" s="2244"/>
      <c r="AG43" s="2244"/>
      <c r="AH43" s="2244"/>
      <c r="AI43" s="2244"/>
      <c r="AJ43" s="2244"/>
      <c r="AK43" s="2244"/>
      <c r="AL43" s="2243"/>
      <c r="AM43" s="2244"/>
      <c r="AN43" s="2244"/>
      <c r="AO43" s="2244"/>
      <c r="AP43" s="2244"/>
      <c r="AQ43" s="2244"/>
      <c r="AR43" s="2244"/>
      <c r="AS43" s="5240"/>
      <c r="AT43" s="2245"/>
      <c r="AU43" s="1259"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цены на тепловую энергию (мощность), включая правила индексации предельного уровня цены на тепловую энергию (мощность), 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определяемого в соответствии с указанными 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 (тарифа), источник официального опубликования решения об установлении цены (тарифа) в сфере теплоснабжения.</v>
      </c>
      <c r="AW43" s="501"/>
      <c r="AX43" s="501" t="str">
        <f>IF(T43="","",T43)</f>
        <v>Наименование тарифа</v>
      </c>
      <c r="AY43" s="501"/>
      <c r="AZ43" s="501"/>
      <c r="BA43" s="1156">
        <v>21</v>
      </c>
    </row>
    <row customHeight="1" ht="22.049999999999997">
      <c r="A44" s="1364" t="s">
        <v>229</v>
      </c>
      <c r="B44" s="1364" t="s">
        <v>230</v>
      </c>
      <c r="C44" s="1364"/>
      <c r="D44" s="1364"/>
      <c r="E44" s="2260"/>
      <c r="F44" s="2259">
        <v>1</v>
      </c>
      <c r="G44" s="1364"/>
      <c r="H44" s="1364"/>
      <c r="I44" s="1364"/>
      <c r="J44" s="1364"/>
      <c r="K44" s="1364"/>
      <c r="L44" s="1365"/>
      <c r="M44" s="1366"/>
      <c r="N44" s="1366"/>
      <c r="O44" s="1366"/>
      <c r="P44" s="1333"/>
      <c r="Q44" s="353"/>
      <c r="R44" s="354"/>
      <c r="S44" s="1337" t="str">
        <f>INDEX(PT_DIFFERENTIATION_NUM_TER,MATCH(B44,PT_DIFFERENTIATION_TER_ID,0))</f>
        <v>1.1</v>
      </c>
      <c r="T44" s="309" t="s">
        <v>527</v>
      </c>
      <c r="U44" s="301"/>
      <c r="V44" s="2243"/>
      <c r="W44" s="2244"/>
      <c r="X44" s="2244"/>
      <c r="Y44" s="2244"/>
      <c r="Z44" s="2244"/>
      <c r="AA44" s="2244"/>
      <c r="AB44" s="2244"/>
      <c r="AC44" s="2245"/>
      <c r="AD44" s="2243" t="str">
        <f>INDEX(PT_DIFFERENTIATION_TER,MATCH(B44,PT_DIFFERENTIATION_TER_ID,0))</f>
        <v>Территория 3</v>
      </c>
      <c r="AE44" s="2244"/>
      <c r="AF44" s="2244"/>
      <c r="AG44" s="2244"/>
      <c r="AH44" s="2244"/>
      <c r="AI44" s="2244"/>
      <c r="AJ44" s="2244"/>
      <c r="AK44" s="2244"/>
      <c r="AL44" s="2243"/>
      <c r="AM44" s="2244"/>
      <c r="AN44" s="2244"/>
      <c r="AO44" s="2244"/>
      <c r="AP44" s="2244"/>
      <c r="AQ44" s="2244"/>
      <c r="AR44" s="2244"/>
      <c r="AS44" s="5240"/>
      <c r="AT44" s="2245"/>
      <c r="AU44" s="1259" t="s">
        <v>528</v>
      </c>
      <c r="AW44" s="501"/>
      <c r="AX44" s="501" t="str">
        <f>IF(T44="","",T44)</f>
        <v>Территория действия тарифа</v>
      </c>
      <c r="AY44" s="501"/>
      <c r="AZ44" s="501"/>
      <c r="BA44" s="1156">
        <v>21</v>
      </c>
    </row>
    <row customHeight="1" ht="24">
      <c r="A45" s="1364" t="s">
        <v>229</v>
      </c>
      <c r="B45" s="1364" t="s">
        <v>230</v>
      </c>
      <c r="C45" s="1364" t="s">
        <v>231</v>
      </c>
      <c r="D45" s="1364"/>
      <c r="E45" s="2260"/>
      <c r="F45" s="2260"/>
      <c r="G45" s="2259">
        <v>1</v>
      </c>
      <c r="H45" s="1364"/>
      <c r="I45" s="1364"/>
      <c r="J45" s="1364"/>
      <c r="K45" s="1364"/>
      <c r="L45" s="1365"/>
      <c r="M45" s="1366"/>
      <c r="N45" s="1366"/>
      <c r="O45" s="1366"/>
      <c r="P45" s="355"/>
      <c r="Q45" s="353"/>
      <c r="R45" s="354"/>
      <c r="S45" s="1337" t="str">
        <f>INDEX(PT_DIFFERENTIATION_NUM_CS,MATCH(C45,PT_DIFFERENTIATION_CS_ID,0))</f>
        <v>1.1.1</v>
      </c>
      <c r="T45" s="310" t="s">
        <v>529</v>
      </c>
      <c r="U45" s="301"/>
      <c r="V45" s="2243"/>
      <c r="W45" s="2244"/>
      <c r="X45" s="2244"/>
      <c r="Y45" s="2244"/>
      <c r="Z45" s="2244"/>
      <c r="AA45" s="2244"/>
      <c r="AB45" s="2244"/>
      <c r="AC45" s="2245"/>
      <c r="AD45" s="2243" t="str">
        <f>INDEX(PT_DIFFERENTIATION_CS,MATCH(C45,PT_DIFFERENTIATION_CS_ID,0))</f>
        <v>закрытая система теплоснабжения нп Раякоски</v>
      </c>
      <c r="AE45" s="2244"/>
      <c r="AF45" s="2244"/>
      <c r="AG45" s="2244"/>
      <c r="AH45" s="2244"/>
      <c r="AI45" s="2244"/>
      <c r="AJ45" s="2244"/>
      <c r="AK45" s="2244"/>
      <c r="AL45" s="2243"/>
      <c r="AM45" s="2244"/>
      <c r="AN45" s="2244"/>
      <c r="AO45" s="2244"/>
      <c r="AP45" s="2244"/>
      <c r="AQ45" s="2244"/>
      <c r="AR45" s="2244"/>
      <c r="AS45" s="5240"/>
      <c r="AT45" s="2245"/>
      <c r="AU45" s="1259" t="s">
        <v>530</v>
      </c>
      <c r="AW45" s="501"/>
      <c r="AX45" s="501" t="str">
        <f>IF(T45="","",T45)</f>
        <v>Наименование системы теплоснабжения </v>
      </c>
      <c r="AY45" s="501"/>
      <c r="AZ45" s="501"/>
      <c r="BA45" s="1156">
        <v>23</v>
      </c>
    </row>
    <row customHeight="1" ht="22.049999999999997">
      <c r="A46" s="1364" t="s">
        <v>229</v>
      </c>
      <c r="B46" s="1364" t="s">
        <v>230</v>
      </c>
      <c r="C46" s="1364" t="s">
        <v>231</v>
      </c>
      <c r="D46" s="1364" t="s">
        <v>232</v>
      </c>
      <c r="E46" s="2260"/>
      <c r="F46" s="2260"/>
      <c r="G46" s="2260"/>
      <c r="H46" s="2259">
        <v>1</v>
      </c>
      <c r="I46" s="1364"/>
      <c r="J46" s="1364"/>
      <c r="K46" s="1364"/>
      <c r="L46" s="1365"/>
      <c r="M46" s="1366"/>
      <c r="N46" s="1366"/>
      <c r="O46" s="1366"/>
      <c r="P46" s="355"/>
      <c r="Q46" s="353"/>
      <c r="R46" s="354"/>
      <c r="S46" s="1337" t="str">
        <f>INDEX(PT_DIFFERENTIATION_NUM_IST_TE,MATCH(D46,PT_DIFFERENTIATION_IST_TE_ID,0))</f>
        <v>1.1.1.1</v>
      </c>
      <c r="T46" s="311" t="s">
        <v>531</v>
      </c>
      <c r="U46" s="301"/>
      <c r="V46" s="2243"/>
      <c r="W46" s="2244"/>
      <c r="X46" s="2244"/>
      <c r="Y46" s="2244"/>
      <c r="Z46" s="2244"/>
      <c r="AA46" s="2244"/>
      <c r="AB46" s="2244"/>
      <c r="AC46" s="2245"/>
      <c r="AD46" s="2243" t="str">
        <f>INDEX(PT_DIFFERENTIATION_IST_TE,MATCH(D46,PT_DIFFERENTIATION_IST_TE_ID,0))</f>
        <v>Электрокотельные нп Раякоски</v>
      </c>
      <c r="AE46" s="2244"/>
      <c r="AF46" s="2244"/>
      <c r="AG46" s="2244"/>
      <c r="AH46" s="2244"/>
      <c r="AI46" s="2244"/>
      <c r="AJ46" s="2244"/>
      <c r="AK46" s="2244"/>
      <c r="AL46" s="2243"/>
      <c r="AM46" s="2244"/>
      <c r="AN46" s="2244"/>
      <c r="AO46" s="2244"/>
      <c r="AP46" s="2244"/>
      <c r="AQ46" s="2244"/>
      <c r="AR46" s="2244"/>
      <c r="AS46" s="5240"/>
      <c r="AT46" s="2245"/>
      <c r="AU46" s="1259" t="s">
        <v>532</v>
      </c>
      <c r="AW46" s="501"/>
      <c r="AX46" s="501" t="str">
        <f>IF(T46="","",T46)</f>
        <v>Источник тепловой энергии  </v>
      </c>
      <c r="AY46" s="501"/>
      <c r="AZ46" s="501"/>
      <c r="BA46" s="1156">
        <v>21</v>
      </c>
    </row>
    <row customHeight="1" ht="49.5">
      <c r="A47" s="1364" t="s">
        <v>229</v>
      </c>
      <c r="B47" s="1364" t="s">
        <v>230</v>
      </c>
      <c r="C47" s="1364" t="s">
        <v>231</v>
      </c>
      <c r="D47" s="1364" t="s">
        <v>232</v>
      </c>
      <c r="E47" s="2260"/>
      <c r="F47" s="2260"/>
      <c r="G47" s="2260"/>
      <c r="H47" s="2260"/>
      <c r="I47" s="2257" t="str">
        <f>S46&amp;".1"</f>
        <v>1.1.1.1.1</v>
      </c>
      <c r="J47" s="1364"/>
      <c r="K47" s="1364"/>
      <c r="L47" s="1365" t="s">
        <v>533</v>
      </c>
      <c r="P47" s="2258">
        <v>1</v>
      </c>
      <c r="Q47" s="1332"/>
      <c r="R47" s="357"/>
      <c r="S47" s="1337" t="str">
        <f>$I47</f>
        <v>1.1.1.1.1</v>
      </c>
      <c r="T47" s="286" t="s">
        <v>534</v>
      </c>
      <c r="U47" s="301"/>
      <c r="V47" s="2246"/>
      <c r="W47" s="2247"/>
      <c r="X47" s="2247"/>
      <c r="Y47" s="2247"/>
      <c r="Z47" s="2247"/>
      <c r="AA47" s="2247"/>
      <c r="AB47" s="2247"/>
      <c r="AC47" s="2248"/>
      <c r="AD47" s="2246" t="s">
        <v>576</v>
      </c>
      <c r="AE47" s="2247"/>
      <c r="AF47" s="2247"/>
      <c r="AG47" s="2247"/>
      <c r="AH47" s="2247"/>
      <c r="AI47" s="2247"/>
      <c r="AJ47" s="2247"/>
      <c r="AK47" s="2247"/>
      <c r="AL47" s="2246"/>
      <c r="AM47" s="2247"/>
      <c r="AN47" s="2247"/>
      <c r="AO47" s="2247"/>
      <c r="AP47" s="2247"/>
      <c r="AQ47" s="2247"/>
      <c r="AR47" s="2247"/>
      <c r="AS47" s="5241"/>
      <c r="AT47" s="2248"/>
      <c r="AU47" s="1259" t="s">
        <v>535</v>
      </c>
      <c r="AW47" s="501"/>
      <c r="AX47" s="501" t="str">
        <f>IF(T47="","",T47)</f>
        <v>Схема подключения теплопотребляющей установки к коллектору источника тепловой энергии</v>
      </c>
      <c r="AY47" s="501"/>
      <c r="AZ47" s="501"/>
      <c r="BA47" s="1156">
        <v>47</v>
      </c>
    </row>
    <row customHeight="1" ht="22.049999999999997">
      <c r="A48" s="1364" t="s">
        <v>229</v>
      </c>
      <c r="B48" s="1364" t="s">
        <v>230</v>
      </c>
      <c r="C48" s="1364" t="s">
        <v>231</v>
      </c>
      <c r="D48" s="1364" t="s">
        <v>232</v>
      </c>
      <c r="E48" s="2260"/>
      <c r="F48" s="2260"/>
      <c r="G48" s="2260"/>
      <c r="H48" s="2260"/>
      <c r="I48" s="2287"/>
      <c r="J48" s="2257" t="str">
        <f>I47&amp;".1"</f>
        <v>1.1.1.1.1.1</v>
      </c>
      <c r="K48" s="1364"/>
      <c r="L48" s="1365" t="s">
        <v>536</v>
      </c>
      <c r="P48" s="2258"/>
      <c r="Q48" s="2258">
        <v>1</v>
      </c>
      <c r="R48" s="358"/>
      <c r="S48" s="1337" t="str">
        <f>$J48</f>
        <v>1.1.1.1.1.1</v>
      </c>
      <c r="T48" s="287" t="s">
        <v>537</v>
      </c>
      <c r="U48" s="301"/>
      <c r="V48" s="2246"/>
      <c r="W48" s="2247"/>
      <c r="X48" s="2247"/>
      <c r="Y48" s="2247"/>
      <c r="Z48" s="2247"/>
      <c r="AA48" s="2247"/>
      <c r="AB48" s="2247"/>
      <c r="AC48" s="2248"/>
      <c r="AD48" s="2246" t="s">
        <v>578</v>
      </c>
      <c r="AE48" s="2247"/>
      <c r="AF48" s="2247"/>
      <c r="AG48" s="2247"/>
      <c r="AH48" s="2247"/>
      <c r="AI48" s="2247"/>
      <c r="AJ48" s="2247"/>
      <c r="AK48" s="2247"/>
      <c r="AL48" s="2246"/>
      <c r="AM48" s="2247"/>
      <c r="AN48" s="2247"/>
      <c r="AO48" s="2247"/>
      <c r="AP48" s="2247"/>
      <c r="AQ48" s="2247"/>
      <c r="AR48" s="2247"/>
      <c r="AS48" s="5241"/>
      <c r="AT48" s="2248"/>
      <c r="AU48" s="1259" t="s">
        <v>538</v>
      </c>
      <c r="AW48" s="501"/>
      <c r="AX48" s="501" t="str">
        <f>IF(T48="","",T48)</f>
        <v>Группа потребителей</v>
      </c>
      <c r="AY48" s="501"/>
      <c r="AZ48" s="501"/>
      <c r="BA48" s="1156">
        <v>21</v>
      </c>
    </row>
    <row customHeight="1" ht="22.049999999999997">
      <c r="A49" s="1364" t="s">
        <v>229</v>
      </c>
      <c r="B49" s="1364" t="s">
        <v>230</v>
      </c>
      <c r="C49" s="1364" t="s">
        <v>231</v>
      </c>
      <c r="D49" s="1364" t="s">
        <v>232</v>
      </c>
      <c r="E49" s="2260"/>
      <c r="F49" s="2260"/>
      <c r="G49" s="2260"/>
      <c r="H49" s="2260"/>
      <c r="I49" s="2287"/>
      <c r="J49" s="2287"/>
      <c r="K49" s="2257" t="str">
        <f>J48&amp;".1"</f>
        <v>1.1.1.1.1.1.1</v>
      </c>
      <c r="L49" s="1365" t="s">
        <v>539</v>
      </c>
      <c r="P49" s="2258"/>
      <c r="Q49" s="2258"/>
      <c r="R49" s="358">
        <v>1</v>
      </c>
      <c r="S49" s="1337" t="str">
        <f>$K49</f>
        <v>1.1.1.1.1.1.1</v>
      </c>
      <c r="T49" s="1348" t="s">
        <v>577</v>
      </c>
      <c r="U49" s="301"/>
      <c r="V49" s="752"/>
      <c r="W49" s="326"/>
      <c r="X49" s="752"/>
      <c r="Y49" s="1258"/>
      <c r="Z49" s="2266"/>
      <c r="AA49" s="2108" t="s">
        <v>65</v>
      </c>
      <c r="AB49" s="2266"/>
      <c r="AC49" s="2108" t="s">
        <v>65</v>
      </c>
      <c r="AD49" s="752">
        <v>3892.21</v>
      </c>
      <c r="AE49" s="326"/>
      <c r="AF49" s="752"/>
      <c r="AG49" s="1258"/>
      <c r="AH49" s="2603">
        <v>46023</v>
      </c>
      <c r="AI49" s="2108" t="s">
        <v>65</v>
      </c>
      <c r="AJ49" s="2288">
        <v>46295</v>
      </c>
      <c r="AK49" s="2108" t="s">
        <v>65</v>
      </c>
      <c r="AL49" s="752">
        <v>3892.21</v>
      </c>
      <c r="AM49" s="326"/>
      <c r="AN49" s="752"/>
      <c r="AO49" s="1258"/>
      <c r="AP49" s="2603">
        <v>46296</v>
      </c>
      <c r="AQ49" s="2108" t="s">
        <v>65</v>
      </c>
      <c r="AR49" s="2603">
        <v>46387</v>
      </c>
      <c r="AS49" s="2108" t="s">
        <v>65</v>
      </c>
      <c r="AT49" s="1349"/>
      <c r="AU49" s="2254" t="s">
        <v>540</v>
      </c>
      <c r="AV49" s="512">
        <f>STRCHECKDATE(V50:AT50)</f>
      </c>
      <c r="AW49" s="501"/>
      <c r="AX49" s="501" t="str">
        <f>IF(T49="","",T49)</f>
        <v>вода</v>
      </c>
      <c r="AY49" s="501"/>
      <c r="AZ49" s="501"/>
      <c r="BA49" s="1156">
        <v>21</v>
      </c>
    </row>
    <row customHeight="1" ht="1.05">
      <c r="A50" s="1364" t="s">
        <v>229</v>
      </c>
      <c r="B50" s="1364" t="s">
        <v>230</v>
      </c>
      <c r="C50" s="1364" t="s">
        <v>231</v>
      </c>
      <c r="D50" s="1364" t="s">
        <v>232</v>
      </c>
      <c r="E50" s="2260"/>
      <c r="F50" s="2260"/>
      <c r="G50" s="2260"/>
      <c r="H50" s="2260"/>
      <c r="I50" s="2287"/>
      <c r="J50" s="2287"/>
      <c r="K50" s="2257"/>
      <c r="L50" s="1365"/>
      <c r="P50" s="2258"/>
      <c r="Q50" s="2258"/>
      <c r="R50" s="358"/>
      <c r="S50" s="1343"/>
      <c r="T50" s="301"/>
      <c r="U50" s="301"/>
      <c r="V50" s="326"/>
      <c r="W50" s="326"/>
      <c r="X50" s="326"/>
      <c r="Y50" s="329" t="str">
        <f>Z49&amp;"-"&amp;AB49</f>
        <v>-</v>
      </c>
      <c r="Z50" s="2267"/>
      <c r="AA50" s="2108"/>
      <c r="AB50" s="2267"/>
      <c r="AC50" s="2108"/>
      <c r="AD50" s="326"/>
      <c r="AE50" s="326"/>
      <c r="AF50" s="326"/>
      <c r="AG50" s="329" t="str">
        <f>AH49&amp;"-"&amp;AJ49</f>
        <v>46023-46295</v>
      </c>
      <c r="AH50" s="2267"/>
      <c r="AI50" s="2108"/>
      <c r="AJ50" s="2289"/>
      <c r="AK50" s="2108"/>
      <c r="AL50" s="326"/>
      <c r="AM50" s="326"/>
      <c r="AN50" s="326"/>
      <c r="AO50" s="329" t="str">
        <f>AP49&amp;"-"&amp;AR49</f>
        <v>46296-46387</v>
      </c>
      <c r="AP50" s="2310"/>
      <c r="AQ50" s="2108"/>
      <c r="AR50" s="2310"/>
      <c r="AS50" s="2108"/>
      <c r="AT50" s="1350"/>
      <c r="AU50" s="2255"/>
      <c r="AW50" s="501"/>
      <c r="AX50" s="501" t="str">
        <f>IF(T50="","",T50)</f>
        <v/>
      </c>
      <c r="AY50" s="501"/>
      <c r="AZ50" s="501"/>
      <c r="BA50" s="1156">
        <v>1</v>
      </c>
    </row>
    <row customHeight="1" ht="11.549999999999999">
      <c r="A51" s="1364" t="s">
        <v>229</v>
      </c>
      <c r="B51" s="1364" t="s">
        <v>230</v>
      </c>
      <c r="C51" s="1364" t="s">
        <v>231</v>
      </c>
      <c r="D51" s="1364" t="s">
        <v>232</v>
      </c>
      <c r="E51" s="2260"/>
      <c r="F51" s="2260"/>
      <c r="G51" s="2260"/>
      <c r="H51" s="2260"/>
      <c r="I51" s="2287"/>
      <c r="J51" s="2257"/>
      <c r="K51" s="1364"/>
      <c r="L51" s="1365"/>
      <c r="P51" s="2258"/>
      <c r="Q51" s="2258"/>
      <c r="R51" s="357"/>
      <c r="S51" s="1279"/>
      <c r="T51" s="289" t="s">
        <v>541</v>
      </c>
      <c r="U51" s="368"/>
      <c r="V51" s="368"/>
      <c r="W51" s="368"/>
      <c r="X51" s="368"/>
      <c r="Y51" s="368"/>
      <c r="Z51" s="368"/>
      <c r="AA51" s="368"/>
      <c r="AB51" s="368"/>
      <c r="AC51" s="368"/>
      <c r="AD51" s="368"/>
      <c r="AE51" s="368"/>
      <c r="AF51" s="368"/>
      <c r="AG51" s="368"/>
      <c r="AH51" s="368"/>
      <c r="AI51" s="368"/>
      <c r="AJ51" s="368"/>
      <c r="AK51" s="368"/>
      <c r="AL51" s="3687"/>
      <c r="AM51" s="3688"/>
      <c r="AN51" s="3689"/>
      <c r="AO51" s="3690"/>
      <c r="AP51" s="3691"/>
      <c r="AQ51" s="3692"/>
      <c r="AR51" s="3693"/>
      <c r="AS51" s="5294"/>
      <c r="AT51" s="325"/>
      <c r="AU51" s="2256"/>
      <c r="AW51" s="501"/>
      <c r="AX51" s="501" t="str">
        <f>IF(T51="","",T51)</f>
        <v>Добавить вид теплоносителя (параметры теплоносителя)</v>
      </c>
      <c r="AY51" s="501"/>
      <c r="AZ51" s="501"/>
      <c r="BA51" s="1156">
        <v>11</v>
      </c>
    </row>
    <row customHeight="1" ht="11.549999999999999">
      <c r="A52" s="1364" t="s">
        <v>229</v>
      </c>
      <c r="B52" s="1364" t="s">
        <v>230</v>
      </c>
      <c r="C52" s="1364" t="s">
        <v>231</v>
      </c>
      <c r="D52" s="1364" t="s">
        <v>232</v>
      </c>
      <c r="E52" s="2260"/>
      <c r="F52" s="2260"/>
      <c r="G52" s="2260"/>
      <c r="H52" s="2260"/>
      <c r="I52" s="2257"/>
      <c r="J52" s="1364"/>
      <c r="K52" s="1364"/>
      <c r="L52" s="1365"/>
      <c r="P52" s="2258"/>
      <c r="Q52" s="1332"/>
      <c r="R52" s="357"/>
      <c r="S52" s="1279"/>
      <c r="T52" s="288" t="s">
        <v>542</v>
      </c>
      <c r="U52" s="368"/>
      <c r="V52" s="368"/>
      <c r="W52" s="368"/>
      <c r="X52" s="368"/>
      <c r="Y52" s="368"/>
      <c r="Z52" s="368"/>
      <c r="AA52" s="368"/>
      <c r="AB52" s="368"/>
      <c r="AC52" s="367"/>
      <c r="AD52" s="368"/>
      <c r="AE52" s="368"/>
      <c r="AF52" s="368"/>
      <c r="AG52" s="368"/>
      <c r="AH52" s="368"/>
      <c r="AI52" s="368"/>
      <c r="AJ52" s="368"/>
      <c r="AK52" s="367"/>
      <c r="AL52" s="3695"/>
      <c r="AM52" s="3696"/>
      <c r="AN52" s="3697"/>
      <c r="AO52" s="3698"/>
      <c r="AP52" s="3699"/>
      <c r="AQ52" s="3700"/>
      <c r="AR52" s="3701"/>
      <c r="AS52" s="5295"/>
      <c r="AT52" s="368"/>
      <c r="AU52" s="304"/>
      <c r="AW52" s="501"/>
      <c r="AX52" s="501" t="str">
        <f>IF(T52="","",T52)</f>
        <v>Добавить группу потребителей</v>
      </c>
      <c r="AY52" s="501"/>
      <c r="AZ52" s="501"/>
      <c r="BA52" s="1156">
        <v>11</v>
      </c>
    </row>
    <row customHeight="1" ht="14.699999999999998">
      <c r="A53" s="1364" t="s">
        <v>229</v>
      </c>
      <c r="B53" s="1364" t="s">
        <v>230</v>
      </c>
      <c r="C53" s="1364" t="s">
        <v>231</v>
      </c>
      <c r="D53" s="1364" t="s">
        <v>232</v>
      </c>
      <c r="E53" s="2260"/>
      <c r="F53" s="2260"/>
      <c r="G53" s="2260"/>
      <c r="H53" s="2259"/>
      <c r="I53" s="1364"/>
      <c r="J53" s="1364"/>
      <c r="K53" s="1364"/>
      <c r="L53" s="1365"/>
      <c r="M53" s="1366"/>
      <c r="N53" s="1366"/>
      <c r="O53" s="538"/>
      <c r="P53" s="361"/>
      <c r="Q53" s="376"/>
      <c r="R53" s="356"/>
      <c r="S53" s="1279"/>
      <c r="T53" s="366" t="s">
        <v>543</v>
      </c>
      <c r="U53" s="368"/>
      <c r="V53" s="368"/>
      <c r="W53" s="368"/>
      <c r="X53" s="368"/>
      <c r="Y53" s="368"/>
      <c r="Z53" s="368"/>
      <c r="AA53" s="368"/>
      <c r="AB53" s="368"/>
      <c r="AC53" s="367"/>
      <c r="AD53" s="368"/>
      <c r="AE53" s="368"/>
      <c r="AF53" s="368"/>
      <c r="AG53" s="368"/>
      <c r="AH53" s="368"/>
      <c r="AI53" s="368"/>
      <c r="AJ53" s="368"/>
      <c r="AK53" s="367"/>
      <c r="AL53" s="3703"/>
      <c r="AM53" s="3704"/>
      <c r="AN53" s="3705"/>
      <c r="AO53" s="3706"/>
      <c r="AP53" s="3707"/>
      <c r="AQ53" s="3708"/>
      <c r="AR53" s="3709"/>
      <c r="AS53" s="5296"/>
      <c r="AT53" s="368"/>
      <c r="AU53" s="304"/>
      <c r="AW53" s="501"/>
      <c r="AX53" s="501" t="str">
        <f>IF(T53="","",T53)</f>
        <v>Добавить схему подключения</v>
      </c>
      <c r="AY53" s="501"/>
      <c r="AZ53" s="501"/>
      <c r="BA53" s="1156">
        <v>14</v>
      </c>
    </row>
    <row s="1643" customFormat="1" customHeight="1" ht="1.05">
      <c r="A54" s="1344" t="s">
        <v>229</v>
      </c>
      <c r="B54" s="1344" t="s">
        <v>230</v>
      </c>
      <c r="C54" s="1344" t="s">
        <v>231</v>
      </c>
      <c r="D54" s="1315"/>
      <c r="E54" s="2260"/>
      <c r="F54" s="2260"/>
      <c r="G54" s="2259"/>
      <c r="H54" s="1315"/>
      <c r="I54" s="1315"/>
      <c r="J54" s="1315"/>
      <c r="K54" s="1315"/>
      <c r="L54" s="1340"/>
      <c r="M54" s="1316"/>
      <c r="N54" s="1316"/>
      <c r="P54" s="1317"/>
      <c r="Q54" s="1318"/>
      <c r="R54" s="1317"/>
      <c r="S54" s="1323"/>
      <c r="T54" s="1326" t="s">
        <v>177</v>
      </c>
      <c r="U54" s="1325"/>
      <c r="V54" s="1325"/>
      <c r="W54" s="1325"/>
      <c r="X54" s="1325"/>
      <c r="Y54" s="1325"/>
      <c r="Z54" s="1325"/>
      <c r="AA54" s="1325"/>
      <c r="AB54" s="1325"/>
      <c r="AC54" s="1325"/>
      <c r="AD54" s="1325"/>
      <c r="AE54" s="1325"/>
      <c r="AF54" s="1325"/>
      <c r="AG54" s="1325"/>
      <c r="AH54" s="1325"/>
      <c r="AI54" s="1325"/>
      <c r="AJ54" s="1325"/>
      <c r="AK54" s="1325"/>
      <c r="AL54" s="1325"/>
      <c r="AM54" s="1325"/>
      <c r="AN54" s="1325"/>
      <c r="AO54" s="1325"/>
      <c r="AP54" s="1325"/>
      <c r="AQ54" s="1325"/>
      <c r="AR54" s="1325"/>
      <c r="AS54" s="1325"/>
      <c r="AT54" s="1325"/>
      <c r="AU54" s="1325"/>
      <c r="AW54" s="790"/>
      <c r="AX54" s="790" t="str">
        <f>IF(T54="","",T54)</f>
        <v>Добавить источник для дифференциации</v>
      </c>
      <c r="AY54" s="790"/>
      <c r="AZ54" s="790"/>
      <c r="BA54" s="519">
        <v>1</v>
      </c>
    </row>
    <row s="1643" customFormat="1" customHeight="1" ht="1.05">
      <c r="A55" s="1344" t="s">
        <v>229</v>
      </c>
      <c r="B55" s="1344" t="s">
        <v>230</v>
      </c>
      <c r="C55" s="1315"/>
      <c r="D55" s="1315"/>
      <c r="E55" s="2260"/>
      <c r="F55" s="2259"/>
      <c r="G55" s="1315"/>
      <c r="H55" s="1315"/>
      <c r="I55" s="1315"/>
      <c r="J55" s="1315"/>
      <c r="K55" s="1315"/>
      <c r="L55" s="1340"/>
      <c r="M55" s="1322"/>
      <c r="N55" s="1322"/>
      <c r="P55" s="1317"/>
      <c r="Q55" s="1318"/>
      <c r="R55" s="1317"/>
      <c r="S55" s="1323"/>
      <c r="T55" s="1326" t="s">
        <v>178</v>
      </c>
      <c r="U55" s="1325"/>
      <c r="V55" s="1325"/>
      <c r="W55" s="1325"/>
      <c r="X55" s="1325"/>
      <c r="Y55" s="1325"/>
      <c r="Z55" s="1325"/>
      <c r="AA55" s="1325"/>
      <c r="AB55" s="1325"/>
      <c r="AC55" s="1325"/>
      <c r="AD55" s="1325"/>
      <c r="AE55" s="1325"/>
      <c r="AF55" s="1325"/>
      <c r="AG55" s="1325"/>
      <c r="AH55" s="1325"/>
      <c r="AI55" s="1325"/>
      <c r="AJ55" s="1325"/>
      <c r="AK55" s="1325"/>
      <c r="AL55" s="1325"/>
      <c r="AM55" s="1325"/>
      <c r="AN55" s="1325"/>
      <c r="AO55" s="1325"/>
      <c r="AP55" s="1325"/>
      <c r="AQ55" s="1325"/>
      <c r="AR55" s="1325"/>
      <c r="AS55" s="1325"/>
      <c r="AT55" s="1325"/>
      <c r="AU55" s="1325"/>
      <c r="AW55" s="790"/>
      <c r="AX55" s="790" t="str">
        <f>IF(T55="","",T55)</f>
        <v>Добавить централизованную систему для дифференциации</v>
      </c>
      <c r="AY55" s="790"/>
      <c r="AZ55" s="790"/>
      <c r="BA55" s="519">
        <v>1</v>
      </c>
    </row>
    <row s="1643" customFormat="1" customHeight="1" ht="1.05">
      <c r="A56" s="1344" t="s">
        <v>229</v>
      </c>
      <c r="B56" s="1344"/>
      <c r="C56" s="1344"/>
      <c r="D56" s="1344"/>
      <c r="E56" s="2259"/>
      <c r="F56" s="1344"/>
      <c r="G56" s="1344"/>
      <c r="H56" s="1344"/>
      <c r="I56" s="1344"/>
      <c r="J56" s="1344"/>
      <c r="K56" s="1344"/>
      <c r="L56" s="1347"/>
      <c r="M56" s="1322"/>
      <c r="N56" s="1322"/>
      <c r="O56" s="519"/>
      <c r="P56" s="381"/>
      <c r="Q56" s="1345"/>
      <c r="R56" s="381"/>
      <c r="S56" s="1323"/>
      <c r="T56" s="1326" t="s">
        <v>183</v>
      </c>
      <c r="U56" s="1325"/>
      <c r="V56" s="1325"/>
      <c r="W56" s="1325"/>
      <c r="X56" s="1325"/>
      <c r="Y56" s="1325"/>
      <c r="Z56" s="1325"/>
      <c r="AA56" s="1325"/>
      <c r="AB56" s="1325"/>
      <c r="AC56" s="1325"/>
      <c r="AD56" s="1325"/>
      <c r="AE56" s="1325"/>
      <c r="AF56" s="1325"/>
      <c r="AG56" s="1325"/>
      <c r="AH56" s="1325"/>
      <c r="AI56" s="1325"/>
      <c r="AJ56" s="1325"/>
      <c r="AK56" s="1325"/>
      <c r="AL56" s="1325"/>
      <c r="AM56" s="1325"/>
      <c r="AN56" s="1325"/>
      <c r="AO56" s="1325"/>
      <c r="AP56" s="1325"/>
      <c r="AQ56" s="1325"/>
      <c r="AR56" s="1325"/>
      <c r="AS56" s="1325"/>
      <c r="AT56" s="1325"/>
      <c r="AU56" s="1325"/>
      <c r="AW56" s="501"/>
      <c r="AX56" s="501" t="str">
        <f>IF(T56="","",T56)</f>
        <v>Добавить территорию для дифференциации</v>
      </c>
      <c r="AY56" s="501"/>
      <c r="AZ56" s="501"/>
      <c r="BA56" s="512">
        <v>1</v>
      </c>
    </row>
    <row s="1851" customFormat="1" customHeight="1" ht="21">
      <c r="A57" s="1364" t="s">
        <v>234</v>
      </c>
      <c r="B57" s="1364"/>
      <c r="C57" s="1364"/>
      <c r="D57" s="1364"/>
      <c r="E57" s="2259" t="s">
        <v>107</v>
      </c>
      <c r="F57" s="1364"/>
      <c r="G57" s="1364"/>
      <c r="H57" s="1364"/>
      <c r="I57" s="1364"/>
      <c r="J57" s="1364"/>
      <c r="K57" s="1364"/>
      <c r="L57" s="1370"/>
      <c r="M57" s="1366"/>
      <c r="N57" s="1366"/>
      <c r="O57" s="1366"/>
      <c r="P57" s="2398"/>
      <c r="Q57" s="1824"/>
      <c r="R57" s="356"/>
      <c r="S57" s="2274" t="str">
        <f>INDEX(PT_DIFFERENTIATION_NUM_NTAR,MATCH(A57,PT_DIFFERENTIATION_NTAR_ID,0))</f>
        <v>2</v>
      </c>
      <c r="T57" s="1526" t="s">
        <v>136</v>
      </c>
      <c r="U57" s="301"/>
      <c r="V57" s="2243"/>
      <c r="W57" s="2244"/>
      <c r="X57" s="2244"/>
      <c r="Y57" s="2244"/>
      <c r="Z57" s="2244"/>
      <c r="AA57" s="2244"/>
      <c r="AB57" s="2244"/>
      <c r="AC57" s="2245"/>
      <c r="AD57" s="2243" t="str">
        <f>INDEX(PT_DIFFERENTIATION_NTAR,MATCH(A57,PT_DIFFERENTIATION_NTAR_ID,0))</f>
        <v>Льготные тарифы на тепловую энергию, поставляемую группе потребителей "потребители (кроме населения)". Для потребителей, в случае отсутствия дифференциации тарифов по схеме подключения. Населенный пункт Раякоски Печенгского муниципального округа Мурманской области</v>
      </c>
      <c r="AE57" s="2244"/>
      <c r="AF57" s="2244"/>
      <c r="AG57" s="2244"/>
      <c r="AH57" s="2244"/>
      <c r="AI57" s="2244"/>
      <c r="AJ57" s="2244"/>
      <c r="AK57" s="2244"/>
      <c r="AL57" s="2243"/>
      <c r="AM57" s="2244"/>
      <c r="AN57" s="2244"/>
      <c r="AO57" s="2244"/>
      <c r="AP57" s="2244"/>
      <c r="AQ57" s="2244"/>
      <c r="AR57" s="2244"/>
      <c r="AS57" s="5240"/>
      <c r="AT57" s="2245"/>
      <c r="AU57" s="1259" t="s">
        <v>526</v>
      </c>
      <c r="AV57" s="1643"/>
      <c r="AW57" s="1625"/>
      <c r="AX57" s="1625" t="str">
        <f>IF(T57="","",T57)</f>
        <v>Наименование тарифа</v>
      </c>
      <c r="AY57" s="1625"/>
      <c r="AZ57" s="1625"/>
      <c r="BA57" s="1636">
        <v>0</v>
      </c>
    </row>
    <row s="1851" customFormat="1" customHeight="1" ht="21">
      <c r="A58" s="1364"/>
      <c r="B58" s="1364" t="s">
        <v>235</v>
      </c>
      <c r="C58" s="1364"/>
      <c r="D58" s="1364"/>
      <c r="E58" s="2260">
        <v>1</v>
      </c>
      <c r="F58" s="2259">
        <v>1</v>
      </c>
      <c r="G58" s="1364"/>
      <c r="H58" s="1364"/>
      <c r="I58" s="1364"/>
      <c r="J58" s="1364"/>
      <c r="K58" s="1364"/>
      <c r="L58" s="1370"/>
      <c r="M58" s="1366"/>
      <c r="N58" s="1366"/>
      <c r="O58" s="1366"/>
      <c r="P58" s="2126"/>
      <c r="Q58" s="353"/>
      <c r="R58" s="354"/>
      <c r="S58" s="2274" t="str">
        <f>INDEX(PT_DIFFERENTIATION_NUM_TER,MATCH(B58,PT_DIFFERENTIATION_TER_ID,0))</f>
        <v>2.1</v>
      </c>
      <c r="T58" s="1523" t="s">
        <v>527</v>
      </c>
      <c r="U58" s="301"/>
      <c r="V58" s="2243"/>
      <c r="W58" s="2244"/>
      <c r="X58" s="2244"/>
      <c r="Y58" s="2244"/>
      <c r="Z58" s="2244"/>
      <c r="AA58" s="2244"/>
      <c r="AB58" s="2244"/>
      <c r="AC58" s="2245"/>
      <c r="AD58" s="2243" t="str">
        <f>INDEX(PT_DIFFERENTIATION_TER,MATCH(B58,PT_DIFFERENTIATION_TER_ID,0))</f>
        <v>Территория 3</v>
      </c>
      <c r="AE58" s="2244"/>
      <c r="AF58" s="2244"/>
      <c r="AG58" s="2244"/>
      <c r="AH58" s="2244"/>
      <c r="AI58" s="2244"/>
      <c r="AJ58" s="2244"/>
      <c r="AK58" s="2244"/>
      <c r="AL58" s="2243"/>
      <c r="AM58" s="2244"/>
      <c r="AN58" s="2244"/>
      <c r="AO58" s="2244"/>
      <c r="AP58" s="2244"/>
      <c r="AQ58" s="2244"/>
      <c r="AR58" s="2244"/>
      <c r="AS58" s="5240"/>
      <c r="AT58" s="2245"/>
      <c r="AU58" s="1259" t="s">
        <v>528</v>
      </c>
      <c r="AV58" s="1643"/>
      <c r="AW58" s="1625"/>
      <c r="AX58" s="1625" t="str">
        <f>IF(T58="","",T58)</f>
        <v>Территория действия тарифа</v>
      </c>
      <c r="AY58" s="1625"/>
      <c r="AZ58" s="1625"/>
      <c r="BA58" s="1636">
        <v>0</v>
      </c>
    </row>
    <row s="1851" customFormat="1" customHeight="1" ht="23.25">
      <c r="A59" s="1364"/>
      <c r="B59" s="1364"/>
      <c r="C59" s="1364" t="s">
        <v>236</v>
      </c>
      <c r="D59" s="1364"/>
      <c r="E59" s="2260">
        <v>1</v>
      </c>
      <c r="F59" s="2260"/>
      <c r="G59" s="2259">
        <v>1</v>
      </c>
      <c r="H59" s="1364"/>
      <c r="I59" s="1364"/>
      <c r="J59" s="1364"/>
      <c r="K59" s="1364"/>
      <c r="L59" s="1370"/>
      <c r="M59" s="1366"/>
      <c r="N59" s="1366"/>
      <c r="O59" s="1366"/>
      <c r="P59" s="355"/>
      <c r="Q59" s="353"/>
      <c r="R59" s="354"/>
      <c r="S59" s="2274" t="str">
        <f>INDEX(PT_DIFFERENTIATION_NUM_CS,MATCH(C59,PT_DIFFERENTIATION_CS_ID,0))</f>
        <v>2.1.1</v>
      </c>
      <c r="T59" s="310" t="s">
        <v>529</v>
      </c>
      <c r="U59" s="301"/>
      <c r="V59" s="2243"/>
      <c r="W59" s="2244"/>
      <c r="X59" s="2244"/>
      <c r="Y59" s="2244"/>
      <c r="Z59" s="2244"/>
      <c r="AA59" s="2244"/>
      <c r="AB59" s="2244"/>
      <c r="AC59" s="2245"/>
      <c r="AD59" s="2243" t="str">
        <f>INDEX(PT_DIFFERENTIATION_CS,MATCH(C59,PT_DIFFERENTIATION_CS_ID,0))</f>
        <v>закрытая система теплоснабжения нп Раякоски</v>
      </c>
      <c r="AE59" s="2244"/>
      <c r="AF59" s="2244"/>
      <c r="AG59" s="2244"/>
      <c r="AH59" s="2244"/>
      <c r="AI59" s="2244"/>
      <c r="AJ59" s="2244"/>
      <c r="AK59" s="2244"/>
      <c r="AL59" s="2243"/>
      <c r="AM59" s="2244"/>
      <c r="AN59" s="2244"/>
      <c r="AO59" s="2244"/>
      <c r="AP59" s="2244"/>
      <c r="AQ59" s="2244"/>
      <c r="AR59" s="2244"/>
      <c r="AS59" s="5240"/>
      <c r="AT59" s="2245"/>
      <c r="AU59" s="1259" t="s">
        <v>530</v>
      </c>
      <c r="AV59" s="1643"/>
      <c r="AW59" s="1625"/>
      <c r="AX59" s="1625" t="str">
        <f>IF(T59="","",T59)</f>
        <v>Наименование системы теплоснабжения </v>
      </c>
      <c r="AY59" s="1625"/>
      <c r="AZ59" s="1625"/>
      <c r="BA59" s="1636">
        <v>0</v>
      </c>
    </row>
    <row s="1851" customFormat="1" customHeight="1" ht="21">
      <c r="A60" s="1364"/>
      <c r="B60" s="1364"/>
      <c r="C60" s="1364"/>
      <c r="D60" s="1364" t="s">
        <v>237</v>
      </c>
      <c r="E60" s="2260">
        <v>1</v>
      </c>
      <c r="F60" s="2260"/>
      <c r="G60" s="2260"/>
      <c r="H60" s="2259">
        <v>1</v>
      </c>
      <c r="I60" s="1364"/>
      <c r="J60" s="1364"/>
      <c r="K60" s="1364"/>
      <c r="L60" s="1370"/>
      <c r="M60" s="1366"/>
      <c r="N60" s="1366"/>
      <c r="O60" s="1366"/>
      <c r="P60" s="355"/>
      <c r="Q60" s="353"/>
      <c r="R60" s="354"/>
      <c r="S60" s="2274" t="str">
        <f>INDEX(PT_DIFFERENTIATION_NUM_IST_TE,MATCH(D60,PT_DIFFERENTIATION_IST_TE_ID,0))</f>
        <v>2.1.1.1</v>
      </c>
      <c r="T60" s="311" t="s">
        <v>531</v>
      </c>
      <c r="U60" s="301"/>
      <c r="V60" s="2243"/>
      <c r="W60" s="2244"/>
      <c r="X60" s="2244"/>
      <c r="Y60" s="2244"/>
      <c r="Z60" s="2244"/>
      <c r="AA60" s="2244"/>
      <c r="AB60" s="2244"/>
      <c r="AC60" s="2245"/>
      <c r="AD60" s="2243" t="str">
        <f>INDEX(PT_DIFFERENTIATION_IST_TE,MATCH(D60,PT_DIFFERENTIATION_IST_TE_ID,0))</f>
        <v>Электрокотельные нп Раякоски</v>
      </c>
      <c r="AE60" s="2244"/>
      <c r="AF60" s="2244"/>
      <c r="AG60" s="2244"/>
      <c r="AH60" s="2244"/>
      <c r="AI60" s="2244"/>
      <c r="AJ60" s="2244"/>
      <c r="AK60" s="2244"/>
      <c r="AL60" s="2243"/>
      <c r="AM60" s="2244"/>
      <c r="AN60" s="2244"/>
      <c r="AO60" s="2244"/>
      <c r="AP60" s="2244"/>
      <c r="AQ60" s="2244"/>
      <c r="AR60" s="2244"/>
      <c r="AS60" s="5240"/>
      <c r="AT60" s="2245"/>
      <c r="AU60" s="1259" t="s">
        <v>532</v>
      </c>
      <c r="AV60" s="1643"/>
      <c r="AW60" s="1625"/>
      <c r="AX60" s="1625" t="str">
        <f>IF(T60="","",T60)</f>
        <v>Источник тепловой энергии  </v>
      </c>
      <c r="AY60" s="1625"/>
      <c r="AZ60" s="1625"/>
      <c r="BA60" s="1636">
        <v>0</v>
      </c>
    </row>
    <row s="1851" customFormat="1" customHeight="1" ht="47.25">
      <c r="A61" s="1364"/>
      <c r="B61" s="1364"/>
      <c r="C61" s="1364"/>
      <c r="D61" s="1364"/>
      <c r="E61" s="2260">
        <v>1</v>
      </c>
      <c r="F61" s="2260"/>
      <c r="G61" s="2260"/>
      <c r="H61" s="2260"/>
      <c r="I61" s="2257" t="str">
        <f>S60&amp;".1"</f>
        <v>2.1.1.1.1</v>
      </c>
      <c r="J61" s="1364"/>
      <c r="K61" s="1364"/>
      <c r="L61" s="1370" t="s">
        <v>533</v>
      </c>
      <c r="M61" s="1367"/>
      <c r="N61" s="1777"/>
      <c r="O61" s="1777"/>
      <c r="P61" s="2375">
        <v>1</v>
      </c>
      <c r="Q61" s="2375"/>
      <c r="R61" s="357"/>
      <c r="S61" s="2274" t="str">
        <f>$I61</f>
        <v>2.1.1.1.1</v>
      </c>
      <c r="T61" s="286" t="s">
        <v>534</v>
      </c>
      <c r="U61" s="301"/>
      <c r="V61" s="2246"/>
      <c r="W61" s="2247"/>
      <c r="X61" s="2247"/>
      <c r="Y61" s="2247"/>
      <c r="Z61" s="2247"/>
      <c r="AA61" s="2247"/>
      <c r="AB61" s="2247"/>
      <c r="AC61" s="2248"/>
      <c r="AD61" s="2246" t="s">
        <v>576</v>
      </c>
      <c r="AE61" s="2247"/>
      <c r="AF61" s="2247"/>
      <c r="AG61" s="2247"/>
      <c r="AH61" s="2247"/>
      <c r="AI61" s="2247"/>
      <c r="AJ61" s="2247"/>
      <c r="AK61" s="2247"/>
      <c r="AL61" s="2246"/>
      <c r="AM61" s="2247"/>
      <c r="AN61" s="2247"/>
      <c r="AO61" s="2247"/>
      <c r="AP61" s="2247"/>
      <c r="AQ61" s="2247"/>
      <c r="AR61" s="2247"/>
      <c r="AS61" s="5241"/>
      <c r="AT61" s="2248"/>
      <c r="AU61" s="1259" t="s">
        <v>535</v>
      </c>
      <c r="AV61" s="1643"/>
      <c r="AW61" s="1625"/>
      <c r="AX61" s="1625" t="str">
        <f>IF(T61="","",T61)</f>
        <v>Схема подключения теплопотребляющей установки к коллектору источника тепловой энергии</v>
      </c>
      <c r="AY61" s="1625"/>
      <c r="AZ61" s="1625"/>
      <c r="BA61" s="1636">
        <v>0</v>
      </c>
    </row>
    <row s="1851" customFormat="1" customHeight="1" ht="21">
      <c r="A62" s="1364"/>
      <c r="B62" s="1364"/>
      <c r="C62" s="1364"/>
      <c r="D62" s="1364"/>
      <c r="E62" s="2260">
        <v>1</v>
      </c>
      <c r="F62" s="2260"/>
      <c r="G62" s="2260"/>
      <c r="H62" s="2260"/>
      <c r="I62" s="2287"/>
      <c r="J62" s="2257" t="str">
        <f>I61&amp;".1"</f>
        <v>2.1.1.1.1.1</v>
      </c>
      <c r="K62" s="1364"/>
      <c r="L62" s="1370" t="s">
        <v>536</v>
      </c>
      <c r="M62" s="1367"/>
      <c r="N62" s="1367"/>
      <c r="O62" s="1777"/>
      <c r="P62" s="2375"/>
      <c r="Q62" s="2375">
        <v>1</v>
      </c>
      <c r="R62" s="358"/>
      <c r="S62" s="2274" t="str">
        <f>$J62</f>
        <v>2.1.1.1.1.1</v>
      </c>
      <c r="T62" s="287" t="s">
        <v>537</v>
      </c>
      <c r="U62" s="301"/>
      <c r="V62" s="2246"/>
      <c r="W62" s="2247"/>
      <c r="X62" s="2247"/>
      <c r="Y62" s="2247"/>
      <c r="Z62" s="2247"/>
      <c r="AA62" s="2247"/>
      <c r="AB62" s="2247"/>
      <c r="AC62" s="2248"/>
      <c r="AD62" s="2246" t="s">
        <v>576</v>
      </c>
      <c r="AE62" s="2247"/>
      <c r="AF62" s="2247"/>
      <c r="AG62" s="2247"/>
      <c r="AH62" s="2247"/>
      <c r="AI62" s="2247"/>
      <c r="AJ62" s="2247"/>
      <c r="AK62" s="2247"/>
      <c r="AL62" s="2246"/>
      <c r="AM62" s="2247"/>
      <c r="AN62" s="2247"/>
      <c r="AO62" s="2247"/>
      <c r="AP62" s="2247"/>
      <c r="AQ62" s="2247"/>
      <c r="AR62" s="2247"/>
      <c r="AS62" s="5241"/>
      <c r="AT62" s="2248"/>
      <c r="AU62" s="1259" t="s">
        <v>538</v>
      </c>
      <c r="AV62" s="1643"/>
      <c r="AW62" s="1625"/>
      <c r="AX62" s="1625" t="str">
        <f>IF(T62="","",T62)</f>
        <v>Группа потребителей</v>
      </c>
      <c r="AY62" s="1625"/>
      <c r="AZ62" s="1625"/>
      <c r="BA62" s="1636">
        <v>0</v>
      </c>
    </row>
    <row s="1851" customFormat="1" customHeight="1" ht="21">
      <c r="A63" s="1364"/>
      <c r="B63" s="1364"/>
      <c r="C63" s="1364"/>
      <c r="D63" s="1364"/>
      <c r="E63" s="2260">
        <v>1</v>
      </c>
      <c r="F63" s="2260"/>
      <c r="G63" s="2260"/>
      <c r="H63" s="2260"/>
      <c r="I63" s="2287"/>
      <c r="J63" s="2287"/>
      <c r="K63" s="2257" t="str">
        <f>J62&amp;".1"</f>
        <v>2.1.1.1.1.1.1</v>
      </c>
      <c r="L63" s="1370" t="s">
        <v>539</v>
      </c>
      <c r="M63" s="1367"/>
      <c r="N63" s="1367"/>
      <c r="O63" s="1367"/>
      <c r="P63" s="2375"/>
      <c r="Q63" s="2375"/>
      <c r="R63" s="358">
        <v>1</v>
      </c>
      <c r="S63" s="2274" t="str">
        <f>$K63</f>
        <v>2.1.1.1.1.1.1</v>
      </c>
      <c r="T63" s="1348" t="s">
        <v>577</v>
      </c>
      <c r="U63" s="301"/>
      <c r="V63" s="752"/>
      <c r="W63" s="326"/>
      <c r="X63" s="752"/>
      <c r="Y63" s="1258"/>
      <c r="Z63" s="2603"/>
      <c r="AA63" s="2108" t="s">
        <v>65</v>
      </c>
      <c r="AB63" s="2603"/>
      <c r="AC63" s="2108" t="s">
        <v>65</v>
      </c>
      <c r="AD63" s="752">
        <v>3190.34</v>
      </c>
      <c r="AE63" s="326"/>
      <c r="AF63" s="752"/>
      <c r="AG63" s="1258"/>
      <c r="AH63" s="2603">
        <v>46023</v>
      </c>
      <c r="AI63" s="2108" t="s">
        <v>65</v>
      </c>
      <c r="AJ63" s="2603">
        <v>46295</v>
      </c>
      <c r="AK63" s="2108" t="s">
        <v>65</v>
      </c>
      <c r="AL63" s="752">
        <v>3190.34</v>
      </c>
      <c r="AM63" s="326"/>
      <c r="AN63" s="752"/>
      <c r="AO63" s="1258"/>
      <c r="AP63" s="2603">
        <v>46296</v>
      </c>
      <c r="AQ63" s="2108" t="s">
        <v>65</v>
      </c>
      <c r="AR63" s="2603">
        <v>46387</v>
      </c>
      <c r="AS63" s="2108" t="s">
        <v>65</v>
      </c>
      <c r="AT63" s="326"/>
      <c r="AU63" s="2254" t="s">
        <v>540</v>
      </c>
      <c r="AV63" s="1643">
        <f>STRCHECKDATE(V64:AT64)</f>
      </c>
      <c r="AW63" s="1625"/>
      <c r="AX63" s="1625" t="str">
        <f>IF(T63="","",T63)</f>
        <v>вода</v>
      </c>
      <c r="AY63" s="1625"/>
      <c r="AZ63" s="1625"/>
      <c r="BA63" s="1636">
        <v>0</v>
      </c>
    </row>
    <row s="1851" customFormat="1" customHeight="1" ht="0.75">
      <c r="A64" s="1364"/>
      <c r="B64" s="1364"/>
      <c r="C64" s="1364"/>
      <c r="D64" s="1364"/>
      <c r="E64" s="2260">
        <v>1</v>
      </c>
      <c r="F64" s="2260"/>
      <c r="G64" s="2260"/>
      <c r="H64" s="2260"/>
      <c r="I64" s="2287"/>
      <c r="J64" s="2287"/>
      <c r="K64" s="2257"/>
      <c r="L64" s="1370"/>
      <c r="M64" s="1367"/>
      <c r="N64" s="1367"/>
      <c r="O64" s="1367"/>
      <c r="P64" s="2375"/>
      <c r="Q64" s="2375"/>
      <c r="R64" s="358"/>
      <c r="S64" s="2514"/>
      <c r="T64" s="301"/>
      <c r="U64" s="301"/>
      <c r="V64" s="326"/>
      <c r="W64" s="326"/>
      <c r="X64" s="326"/>
      <c r="Y64" s="329" t="str">
        <f>Z63&amp;"-"&amp;AB63</f>
        <v>-</v>
      </c>
      <c r="Z64" s="2310"/>
      <c r="AA64" s="2108"/>
      <c r="AB64" s="2310"/>
      <c r="AC64" s="2108"/>
      <c r="AD64" s="326"/>
      <c r="AE64" s="326"/>
      <c r="AF64" s="326"/>
      <c r="AG64" s="329" t="str">
        <f>AH63&amp;"-"&amp;AJ63</f>
        <v>46023-46295</v>
      </c>
      <c r="AH64" s="2310"/>
      <c r="AI64" s="2108"/>
      <c r="AJ64" s="2310"/>
      <c r="AK64" s="2108"/>
      <c r="AL64" s="326"/>
      <c r="AM64" s="326"/>
      <c r="AN64" s="326"/>
      <c r="AO64" s="329" t="str">
        <f>AP63&amp;"-"&amp;AR63</f>
        <v>46296-46387</v>
      </c>
      <c r="AP64" s="2310"/>
      <c r="AQ64" s="2108"/>
      <c r="AR64" s="2310"/>
      <c r="AS64" s="2108"/>
      <c r="AT64" s="326"/>
      <c r="AU64" s="2255"/>
      <c r="AV64" s="1643"/>
      <c r="AW64" s="1625"/>
      <c r="AX64" s="1625" t="str">
        <f>IF(T64="","",T64)</f>
        <v/>
      </c>
      <c r="AY64" s="1625"/>
      <c r="AZ64" s="1625"/>
      <c r="BA64" s="1636">
        <v>0</v>
      </c>
    </row>
    <row s="1851" customFormat="1" customHeight="1" ht="15">
      <c r="A65" s="1364"/>
      <c r="B65" s="1364"/>
      <c r="C65" s="1364"/>
      <c r="D65" s="1364"/>
      <c r="E65" s="2260">
        <v>1</v>
      </c>
      <c r="F65" s="2260"/>
      <c r="G65" s="2260"/>
      <c r="H65" s="2260"/>
      <c r="I65" s="2287"/>
      <c r="J65" s="2257"/>
      <c r="K65" s="1364"/>
      <c r="L65" s="1370"/>
      <c r="M65" s="1367"/>
      <c r="N65" s="1367"/>
      <c r="O65" s="1777"/>
      <c r="P65" s="2375"/>
      <c r="Q65" s="2375"/>
      <c r="R65" s="357"/>
      <c r="S65" s="3711"/>
      <c r="T65" s="3712" t="s">
        <v>541</v>
      </c>
      <c r="U65" s="3713"/>
      <c r="V65" s="3714"/>
      <c r="W65" s="3715"/>
      <c r="X65" s="3716"/>
      <c r="Y65" s="3717"/>
      <c r="Z65" s="3718"/>
      <c r="AA65" s="3719"/>
      <c r="AB65" s="3720"/>
      <c r="AC65" s="3721"/>
      <c r="AD65" s="3722"/>
      <c r="AE65" s="3723"/>
      <c r="AF65" s="3724"/>
      <c r="AG65" s="3725"/>
      <c r="AH65" s="3726"/>
      <c r="AI65" s="3727"/>
      <c r="AJ65" s="3728"/>
      <c r="AK65" s="3729"/>
      <c r="AL65" s="3730"/>
      <c r="AM65" s="3731"/>
      <c r="AN65" s="3732"/>
      <c r="AO65" s="3733"/>
      <c r="AP65" s="3734"/>
      <c r="AQ65" s="3735"/>
      <c r="AR65" s="3736"/>
      <c r="AS65" s="5297"/>
      <c r="AT65" s="3738"/>
      <c r="AU65" s="2256"/>
      <c r="AV65" s="1643"/>
      <c r="AW65" s="1625"/>
      <c r="AX65" s="1625" t="str">
        <f>IF(T65="","",T65)</f>
        <v>Добавить вид теплоносителя (параметры теплоносителя)</v>
      </c>
      <c r="AY65" s="1625"/>
      <c r="AZ65" s="1625"/>
      <c r="BA65" s="1636">
        <v>0</v>
      </c>
    </row>
    <row s="1851" customFormat="1" customHeight="1" ht="15">
      <c r="A66" s="1364"/>
      <c r="B66" s="1364"/>
      <c r="C66" s="1364"/>
      <c r="D66" s="1364"/>
      <c r="E66" s="2260">
        <v>1</v>
      </c>
      <c r="F66" s="2260"/>
      <c r="G66" s="2260"/>
      <c r="H66" s="2260"/>
      <c r="I66" s="2257"/>
      <c r="J66" s="1364"/>
      <c r="K66" s="1364"/>
      <c r="L66" s="1370"/>
      <c r="M66" s="1367"/>
      <c r="N66" s="1777"/>
      <c r="O66" s="1777"/>
      <c r="P66" s="2375"/>
      <c r="Q66" s="2375"/>
      <c r="R66" s="357"/>
      <c r="S66" s="3739"/>
      <c r="T66" s="3740" t="s">
        <v>542</v>
      </c>
      <c r="U66" s="3741"/>
      <c r="V66" s="3742"/>
      <c r="W66" s="3743"/>
      <c r="X66" s="3744"/>
      <c r="Y66" s="3745"/>
      <c r="Z66" s="3746"/>
      <c r="AA66" s="3747"/>
      <c r="AB66" s="3748"/>
      <c r="AC66" s="3749"/>
      <c r="AD66" s="3750"/>
      <c r="AE66" s="3751"/>
      <c r="AF66" s="3752"/>
      <c r="AG66" s="3753"/>
      <c r="AH66" s="3754"/>
      <c r="AI66" s="3755"/>
      <c r="AJ66" s="3756"/>
      <c r="AK66" s="3757"/>
      <c r="AL66" s="3758"/>
      <c r="AM66" s="3759"/>
      <c r="AN66" s="3760"/>
      <c r="AO66" s="3761"/>
      <c r="AP66" s="3762"/>
      <c r="AQ66" s="3763"/>
      <c r="AR66" s="3764"/>
      <c r="AS66" s="5298"/>
      <c r="AT66" s="3766"/>
      <c r="AU66" s="3767"/>
      <c r="AV66" s="1643"/>
      <c r="AW66" s="1625"/>
      <c r="AX66" s="1625" t="str">
        <f>IF(T66="","",T66)</f>
        <v>Добавить группу потребителей</v>
      </c>
      <c r="AY66" s="1625"/>
      <c r="AZ66" s="1625"/>
      <c r="BA66" s="1636">
        <v>0</v>
      </c>
    </row>
    <row s="1851" customFormat="1" customHeight="1" ht="14.25">
      <c r="A67" s="1364"/>
      <c r="B67" s="1364"/>
      <c r="C67" s="1364"/>
      <c r="D67" s="1364"/>
      <c r="E67" s="2260">
        <v>1</v>
      </c>
      <c r="F67" s="2260"/>
      <c r="G67" s="2260"/>
      <c r="H67" s="2259"/>
      <c r="I67" s="1364"/>
      <c r="J67" s="1364"/>
      <c r="K67" s="1364"/>
      <c r="L67" s="1370"/>
      <c r="M67" s="1366"/>
      <c r="N67" s="1366"/>
      <c r="O67" s="1367"/>
      <c r="P67" s="1824"/>
      <c r="Q67" s="376"/>
      <c r="R67" s="356"/>
      <c r="S67" s="3768"/>
      <c r="T67" s="3769" t="s">
        <v>543</v>
      </c>
      <c r="U67" s="3770"/>
      <c r="V67" s="3771"/>
      <c r="W67" s="3772"/>
      <c r="X67" s="3773"/>
      <c r="Y67" s="3774"/>
      <c r="Z67" s="3775"/>
      <c r="AA67" s="3776"/>
      <c r="AB67" s="3777"/>
      <c r="AC67" s="3778"/>
      <c r="AD67" s="3779"/>
      <c r="AE67" s="3780"/>
      <c r="AF67" s="3781"/>
      <c r="AG67" s="3782"/>
      <c r="AH67" s="3783"/>
      <c r="AI67" s="3784"/>
      <c r="AJ67" s="3785"/>
      <c r="AK67" s="3786"/>
      <c r="AL67" s="3787"/>
      <c r="AM67" s="3788"/>
      <c r="AN67" s="3789"/>
      <c r="AO67" s="3790"/>
      <c r="AP67" s="3791"/>
      <c r="AQ67" s="3792"/>
      <c r="AR67" s="3793"/>
      <c r="AS67" s="5299"/>
      <c r="AT67" s="3795"/>
      <c r="AU67" s="3796"/>
      <c r="AV67" s="1643"/>
      <c r="AW67" s="1625"/>
      <c r="AX67" s="1625" t="str">
        <f>IF(T67="","",T67)</f>
        <v>Добавить схему подключения</v>
      </c>
      <c r="AY67" s="1625"/>
      <c r="AZ67" s="1625"/>
      <c r="BA67" s="1636">
        <v>0</v>
      </c>
    </row>
    <row s="623" customFormat="1" customHeight="1" ht="0.75">
      <c r="A68" s="1344"/>
      <c r="B68" s="1344"/>
      <c r="C68" s="1344"/>
      <c r="D68" s="1344"/>
      <c r="E68" s="2260">
        <v>1</v>
      </c>
      <c r="F68" s="2260"/>
      <c r="G68" s="2259"/>
      <c r="H68" s="1344"/>
      <c r="I68" s="1344"/>
      <c r="J68" s="1344"/>
      <c r="K68" s="1344"/>
      <c r="L68" s="1546"/>
      <c r="M68" s="1316"/>
      <c r="N68" s="1316"/>
      <c r="O68" s="1643"/>
      <c r="P68" s="1317"/>
      <c r="Q68" s="1345"/>
      <c r="R68" s="1317"/>
      <c r="S68" s="1319"/>
      <c r="T68" s="1320" t="s">
        <v>177</v>
      </c>
      <c r="U68" s="1321"/>
      <c r="V68" s="1321"/>
      <c r="W68" s="1321"/>
      <c r="X68" s="1321"/>
      <c r="Y68" s="1321"/>
      <c r="Z68" s="1321"/>
      <c r="AA68" s="1321"/>
      <c r="AB68" s="1321"/>
      <c r="AC68" s="1321"/>
      <c r="AD68" s="1321"/>
      <c r="AE68" s="1321"/>
      <c r="AF68" s="1321"/>
      <c r="AG68" s="1321"/>
      <c r="AH68" s="1321"/>
      <c r="AI68" s="1321"/>
      <c r="AJ68" s="1321"/>
      <c r="AK68" s="1321"/>
      <c r="AL68" s="1321"/>
      <c r="AM68" s="1321"/>
      <c r="AN68" s="1321"/>
      <c r="AO68" s="1321"/>
      <c r="AP68" s="1321"/>
      <c r="AQ68" s="1321"/>
      <c r="AR68" s="1321"/>
      <c r="AS68" s="1321"/>
      <c r="AT68" s="1321"/>
      <c r="AU68" s="1321"/>
      <c r="AV68" s="1643"/>
      <c r="AW68" s="1625"/>
      <c r="AX68" s="1625" t="str">
        <f>IF(T68="","",T68)</f>
        <v>Добавить источник для дифференциации</v>
      </c>
      <c r="AY68" s="1625"/>
      <c r="AZ68" s="1625"/>
      <c r="BA68" s="1643">
        <v>0</v>
      </c>
    </row>
    <row s="623" customFormat="1" customHeight="1" ht="0.75">
      <c r="A69" s="1344"/>
      <c r="B69" s="1344"/>
      <c r="C69" s="1344"/>
      <c r="D69" s="1344"/>
      <c r="E69" s="2260">
        <v>1</v>
      </c>
      <c r="F69" s="2259"/>
      <c r="G69" s="1344"/>
      <c r="H69" s="1344"/>
      <c r="I69" s="1344"/>
      <c r="J69" s="1344"/>
      <c r="K69" s="1344"/>
      <c r="L69" s="1546"/>
      <c r="M69" s="1322"/>
      <c r="N69" s="1322"/>
      <c r="O69" s="1643"/>
      <c r="P69" s="1317"/>
      <c r="Q69" s="1345"/>
      <c r="R69" s="1317"/>
      <c r="S69" s="1323"/>
      <c r="T69" s="1324" t="s">
        <v>178</v>
      </c>
      <c r="U69" s="1325"/>
      <c r="V69" s="1325"/>
      <c r="W69" s="1325"/>
      <c r="X69" s="1325"/>
      <c r="Y69" s="1325"/>
      <c r="Z69" s="1325"/>
      <c r="AA69" s="1325"/>
      <c r="AB69" s="1325"/>
      <c r="AC69" s="1325"/>
      <c r="AD69" s="1325"/>
      <c r="AE69" s="1325"/>
      <c r="AF69" s="1325"/>
      <c r="AG69" s="1325"/>
      <c r="AH69" s="1325"/>
      <c r="AI69" s="1325"/>
      <c r="AJ69" s="1325"/>
      <c r="AK69" s="1325"/>
      <c r="AL69" s="1325"/>
      <c r="AM69" s="1325"/>
      <c r="AN69" s="1325"/>
      <c r="AO69" s="1325"/>
      <c r="AP69" s="1325"/>
      <c r="AQ69" s="1325"/>
      <c r="AR69" s="1325"/>
      <c r="AS69" s="1325"/>
      <c r="AT69" s="1325"/>
      <c r="AU69" s="1325"/>
      <c r="AV69" s="1643"/>
      <c r="AW69" s="1625"/>
      <c r="AX69" s="1625" t="str">
        <f>IF(T69="","",T69)</f>
        <v>Добавить централизованную систему для дифференциации</v>
      </c>
      <c r="AY69" s="1625"/>
      <c r="AZ69" s="1625"/>
      <c r="BA69" s="1643">
        <v>0</v>
      </c>
    </row>
    <row s="623" customFormat="1" customHeight="1" ht="0.75">
      <c r="A70" s="1344"/>
      <c r="B70" s="1344"/>
      <c r="C70" s="1344"/>
      <c r="D70" s="1344"/>
      <c r="E70" s="2259">
        <v>1</v>
      </c>
      <c r="F70" s="1344"/>
      <c r="G70" s="1344"/>
      <c r="H70" s="1344"/>
      <c r="I70" s="1344"/>
      <c r="J70" s="1344"/>
      <c r="K70" s="1344"/>
      <c r="L70" s="1546"/>
      <c r="M70" s="1322"/>
      <c r="N70" s="1322"/>
      <c r="O70" s="1643"/>
      <c r="P70" s="1317"/>
      <c r="Q70" s="1345"/>
      <c r="R70" s="1317"/>
      <c r="S70" s="1323"/>
      <c r="T70" s="1326" t="s">
        <v>183</v>
      </c>
      <c r="U70" s="1325"/>
      <c r="V70" s="1325"/>
      <c r="W70" s="1325"/>
      <c r="X70" s="1325"/>
      <c r="Y70" s="1325"/>
      <c r="Z70" s="1325"/>
      <c r="AA70" s="1325"/>
      <c r="AB70" s="1325"/>
      <c r="AC70" s="1325"/>
      <c r="AD70" s="1325"/>
      <c r="AE70" s="1325"/>
      <c r="AF70" s="1325"/>
      <c r="AG70" s="1325"/>
      <c r="AH70" s="1325"/>
      <c r="AI70" s="1325"/>
      <c r="AJ70" s="1325"/>
      <c r="AK70" s="1325"/>
      <c r="AL70" s="1325"/>
      <c r="AM70" s="1325"/>
      <c r="AN70" s="1325"/>
      <c r="AO70" s="1325"/>
      <c r="AP70" s="1325"/>
      <c r="AQ70" s="1325"/>
      <c r="AR70" s="1325"/>
      <c r="AS70" s="1325"/>
      <c r="AT70" s="1325"/>
      <c r="AU70" s="1325"/>
      <c r="AV70" s="1643"/>
      <c r="AW70" s="1625"/>
      <c r="AX70" s="1625" t="str">
        <f>IF(T70="","",T70)</f>
        <v>Добавить территорию для дифференциации</v>
      </c>
      <c r="AY70" s="1625"/>
      <c r="AZ70" s="1625"/>
      <c r="BA70" s="1643">
        <v>0</v>
      </c>
    </row>
    <row s="1851" customFormat="1" customHeight="1" ht="21">
      <c r="A71" s="1364" t="s">
        <v>239</v>
      </c>
      <c r="B71" s="1364"/>
      <c r="C71" s="1364"/>
      <c r="D71" s="1364"/>
      <c r="E71" s="2259" t="s">
        <v>94</v>
      </c>
      <c r="F71" s="1364"/>
      <c r="G71" s="1364"/>
      <c r="H71" s="1364"/>
      <c r="I71" s="1364"/>
      <c r="J71" s="1364"/>
      <c r="K71" s="1364"/>
      <c r="L71" s="1370"/>
      <c r="M71" s="1366"/>
      <c r="N71" s="1366"/>
      <c r="O71" s="1366"/>
      <c r="P71" s="2398"/>
      <c r="Q71" s="1824"/>
      <c r="R71" s="356"/>
      <c r="S71" s="2274" t="str">
        <f>INDEX(PT_DIFFERENTIATION_NUM_NTAR,MATCH(A71,PT_DIFFERENTIATION_NTAR_ID,0))</f>
        <v>3</v>
      </c>
      <c r="T71" s="1526" t="s">
        <v>136</v>
      </c>
      <c r="U71" s="301"/>
      <c r="V71" s="2243"/>
      <c r="W71" s="2244"/>
      <c r="X71" s="2244"/>
      <c r="Y71" s="2244"/>
      <c r="Z71" s="2244"/>
      <c r="AA71" s="2244"/>
      <c r="AB71" s="2244"/>
      <c r="AC71" s="2245"/>
      <c r="AD71" s="2243" t="str">
        <f>INDEX(PT_DIFFERENTIATION_NTAR,MATCH(A71,PT_DIFFERENTIATION_NTAR_ID,0))</f>
        <v>Тарифы на тепловую энергию, поставляемую потребителям. Для потребителей в случае отсутствия дифференциации тарифов по схеме подключения. Населенный пункт Раякоски Печенгского муниципального округа Мурманской области</v>
      </c>
      <c r="AE71" s="2244"/>
      <c r="AF71" s="2244"/>
      <c r="AG71" s="2244"/>
      <c r="AH71" s="2244"/>
      <c r="AI71" s="2244"/>
      <c r="AJ71" s="2244"/>
      <c r="AK71" s="2244"/>
      <c r="AL71" s="2243"/>
      <c r="AM71" s="2244"/>
      <c r="AN71" s="2244"/>
      <c r="AO71" s="2244"/>
      <c r="AP71" s="2244"/>
      <c r="AQ71" s="2244"/>
      <c r="AR71" s="2244"/>
      <c r="AS71" s="5240"/>
      <c r="AT71" s="2245"/>
      <c r="AU71" s="1259" t="s">
        <v>526</v>
      </c>
      <c r="AV71" s="1643"/>
      <c r="AW71" s="1625"/>
      <c r="AX71" s="1625" t="str">
        <f>IF(T71="","",T71)</f>
        <v>Наименование тарифа</v>
      </c>
      <c r="AY71" s="1625"/>
      <c r="AZ71" s="1625"/>
      <c r="BA71" s="1636">
        <v>0</v>
      </c>
    </row>
    <row s="1851" customFormat="1" customHeight="1" ht="21">
      <c r="A72" s="1364"/>
      <c r="B72" s="1364" t="s">
        <v>240</v>
      </c>
      <c r="C72" s="1364"/>
      <c r="D72" s="1364"/>
      <c r="E72" s="2260" t="s">
        <v>107</v>
      </c>
      <c r="F72" s="2259">
        <v>1</v>
      </c>
      <c r="G72" s="1364"/>
      <c r="H72" s="1364"/>
      <c r="I72" s="1364"/>
      <c r="J72" s="1364"/>
      <c r="K72" s="1364"/>
      <c r="L72" s="1370"/>
      <c r="M72" s="1366"/>
      <c r="N72" s="1366"/>
      <c r="O72" s="1366"/>
      <c r="P72" s="2126"/>
      <c r="Q72" s="353"/>
      <c r="R72" s="354"/>
      <c r="S72" s="2274" t="str">
        <f>INDEX(PT_DIFFERENTIATION_NUM_TER,MATCH(B72,PT_DIFFERENTIATION_TER_ID,0))</f>
        <v>3.1</v>
      </c>
      <c r="T72" s="1523" t="s">
        <v>527</v>
      </c>
      <c r="U72" s="301"/>
      <c r="V72" s="2243"/>
      <c r="W72" s="2244"/>
      <c r="X72" s="2244"/>
      <c r="Y72" s="2244"/>
      <c r="Z72" s="2244"/>
      <c r="AA72" s="2244"/>
      <c r="AB72" s="2244"/>
      <c r="AC72" s="2245"/>
      <c r="AD72" s="2243" t="str">
        <f>INDEX(PT_DIFFERENTIATION_TER,MATCH(B72,PT_DIFFERENTIATION_TER_ID,0))</f>
        <v>Территория 3</v>
      </c>
      <c r="AE72" s="2244"/>
      <c r="AF72" s="2244"/>
      <c r="AG72" s="2244"/>
      <c r="AH72" s="2244"/>
      <c r="AI72" s="2244"/>
      <c r="AJ72" s="2244"/>
      <c r="AK72" s="2244"/>
      <c r="AL72" s="2243"/>
      <c r="AM72" s="2244"/>
      <c r="AN72" s="2244"/>
      <c r="AO72" s="2244"/>
      <c r="AP72" s="2244"/>
      <c r="AQ72" s="2244"/>
      <c r="AR72" s="2244"/>
      <c r="AS72" s="5240"/>
      <c r="AT72" s="2245"/>
      <c r="AU72" s="1259" t="s">
        <v>528</v>
      </c>
      <c r="AV72" s="1643"/>
      <c r="AW72" s="1625"/>
      <c r="AX72" s="1625" t="str">
        <f>IF(T72="","",T72)</f>
        <v>Территория действия тарифа</v>
      </c>
      <c r="AY72" s="1625"/>
      <c r="AZ72" s="1625"/>
      <c r="BA72" s="1636">
        <v>0</v>
      </c>
    </row>
    <row s="1851" customFormat="1" customHeight="1" ht="23.25">
      <c r="A73" s="1364"/>
      <c r="B73" s="1364"/>
      <c r="C73" s="1364" t="s">
        <v>241</v>
      </c>
      <c r="D73" s="1364"/>
      <c r="E73" s="2260" t="s">
        <v>107</v>
      </c>
      <c r="F73" s="2260"/>
      <c r="G73" s="2259">
        <v>1</v>
      </c>
      <c r="H73" s="1364"/>
      <c r="I73" s="1364"/>
      <c r="J73" s="1364"/>
      <c r="K73" s="1364"/>
      <c r="L73" s="1370"/>
      <c r="M73" s="1366"/>
      <c r="N73" s="1366"/>
      <c r="O73" s="1366"/>
      <c r="P73" s="355"/>
      <c r="Q73" s="353"/>
      <c r="R73" s="354"/>
      <c r="S73" s="2274" t="str">
        <f>INDEX(PT_DIFFERENTIATION_NUM_CS,MATCH(C73,PT_DIFFERENTIATION_CS_ID,0))</f>
        <v>3.1.1</v>
      </c>
      <c r="T73" s="310" t="s">
        <v>529</v>
      </c>
      <c r="U73" s="301"/>
      <c r="V73" s="2243"/>
      <c r="W73" s="2244"/>
      <c r="X73" s="2244"/>
      <c r="Y73" s="2244"/>
      <c r="Z73" s="2244"/>
      <c r="AA73" s="2244"/>
      <c r="AB73" s="2244"/>
      <c r="AC73" s="2245"/>
      <c r="AD73" s="2243" t="str">
        <f>INDEX(PT_DIFFERENTIATION_CS,MATCH(C73,PT_DIFFERENTIATION_CS_ID,0))</f>
        <v>закрытая система теплоснабжения нп Раякоски</v>
      </c>
      <c r="AE73" s="2244"/>
      <c r="AF73" s="2244"/>
      <c r="AG73" s="2244"/>
      <c r="AH73" s="2244"/>
      <c r="AI73" s="2244"/>
      <c r="AJ73" s="2244"/>
      <c r="AK73" s="2244"/>
      <c r="AL73" s="2243"/>
      <c r="AM73" s="2244"/>
      <c r="AN73" s="2244"/>
      <c r="AO73" s="2244"/>
      <c r="AP73" s="2244"/>
      <c r="AQ73" s="2244"/>
      <c r="AR73" s="2244"/>
      <c r="AS73" s="5240"/>
      <c r="AT73" s="2245"/>
      <c r="AU73" s="1259" t="s">
        <v>530</v>
      </c>
      <c r="AV73" s="1643"/>
      <c r="AW73" s="1625"/>
      <c r="AX73" s="1625" t="str">
        <f>IF(T73="","",T73)</f>
        <v>Наименование системы теплоснабжения </v>
      </c>
      <c r="AY73" s="1625"/>
      <c r="AZ73" s="1625"/>
      <c r="BA73" s="1636">
        <v>0</v>
      </c>
    </row>
    <row s="1851" customFormat="1" customHeight="1" ht="21">
      <c r="A74" s="1364"/>
      <c r="B74" s="1364"/>
      <c r="C74" s="1364"/>
      <c r="D74" s="1364" t="s">
        <v>242</v>
      </c>
      <c r="E74" s="2260" t="s">
        <v>107</v>
      </c>
      <c r="F74" s="2260"/>
      <c r="G74" s="2260"/>
      <c r="H74" s="2259">
        <v>1</v>
      </c>
      <c r="I74" s="1364"/>
      <c r="J74" s="1364"/>
      <c r="K74" s="1364"/>
      <c r="L74" s="1370"/>
      <c r="M74" s="1366"/>
      <c r="N74" s="1366"/>
      <c r="O74" s="1366"/>
      <c r="P74" s="355"/>
      <c r="Q74" s="353"/>
      <c r="R74" s="354"/>
      <c r="S74" s="2274" t="str">
        <f>INDEX(PT_DIFFERENTIATION_NUM_IST_TE,MATCH(D74,PT_DIFFERENTIATION_IST_TE_ID,0))</f>
        <v>3.1.1.1</v>
      </c>
      <c r="T74" s="311" t="s">
        <v>531</v>
      </c>
      <c r="U74" s="301"/>
      <c r="V74" s="2243"/>
      <c r="W74" s="2244"/>
      <c r="X74" s="2244"/>
      <c r="Y74" s="2244"/>
      <c r="Z74" s="2244"/>
      <c r="AA74" s="2244"/>
      <c r="AB74" s="2244"/>
      <c r="AC74" s="2245"/>
      <c r="AD74" s="2243" t="str">
        <f>INDEX(PT_DIFFERENTIATION_IST_TE,MATCH(D74,PT_DIFFERENTIATION_IST_TE_ID,0))</f>
        <v>Электрокотельные нп Раякоски</v>
      </c>
      <c r="AE74" s="2244"/>
      <c r="AF74" s="2244"/>
      <c r="AG74" s="2244"/>
      <c r="AH74" s="2244"/>
      <c r="AI74" s="2244"/>
      <c r="AJ74" s="2244"/>
      <c r="AK74" s="2244"/>
      <c r="AL74" s="2243"/>
      <c r="AM74" s="2244"/>
      <c r="AN74" s="2244"/>
      <c r="AO74" s="2244"/>
      <c r="AP74" s="2244"/>
      <c r="AQ74" s="2244"/>
      <c r="AR74" s="2244"/>
      <c r="AS74" s="5240"/>
      <c r="AT74" s="2245"/>
      <c r="AU74" s="1259" t="s">
        <v>532</v>
      </c>
      <c r="AV74" s="1643"/>
      <c r="AW74" s="1625"/>
      <c r="AX74" s="1625" t="str">
        <f>IF(T74="","",T74)</f>
        <v>Источник тепловой энергии  </v>
      </c>
      <c r="AY74" s="1625"/>
      <c r="AZ74" s="1625"/>
      <c r="BA74" s="1636">
        <v>0</v>
      </c>
    </row>
    <row s="1851" customFormat="1" customHeight="1" ht="47.25">
      <c r="A75" s="1364"/>
      <c r="B75" s="1364"/>
      <c r="C75" s="1364"/>
      <c r="D75" s="1364"/>
      <c r="E75" s="2260" t="s">
        <v>107</v>
      </c>
      <c r="F75" s="2260"/>
      <c r="G75" s="2260"/>
      <c r="H75" s="2260"/>
      <c r="I75" s="2257" t="str">
        <f>S74&amp;".1"</f>
        <v>3.1.1.1.1</v>
      </c>
      <c r="J75" s="1364"/>
      <c r="K75" s="1364"/>
      <c r="L75" s="1370" t="s">
        <v>533</v>
      </c>
      <c r="M75" s="1367"/>
      <c r="N75" s="1777"/>
      <c r="O75" s="1777"/>
      <c r="P75" s="2375">
        <v>1</v>
      </c>
      <c r="Q75" s="2375"/>
      <c r="R75" s="357"/>
      <c r="S75" s="2274" t="str">
        <f>$I75</f>
        <v>3.1.1.1.1</v>
      </c>
      <c r="T75" s="286" t="s">
        <v>534</v>
      </c>
      <c r="U75" s="301"/>
      <c r="V75" s="2246"/>
      <c r="W75" s="2247"/>
      <c r="X75" s="2247"/>
      <c r="Y75" s="2247"/>
      <c r="Z75" s="2247"/>
      <c r="AA75" s="2247"/>
      <c r="AB75" s="2247"/>
      <c r="AC75" s="2248"/>
      <c r="AD75" s="2246" t="s">
        <v>576</v>
      </c>
      <c r="AE75" s="2247"/>
      <c r="AF75" s="2247"/>
      <c r="AG75" s="2247"/>
      <c r="AH75" s="2247"/>
      <c r="AI75" s="2247"/>
      <c r="AJ75" s="2247"/>
      <c r="AK75" s="2247"/>
      <c r="AL75" s="2246"/>
      <c r="AM75" s="2247"/>
      <c r="AN75" s="2247"/>
      <c r="AO75" s="2247"/>
      <c r="AP75" s="2247"/>
      <c r="AQ75" s="2247"/>
      <c r="AR75" s="2247"/>
      <c r="AS75" s="5241"/>
      <c r="AT75" s="2248"/>
      <c r="AU75" s="1259" t="s">
        <v>535</v>
      </c>
      <c r="AV75" s="1643"/>
      <c r="AW75" s="1625"/>
      <c r="AX75" s="1625" t="str">
        <f>IF(T75="","",T75)</f>
        <v>Схема подключения теплопотребляющей установки к коллектору источника тепловой энергии</v>
      </c>
      <c r="AY75" s="1625"/>
      <c r="AZ75" s="1625"/>
      <c r="BA75" s="1636">
        <v>0</v>
      </c>
    </row>
    <row s="1851" customFormat="1" customHeight="1" ht="21">
      <c r="A76" s="1364"/>
      <c r="B76" s="1364"/>
      <c r="C76" s="1364"/>
      <c r="D76" s="1364"/>
      <c r="E76" s="2260" t="s">
        <v>107</v>
      </c>
      <c r="F76" s="2260"/>
      <c r="G76" s="2260"/>
      <c r="H76" s="2260"/>
      <c r="I76" s="2287"/>
      <c r="J76" s="2257" t="str">
        <f>I75&amp;".1"</f>
        <v>3.1.1.1.1.1</v>
      </c>
      <c r="K76" s="1364"/>
      <c r="L76" s="1370" t="s">
        <v>536</v>
      </c>
      <c r="M76" s="1367"/>
      <c r="N76" s="1367"/>
      <c r="O76" s="1777"/>
      <c r="P76" s="2375"/>
      <c r="Q76" s="2375">
        <v>1</v>
      </c>
      <c r="R76" s="358"/>
      <c r="S76" s="2274" t="str">
        <f>$J76</f>
        <v>3.1.1.1.1.1</v>
      </c>
      <c r="T76" s="287" t="s">
        <v>537</v>
      </c>
      <c r="U76" s="301"/>
      <c r="V76" s="2246"/>
      <c r="W76" s="2247"/>
      <c r="X76" s="2247"/>
      <c r="Y76" s="2247"/>
      <c r="Z76" s="2247"/>
      <c r="AA76" s="2247"/>
      <c r="AB76" s="2247"/>
      <c r="AC76" s="2248"/>
      <c r="AD76" s="2246" t="s">
        <v>576</v>
      </c>
      <c r="AE76" s="2247"/>
      <c r="AF76" s="2247"/>
      <c r="AG76" s="2247"/>
      <c r="AH76" s="2247"/>
      <c r="AI76" s="2247"/>
      <c r="AJ76" s="2247"/>
      <c r="AK76" s="2247"/>
      <c r="AL76" s="2246"/>
      <c r="AM76" s="2247"/>
      <c r="AN76" s="2247"/>
      <c r="AO76" s="2247"/>
      <c r="AP76" s="2247"/>
      <c r="AQ76" s="2247"/>
      <c r="AR76" s="2247"/>
      <c r="AS76" s="5241"/>
      <c r="AT76" s="2248"/>
      <c r="AU76" s="1259" t="s">
        <v>538</v>
      </c>
      <c r="AV76" s="1643"/>
      <c r="AW76" s="1625"/>
      <c r="AX76" s="1625" t="str">
        <f>IF(T76="","",T76)</f>
        <v>Группа потребителей</v>
      </c>
      <c r="AY76" s="1625"/>
      <c r="AZ76" s="1625"/>
      <c r="BA76" s="1636">
        <v>0</v>
      </c>
    </row>
    <row s="1851" customFormat="1" customHeight="1" ht="21">
      <c r="A77" s="1364"/>
      <c r="B77" s="1364"/>
      <c r="C77" s="1364"/>
      <c r="D77" s="1364"/>
      <c r="E77" s="2260" t="s">
        <v>107</v>
      </c>
      <c r="F77" s="2260"/>
      <c r="G77" s="2260"/>
      <c r="H77" s="2260"/>
      <c r="I77" s="2287"/>
      <c r="J77" s="2287"/>
      <c r="K77" s="2257" t="str">
        <f>J76&amp;".1"</f>
        <v>3.1.1.1.1.1.1</v>
      </c>
      <c r="L77" s="1370" t="s">
        <v>539</v>
      </c>
      <c r="M77" s="1367"/>
      <c r="N77" s="1367"/>
      <c r="O77" s="1367"/>
      <c r="P77" s="2375"/>
      <c r="Q77" s="2375"/>
      <c r="R77" s="358">
        <v>1</v>
      </c>
      <c r="S77" s="2274" t="str">
        <f>$K77</f>
        <v>3.1.1.1.1.1.1</v>
      </c>
      <c r="T77" s="1348" t="s">
        <v>577</v>
      </c>
      <c r="U77" s="301"/>
      <c r="V77" s="752"/>
      <c r="W77" s="326"/>
      <c r="X77" s="752"/>
      <c r="Y77" s="1258"/>
      <c r="Z77" s="2603"/>
      <c r="AA77" s="2108" t="s">
        <v>65</v>
      </c>
      <c r="AB77" s="2603"/>
      <c r="AC77" s="2108" t="s">
        <v>65</v>
      </c>
      <c r="AD77" s="752">
        <v>3190.34</v>
      </c>
      <c r="AE77" s="326"/>
      <c r="AF77" s="752"/>
      <c r="AG77" s="1258"/>
      <c r="AH77" s="2603">
        <v>46023</v>
      </c>
      <c r="AI77" s="2108" t="s">
        <v>65</v>
      </c>
      <c r="AJ77" s="2603">
        <v>46295</v>
      </c>
      <c r="AK77" s="2108" t="s">
        <v>65</v>
      </c>
      <c r="AL77" s="752">
        <v>3190.34</v>
      </c>
      <c r="AM77" s="326"/>
      <c r="AN77" s="752"/>
      <c r="AO77" s="1258"/>
      <c r="AP77" s="2603">
        <v>46296</v>
      </c>
      <c r="AQ77" s="2108" t="s">
        <v>65</v>
      </c>
      <c r="AR77" s="2603">
        <v>46387</v>
      </c>
      <c r="AS77" s="2108" t="s">
        <v>65</v>
      </c>
      <c r="AT77" s="326"/>
      <c r="AU77" s="2254" t="s">
        <v>540</v>
      </c>
      <c r="AV77" s="1643">
        <f>STRCHECKDATE(V78:AT78)</f>
      </c>
      <c r="AW77" s="1625"/>
      <c r="AX77" s="1625" t="str">
        <f>IF(T77="","",T77)</f>
        <v>вода</v>
      </c>
      <c r="AY77" s="1625"/>
      <c r="AZ77" s="1625"/>
      <c r="BA77" s="1636">
        <v>0</v>
      </c>
    </row>
    <row s="1851" customFormat="1" customHeight="1" ht="0.75">
      <c r="A78" s="1364"/>
      <c r="B78" s="1364"/>
      <c r="C78" s="1364"/>
      <c r="D78" s="1364"/>
      <c r="E78" s="2260" t="s">
        <v>107</v>
      </c>
      <c r="F78" s="2260"/>
      <c r="G78" s="2260"/>
      <c r="H78" s="2260"/>
      <c r="I78" s="2287"/>
      <c r="J78" s="2287"/>
      <c r="K78" s="2257"/>
      <c r="L78" s="1370"/>
      <c r="M78" s="1367"/>
      <c r="N78" s="1367"/>
      <c r="O78" s="1367"/>
      <c r="P78" s="2375"/>
      <c r="Q78" s="2375"/>
      <c r="R78" s="358"/>
      <c r="S78" s="2514"/>
      <c r="T78" s="301"/>
      <c r="U78" s="301"/>
      <c r="V78" s="326"/>
      <c r="W78" s="326"/>
      <c r="X78" s="326"/>
      <c r="Y78" s="329" t="str">
        <f>Z77&amp;"-"&amp;AB77</f>
        <v>-</v>
      </c>
      <c r="Z78" s="2310"/>
      <c r="AA78" s="2108"/>
      <c r="AB78" s="2310"/>
      <c r="AC78" s="2108"/>
      <c r="AD78" s="326"/>
      <c r="AE78" s="326"/>
      <c r="AF78" s="326"/>
      <c r="AG78" s="329" t="str">
        <f>AH77&amp;"-"&amp;AJ77</f>
        <v>46023-46295</v>
      </c>
      <c r="AH78" s="2310"/>
      <c r="AI78" s="2108"/>
      <c r="AJ78" s="2310"/>
      <c r="AK78" s="2108"/>
      <c r="AL78" s="326"/>
      <c r="AM78" s="326"/>
      <c r="AN78" s="326"/>
      <c r="AO78" s="329" t="str">
        <f>AP77&amp;"-"&amp;AR77</f>
        <v>46296-46387</v>
      </c>
      <c r="AP78" s="2310"/>
      <c r="AQ78" s="2108"/>
      <c r="AR78" s="2310"/>
      <c r="AS78" s="2108"/>
      <c r="AT78" s="326"/>
      <c r="AU78" s="2255"/>
      <c r="AV78" s="1643"/>
      <c r="AW78" s="1625"/>
      <c r="AX78" s="1625" t="str">
        <f>IF(T78="","",T78)</f>
        <v/>
      </c>
      <c r="AY78" s="1625"/>
      <c r="AZ78" s="1625"/>
      <c r="BA78" s="1636">
        <v>0</v>
      </c>
    </row>
    <row s="1851" customFormat="1" customHeight="1" ht="15">
      <c r="A79" s="1364"/>
      <c r="B79" s="1364"/>
      <c r="C79" s="1364"/>
      <c r="D79" s="1364"/>
      <c r="E79" s="2260" t="s">
        <v>107</v>
      </c>
      <c r="F79" s="2260"/>
      <c r="G79" s="2260"/>
      <c r="H79" s="2260"/>
      <c r="I79" s="2287"/>
      <c r="J79" s="2257"/>
      <c r="K79" s="1364"/>
      <c r="L79" s="1370"/>
      <c r="M79" s="1367"/>
      <c r="N79" s="1367"/>
      <c r="O79" s="1777"/>
      <c r="P79" s="2375"/>
      <c r="Q79" s="2375"/>
      <c r="R79" s="357"/>
      <c r="S79" s="3797"/>
      <c r="T79" s="3798" t="s">
        <v>541</v>
      </c>
      <c r="U79" s="3799"/>
      <c r="V79" s="3800"/>
      <c r="W79" s="3801"/>
      <c r="X79" s="3802"/>
      <c r="Y79" s="3803"/>
      <c r="Z79" s="3804"/>
      <c r="AA79" s="3805"/>
      <c r="AB79" s="3806"/>
      <c r="AC79" s="3807"/>
      <c r="AD79" s="3808"/>
      <c r="AE79" s="3809"/>
      <c r="AF79" s="3810"/>
      <c r="AG79" s="3811"/>
      <c r="AH79" s="3812"/>
      <c r="AI79" s="3813"/>
      <c r="AJ79" s="3814"/>
      <c r="AK79" s="3815"/>
      <c r="AL79" s="3816"/>
      <c r="AM79" s="3817"/>
      <c r="AN79" s="3818"/>
      <c r="AO79" s="3819"/>
      <c r="AP79" s="3820"/>
      <c r="AQ79" s="3821"/>
      <c r="AR79" s="3822"/>
      <c r="AS79" s="5300"/>
      <c r="AT79" s="3824"/>
      <c r="AU79" s="2256"/>
      <c r="AV79" s="1643"/>
      <c r="AW79" s="1625"/>
      <c r="AX79" s="1625" t="str">
        <f>IF(T79="","",T79)</f>
        <v>Добавить вид теплоносителя (параметры теплоносителя)</v>
      </c>
      <c r="AY79" s="1625"/>
      <c r="AZ79" s="1625"/>
      <c r="BA79" s="1636">
        <v>0</v>
      </c>
    </row>
    <row s="1851" customFormat="1" customHeight="1" ht="15">
      <c r="A80" s="1364"/>
      <c r="B80" s="1364"/>
      <c r="C80" s="1364"/>
      <c r="D80" s="1364"/>
      <c r="E80" s="2260" t="s">
        <v>107</v>
      </c>
      <c r="F80" s="2260"/>
      <c r="G80" s="2260"/>
      <c r="H80" s="2260"/>
      <c r="I80" s="2257"/>
      <c r="J80" s="1364"/>
      <c r="K80" s="1364"/>
      <c r="L80" s="1370"/>
      <c r="M80" s="1367"/>
      <c r="N80" s="1777"/>
      <c r="O80" s="1777"/>
      <c r="P80" s="2375"/>
      <c r="Q80" s="2375"/>
      <c r="R80" s="357"/>
      <c r="S80" s="3825"/>
      <c r="T80" s="3826" t="s">
        <v>542</v>
      </c>
      <c r="U80" s="3827"/>
      <c r="V80" s="3828"/>
      <c r="W80" s="3829"/>
      <c r="X80" s="3830"/>
      <c r="Y80" s="3831"/>
      <c r="Z80" s="3832"/>
      <c r="AA80" s="3833"/>
      <c r="AB80" s="3834"/>
      <c r="AC80" s="3835"/>
      <c r="AD80" s="3836"/>
      <c r="AE80" s="3837"/>
      <c r="AF80" s="3838"/>
      <c r="AG80" s="3839"/>
      <c r="AH80" s="3840"/>
      <c r="AI80" s="3841"/>
      <c r="AJ80" s="3842"/>
      <c r="AK80" s="3843"/>
      <c r="AL80" s="3844"/>
      <c r="AM80" s="3845"/>
      <c r="AN80" s="3846"/>
      <c r="AO80" s="3847"/>
      <c r="AP80" s="3848"/>
      <c r="AQ80" s="3849"/>
      <c r="AR80" s="3850"/>
      <c r="AS80" s="5301"/>
      <c r="AT80" s="3852"/>
      <c r="AU80" s="3853"/>
      <c r="AV80" s="1643"/>
      <c r="AW80" s="1625"/>
      <c r="AX80" s="1625" t="str">
        <f>IF(T80="","",T80)</f>
        <v>Добавить группу потребителей</v>
      </c>
      <c r="AY80" s="1625"/>
      <c r="AZ80" s="1625"/>
      <c r="BA80" s="1636">
        <v>0</v>
      </c>
    </row>
    <row s="1851" customFormat="1" customHeight="1" ht="14.25">
      <c r="A81" s="1364"/>
      <c r="B81" s="1364"/>
      <c r="C81" s="1364"/>
      <c r="D81" s="1364"/>
      <c r="E81" s="2260" t="s">
        <v>107</v>
      </c>
      <c r="F81" s="2260"/>
      <c r="G81" s="2260"/>
      <c r="H81" s="2259"/>
      <c r="I81" s="1364"/>
      <c r="J81" s="1364"/>
      <c r="K81" s="1364"/>
      <c r="L81" s="1370"/>
      <c r="M81" s="1366"/>
      <c r="N81" s="1366"/>
      <c r="O81" s="1367"/>
      <c r="P81" s="1824"/>
      <c r="Q81" s="376"/>
      <c r="R81" s="356"/>
      <c r="S81" s="3854"/>
      <c r="T81" s="3855" t="s">
        <v>543</v>
      </c>
      <c r="U81" s="3856"/>
      <c r="V81" s="3857"/>
      <c r="W81" s="3858"/>
      <c r="X81" s="3859"/>
      <c r="Y81" s="3860"/>
      <c r="Z81" s="3861"/>
      <c r="AA81" s="3862"/>
      <c r="AB81" s="3863"/>
      <c r="AC81" s="3864"/>
      <c r="AD81" s="3865"/>
      <c r="AE81" s="3866"/>
      <c r="AF81" s="3867"/>
      <c r="AG81" s="3868"/>
      <c r="AH81" s="3869"/>
      <c r="AI81" s="3870"/>
      <c r="AJ81" s="3871"/>
      <c r="AK81" s="3872"/>
      <c r="AL81" s="3873"/>
      <c r="AM81" s="3874"/>
      <c r="AN81" s="3875"/>
      <c r="AO81" s="3876"/>
      <c r="AP81" s="3877"/>
      <c r="AQ81" s="3878"/>
      <c r="AR81" s="3879"/>
      <c r="AS81" s="5302"/>
      <c r="AT81" s="3881"/>
      <c r="AU81" s="3882"/>
      <c r="AV81" s="1643"/>
      <c r="AW81" s="1625"/>
      <c r="AX81" s="1625" t="str">
        <f>IF(T81="","",T81)</f>
        <v>Добавить схему подключения</v>
      </c>
      <c r="AY81" s="1625"/>
      <c r="AZ81" s="1625"/>
      <c r="BA81" s="1636">
        <v>0</v>
      </c>
    </row>
    <row s="623" customFormat="1" customHeight="1" ht="0.75">
      <c r="A82" s="1344"/>
      <c r="B82" s="1344"/>
      <c r="C82" s="1344"/>
      <c r="D82" s="1344"/>
      <c r="E82" s="2260" t="s">
        <v>107</v>
      </c>
      <c r="F82" s="2260"/>
      <c r="G82" s="2259"/>
      <c r="H82" s="1344"/>
      <c r="I82" s="1344"/>
      <c r="J82" s="1344"/>
      <c r="K82" s="1344"/>
      <c r="L82" s="1546"/>
      <c r="M82" s="1316"/>
      <c r="N82" s="1316"/>
      <c r="O82" s="1643"/>
      <c r="P82" s="1317"/>
      <c r="Q82" s="1345"/>
      <c r="R82" s="1317"/>
      <c r="S82" s="1319"/>
      <c r="T82" s="1320" t="s">
        <v>177</v>
      </c>
      <c r="U82" s="1321"/>
      <c r="V82" s="1321"/>
      <c r="W82" s="1321"/>
      <c r="X82" s="1321"/>
      <c r="Y82" s="1321"/>
      <c r="Z82" s="1321"/>
      <c r="AA82" s="1321"/>
      <c r="AB82" s="1321"/>
      <c r="AC82" s="1321"/>
      <c r="AD82" s="1321"/>
      <c r="AE82" s="1321"/>
      <c r="AF82" s="1321"/>
      <c r="AG82" s="1321"/>
      <c r="AH82" s="1321"/>
      <c r="AI82" s="1321"/>
      <c r="AJ82" s="1321"/>
      <c r="AK82" s="1321"/>
      <c r="AL82" s="1321"/>
      <c r="AM82" s="1321"/>
      <c r="AN82" s="1321"/>
      <c r="AO82" s="1321"/>
      <c r="AP82" s="1321"/>
      <c r="AQ82" s="1321"/>
      <c r="AR82" s="1321"/>
      <c r="AS82" s="1321"/>
      <c r="AT82" s="1321"/>
      <c r="AU82" s="1321"/>
      <c r="AV82" s="1643"/>
      <c r="AW82" s="1625"/>
      <c r="AX82" s="1625" t="str">
        <f>IF(T82="","",T82)</f>
        <v>Добавить источник для дифференциации</v>
      </c>
      <c r="AY82" s="1625"/>
      <c r="AZ82" s="1625"/>
      <c r="BA82" s="1643">
        <v>0</v>
      </c>
    </row>
    <row s="623" customFormat="1" customHeight="1" ht="0.75">
      <c r="A83" s="1344"/>
      <c r="B83" s="1344"/>
      <c r="C83" s="1344"/>
      <c r="D83" s="1344"/>
      <c r="E83" s="2260" t="s">
        <v>107</v>
      </c>
      <c r="F83" s="2259"/>
      <c r="G83" s="1344"/>
      <c r="H83" s="1344"/>
      <c r="I83" s="1344"/>
      <c r="J83" s="1344"/>
      <c r="K83" s="1344"/>
      <c r="L83" s="1546"/>
      <c r="M83" s="1322"/>
      <c r="N83" s="1322"/>
      <c r="O83" s="1643"/>
      <c r="P83" s="1317"/>
      <c r="Q83" s="1345"/>
      <c r="R83" s="1317"/>
      <c r="S83" s="1323"/>
      <c r="T83" s="1324" t="s">
        <v>178</v>
      </c>
      <c r="U83" s="1325"/>
      <c r="V83" s="1325"/>
      <c r="W83" s="1325"/>
      <c r="X83" s="1325"/>
      <c r="Y83" s="1325"/>
      <c r="Z83" s="1325"/>
      <c r="AA83" s="1325"/>
      <c r="AB83" s="1325"/>
      <c r="AC83" s="1325"/>
      <c r="AD83" s="1325"/>
      <c r="AE83" s="1325"/>
      <c r="AF83" s="1325"/>
      <c r="AG83" s="1325"/>
      <c r="AH83" s="1325"/>
      <c r="AI83" s="1325"/>
      <c r="AJ83" s="1325"/>
      <c r="AK83" s="1325"/>
      <c r="AL83" s="1325"/>
      <c r="AM83" s="1325"/>
      <c r="AN83" s="1325"/>
      <c r="AO83" s="1325"/>
      <c r="AP83" s="1325"/>
      <c r="AQ83" s="1325"/>
      <c r="AR83" s="1325"/>
      <c r="AS83" s="1325"/>
      <c r="AT83" s="1325"/>
      <c r="AU83" s="1325"/>
      <c r="AV83" s="1643"/>
      <c r="AW83" s="1625"/>
      <c r="AX83" s="1625" t="str">
        <f>IF(T83="","",T83)</f>
        <v>Добавить централизованную систему для дифференциации</v>
      </c>
      <c r="AY83" s="1625"/>
      <c r="AZ83" s="1625"/>
      <c r="BA83" s="1643">
        <v>0</v>
      </c>
    </row>
    <row s="623" customFormat="1" customHeight="1" ht="0.75">
      <c r="A84" s="1344"/>
      <c r="B84" s="1344"/>
      <c r="C84" s="1344"/>
      <c r="D84" s="1344"/>
      <c r="E84" s="2259" t="s">
        <v>107</v>
      </c>
      <c r="F84" s="1344"/>
      <c r="G84" s="1344"/>
      <c r="H84" s="1344"/>
      <c r="I84" s="1344"/>
      <c r="J84" s="1344"/>
      <c r="K84" s="1344"/>
      <c r="L84" s="1546"/>
      <c r="M84" s="1322"/>
      <c r="N84" s="1322"/>
      <c r="O84" s="1643"/>
      <c r="P84" s="1317"/>
      <c r="Q84" s="1345"/>
      <c r="R84" s="1317"/>
      <c r="S84" s="1323"/>
      <c r="T84" s="1326" t="s">
        <v>183</v>
      </c>
      <c r="U84" s="1325"/>
      <c r="V84" s="1325"/>
      <c r="W84" s="1325"/>
      <c r="X84" s="1325"/>
      <c r="Y84" s="1325"/>
      <c r="Z84" s="1325"/>
      <c r="AA84" s="1325"/>
      <c r="AB84" s="1325"/>
      <c r="AC84" s="1325"/>
      <c r="AD84" s="1325"/>
      <c r="AE84" s="1325"/>
      <c r="AF84" s="1325"/>
      <c r="AG84" s="1325"/>
      <c r="AH84" s="1325"/>
      <c r="AI84" s="1325"/>
      <c r="AJ84" s="1325"/>
      <c r="AK84" s="1325"/>
      <c r="AL84" s="1325"/>
      <c r="AM84" s="1325"/>
      <c r="AN84" s="1325"/>
      <c r="AO84" s="1325"/>
      <c r="AP84" s="1325"/>
      <c r="AQ84" s="1325"/>
      <c r="AR84" s="1325"/>
      <c r="AS84" s="1325"/>
      <c r="AT84" s="1325"/>
      <c r="AU84" s="1325"/>
      <c r="AV84" s="1643"/>
      <c r="AW84" s="1625"/>
      <c r="AX84" s="1625" t="str">
        <f>IF(T84="","",T84)</f>
        <v>Добавить территорию для дифференциации</v>
      </c>
      <c r="AY84" s="1625"/>
      <c r="AZ84" s="1625"/>
      <c r="BA84" s="1643">
        <v>0</v>
      </c>
    </row>
    <row s="1851" customFormat="1" customHeight="1" ht="33">
      <c r="A85" s="1364" t="s">
        <v>244</v>
      </c>
      <c r="B85" s="1364"/>
      <c r="C85" s="1364"/>
      <c r="D85" s="1364"/>
      <c r="E85" s="2259" t="s">
        <v>95</v>
      </c>
      <c r="F85" s="1364"/>
      <c r="G85" s="1364"/>
      <c r="H85" s="1364"/>
      <c r="I85" s="1364"/>
      <c r="J85" s="1364"/>
      <c r="K85" s="1364"/>
      <c r="L85" s="1370"/>
      <c r="M85" s="1366"/>
      <c r="N85" s="1366"/>
      <c r="O85" s="1366"/>
      <c r="P85" s="2398"/>
      <c r="Q85" s="1824"/>
      <c r="R85" s="356"/>
      <c r="S85" s="2274" t="str">
        <f>INDEX(PT_DIFFERENTIATION_NUM_NTAR,MATCH(A85,PT_DIFFERENTIATION_NTAR_ID,0))</f>
        <v>4</v>
      </c>
      <c r="T85" s="1526" t="s">
        <v>136</v>
      </c>
      <c r="U85" s="301"/>
      <c r="V85" s="2243"/>
      <c r="W85" s="2244"/>
      <c r="X85" s="2244"/>
      <c r="Y85" s="2244"/>
      <c r="Z85" s="2244"/>
      <c r="AA85" s="2244"/>
      <c r="AB85" s="2244"/>
      <c r="AC85" s="2245"/>
      <c r="AD85" s="2243" t="str">
        <f>INDEX(PT_DIFFERENTIATION_NTAR,MATCH(A85,PT_DIFFERENTIATION_NTAR_ID,0))</f>
        <v>Тарифы на тепловую энергию, поставляемую теплоснабжающим, теплосетевым организациям, приобретающим тепловую энергию с целью компенсации потерь. Для теплоснабжающих, теплосетевых организаций, приобретающих тепловую энергию на коллекторах источника тепловой энергии (Апатитская ТЭЦ). Муниципальный округ город Кировск с подведомственной территорией Мурманской области, Муниципальный округ город Апатиты с подведомственной территорией Мурманской области</v>
      </c>
      <c r="AE85" s="2244"/>
      <c r="AF85" s="2244"/>
      <c r="AG85" s="2244"/>
      <c r="AH85" s="2244"/>
      <c r="AI85" s="2244"/>
      <c r="AJ85" s="2244"/>
      <c r="AK85" s="2244"/>
      <c r="AL85" s="2243"/>
      <c r="AM85" s="2244"/>
      <c r="AN85" s="2244"/>
      <c r="AO85" s="2244"/>
      <c r="AP85" s="2244"/>
      <c r="AQ85" s="2244"/>
      <c r="AR85" s="2244"/>
      <c r="AS85" s="5240"/>
      <c r="AT85" s="2245"/>
      <c r="AU85" s="1259" t="s">
        <v>526</v>
      </c>
      <c r="AV85" s="1643"/>
      <c r="AW85" s="1625"/>
      <c r="AX85" s="1625" t="str">
        <f>IF(T85="","",T85)</f>
        <v>Наименование тарифа</v>
      </c>
      <c r="AY85" s="1625"/>
      <c r="AZ85" s="1625"/>
      <c r="BA85" s="1636">
        <v>0</v>
      </c>
    </row>
    <row s="1851" customFormat="1" customHeight="1" ht="21">
      <c r="A86" s="1364"/>
      <c r="B86" s="1364" t="s">
        <v>245</v>
      </c>
      <c r="C86" s="1364"/>
      <c r="D86" s="1364"/>
      <c r="E86" s="2260" t="s">
        <v>94</v>
      </c>
      <c r="F86" s="2259">
        <v>1</v>
      </c>
      <c r="G86" s="1364"/>
      <c r="H86" s="1364"/>
      <c r="I86" s="1364"/>
      <c r="J86" s="1364"/>
      <c r="K86" s="1364"/>
      <c r="L86" s="1370"/>
      <c r="M86" s="1366"/>
      <c r="N86" s="1366"/>
      <c r="O86" s="1366"/>
      <c r="P86" s="2126"/>
      <c r="Q86" s="353"/>
      <c r="R86" s="354"/>
      <c r="S86" s="2274" t="str">
        <f>INDEX(PT_DIFFERENTIATION_NUM_TER,MATCH(B86,PT_DIFFERENTIATION_TER_ID,0))</f>
        <v>4.1</v>
      </c>
      <c r="T86" s="1523" t="s">
        <v>527</v>
      </c>
      <c r="U86" s="301"/>
      <c r="V86" s="2243"/>
      <c r="W86" s="2244"/>
      <c r="X86" s="2244"/>
      <c r="Y86" s="2244"/>
      <c r="Z86" s="2244"/>
      <c r="AA86" s="2244"/>
      <c r="AB86" s="2244"/>
      <c r="AC86" s="2245"/>
      <c r="AD86" s="2243" t="str">
        <f>INDEX(PT_DIFFERENTIATION_TER,MATCH(B86,PT_DIFFERENTIATION_TER_ID,0))</f>
        <v>Территория 1</v>
      </c>
      <c r="AE86" s="2244"/>
      <c r="AF86" s="2244"/>
      <c r="AG86" s="2244"/>
      <c r="AH86" s="2244"/>
      <c r="AI86" s="2244"/>
      <c r="AJ86" s="2244"/>
      <c r="AK86" s="2244"/>
      <c r="AL86" s="2243"/>
      <c r="AM86" s="2244"/>
      <c r="AN86" s="2244"/>
      <c r="AO86" s="2244"/>
      <c r="AP86" s="2244"/>
      <c r="AQ86" s="2244"/>
      <c r="AR86" s="2244"/>
      <c r="AS86" s="5240"/>
      <c r="AT86" s="2245"/>
      <c r="AU86" s="1259" t="s">
        <v>528</v>
      </c>
      <c r="AV86" s="1643"/>
      <c r="AW86" s="1625"/>
      <c r="AX86" s="1625" t="str">
        <f>IF(T86="","",T86)</f>
        <v>Территория действия тарифа</v>
      </c>
      <c r="AY86" s="1625"/>
      <c r="AZ86" s="1625"/>
      <c r="BA86" s="1636">
        <v>0</v>
      </c>
    </row>
    <row s="1851" customFormat="1" customHeight="1" ht="23.25">
      <c r="A87" s="1364"/>
      <c r="B87" s="1364"/>
      <c r="C87" s="1364" t="s">
        <v>246</v>
      </c>
      <c r="D87" s="1364"/>
      <c r="E87" s="2260" t="s">
        <v>94</v>
      </c>
      <c r="F87" s="2260"/>
      <c r="G87" s="2259">
        <v>1</v>
      </c>
      <c r="H87" s="1364"/>
      <c r="I87" s="1364"/>
      <c r="J87" s="1364"/>
      <c r="K87" s="1364"/>
      <c r="L87" s="1370"/>
      <c r="M87" s="1366"/>
      <c r="N87" s="1366"/>
      <c r="O87" s="1366"/>
      <c r="P87" s="355"/>
      <c r="Q87" s="353"/>
      <c r="R87" s="354"/>
      <c r="S87" s="2274" t="str">
        <f>INDEX(PT_DIFFERENTIATION_NUM_CS,MATCH(C87,PT_DIFFERENTIATION_CS_ID,0))</f>
        <v>4.1.1</v>
      </c>
      <c r="T87" s="310" t="s">
        <v>529</v>
      </c>
      <c r="U87" s="301"/>
      <c r="V87" s="2243"/>
      <c r="W87" s="2244"/>
      <c r="X87" s="2244"/>
      <c r="Y87" s="2244"/>
      <c r="Z87" s="2244"/>
      <c r="AA87" s="2244"/>
      <c r="AB87" s="2244"/>
      <c r="AC87" s="2245"/>
      <c r="AD87" s="2243" t="str">
        <f>INDEX(PT_DIFFERENTIATION_CS,MATCH(C87,PT_DIFFERENTIATION_CS_ID,0))</f>
        <v>открытая система теплоснабжения г. Апатиты</v>
      </c>
      <c r="AE87" s="2244"/>
      <c r="AF87" s="2244"/>
      <c r="AG87" s="2244"/>
      <c r="AH87" s="2244"/>
      <c r="AI87" s="2244"/>
      <c r="AJ87" s="2244"/>
      <c r="AK87" s="2244"/>
      <c r="AL87" s="2243"/>
      <c r="AM87" s="2244"/>
      <c r="AN87" s="2244"/>
      <c r="AO87" s="2244"/>
      <c r="AP87" s="2244"/>
      <c r="AQ87" s="2244"/>
      <c r="AR87" s="2244"/>
      <c r="AS87" s="5240"/>
      <c r="AT87" s="2245"/>
      <c r="AU87" s="1259" t="s">
        <v>530</v>
      </c>
      <c r="AV87" s="1643"/>
      <c r="AW87" s="1625"/>
      <c r="AX87" s="1625" t="str">
        <f>IF(T87="","",T87)</f>
        <v>Наименование системы теплоснабжения </v>
      </c>
      <c r="AY87" s="1625"/>
      <c r="AZ87" s="1625"/>
      <c r="BA87" s="1636">
        <v>0</v>
      </c>
    </row>
    <row s="1851" customFormat="1" customHeight="1" ht="21">
      <c r="A88" s="1364"/>
      <c r="B88" s="1364"/>
      <c r="C88" s="1364"/>
      <c r="D88" s="1364" t="s">
        <v>247</v>
      </c>
      <c r="E88" s="2260" t="s">
        <v>94</v>
      </c>
      <c r="F88" s="2260"/>
      <c r="G88" s="2260"/>
      <c r="H88" s="2259">
        <v>1</v>
      </c>
      <c r="I88" s="1364"/>
      <c r="J88" s="1364"/>
      <c r="K88" s="1364"/>
      <c r="L88" s="1370"/>
      <c r="M88" s="1366"/>
      <c r="N88" s="1366"/>
      <c r="O88" s="1366"/>
      <c r="P88" s="355"/>
      <c r="Q88" s="353"/>
      <c r="R88" s="354"/>
      <c r="S88" s="2274" t="str">
        <f>INDEX(PT_DIFFERENTIATION_NUM_IST_TE,MATCH(D88,PT_DIFFERENTIATION_IST_TE_ID,0))</f>
        <v>4.1.1.1</v>
      </c>
      <c r="T88" s="311" t="s">
        <v>531</v>
      </c>
      <c r="U88" s="301"/>
      <c r="V88" s="2243"/>
      <c r="W88" s="2244"/>
      <c r="X88" s="2244"/>
      <c r="Y88" s="2244"/>
      <c r="Z88" s="2244"/>
      <c r="AA88" s="2244"/>
      <c r="AB88" s="2244"/>
      <c r="AC88" s="2245"/>
      <c r="AD88" s="2243" t="str">
        <f>INDEX(PT_DIFFERENTIATION_IST_TE,MATCH(D88,PT_DIFFERENTIATION_IST_TE_ID,0))</f>
        <v>Апатитская ТЭЦ</v>
      </c>
      <c r="AE88" s="2244"/>
      <c r="AF88" s="2244"/>
      <c r="AG88" s="2244"/>
      <c r="AH88" s="2244"/>
      <c r="AI88" s="2244"/>
      <c r="AJ88" s="2244"/>
      <c r="AK88" s="2244"/>
      <c r="AL88" s="2243"/>
      <c r="AM88" s="2244"/>
      <c r="AN88" s="2244"/>
      <c r="AO88" s="2244"/>
      <c r="AP88" s="2244"/>
      <c r="AQ88" s="2244"/>
      <c r="AR88" s="2244"/>
      <c r="AS88" s="5240"/>
      <c r="AT88" s="2245"/>
      <c r="AU88" s="1259" t="s">
        <v>532</v>
      </c>
      <c r="AV88" s="1643"/>
      <c r="AW88" s="1625"/>
      <c r="AX88" s="1625" t="str">
        <f>IF(T88="","",T88)</f>
        <v>Источник тепловой энергии  </v>
      </c>
      <c r="AY88" s="1625"/>
      <c r="AZ88" s="1625"/>
      <c r="BA88" s="1636">
        <v>0</v>
      </c>
    </row>
    <row s="1851" customFormat="1" customHeight="1" ht="47.25">
      <c r="A89" s="1364"/>
      <c r="B89" s="1364"/>
      <c r="C89" s="1364"/>
      <c r="D89" s="1364"/>
      <c r="E89" s="2260" t="s">
        <v>94</v>
      </c>
      <c r="F89" s="2260"/>
      <c r="G89" s="2260"/>
      <c r="H89" s="2260"/>
      <c r="I89" s="2257" t="str">
        <f>S88&amp;".1"</f>
        <v>4.1.1.1.1</v>
      </c>
      <c r="J89" s="1364"/>
      <c r="K89" s="1364"/>
      <c r="L89" s="1370" t="s">
        <v>533</v>
      </c>
      <c r="M89" s="1367"/>
      <c r="N89" s="1777"/>
      <c r="O89" s="1777"/>
      <c r="P89" s="2375">
        <v>1</v>
      </c>
      <c r="Q89" s="2375"/>
      <c r="R89" s="357"/>
      <c r="S89" s="2274" t="str">
        <f>$I89</f>
        <v>4.1.1.1.1</v>
      </c>
      <c r="T89" s="286" t="s">
        <v>534</v>
      </c>
      <c r="U89" s="301"/>
      <c r="V89" s="2246"/>
      <c r="W89" s="2247"/>
      <c r="X89" s="2247"/>
      <c r="Y89" s="2247"/>
      <c r="Z89" s="2247"/>
      <c r="AA89" s="2247"/>
      <c r="AB89" s="2247"/>
      <c r="AC89" s="2248"/>
      <c r="AD89" s="2246" t="s">
        <v>576</v>
      </c>
      <c r="AE89" s="2247"/>
      <c r="AF89" s="2247"/>
      <c r="AG89" s="2247"/>
      <c r="AH89" s="2247"/>
      <c r="AI89" s="2247"/>
      <c r="AJ89" s="2247"/>
      <c r="AK89" s="2247"/>
      <c r="AL89" s="2246"/>
      <c r="AM89" s="2247"/>
      <c r="AN89" s="2247"/>
      <c r="AO89" s="2247"/>
      <c r="AP89" s="2247"/>
      <c r="AQ89" s="2247"/>
      <c r="AR89" s="2247"/>
      <c r="AS89" s="5241"/>
      <c r="AT89" s="2248"/>
      <c r="AU89" s="1259" t="s">
        <v>535</v>
      </c>
      <c r="AV89" s="1643"/>
      <c r="AW89" s="1625"/>
      <c r="AX89" s="1625" t="str">
        <f>IF(T89="","",T89)</f>
        <v>Схема подключения теплопотребляющей установки к коллектору источника тепловой энергии</v>
      </c>
      <c r="AY89" s="1625"/>
      <c r="AZ89" s="1625"/>
      <c r="BA89" s="1636">
        <v>0</v>
      </c>
    </row>
    <row s="1851" customFormat="1" customHeight="1" ht="21">
      <c r="A90" s="1364"/>
      <c r="B90" s="1364"/>
      <c r="C90" s="1364"/>
      <c r="D90" s="1364"/>
      <c r="E90" s="2260" t="s">
        <v>94</v>
      </c>
      <c r="F90" s="2260"/>
      <c r="G90" s="2260"/>
      <c r="H90" s="2260"/>
      <c r="I90" s="2287"/>
      <c r="J90" s="2257" t="str">
        <f>I89&amp;".1"</f>
        <v>4.1.1.1.1.1</v>
      </c>
      <c r="K90" s="1364"/>
      <c r="L90" s="1370" t="s">
        <v>536</v>
      </c>
      <c r="M90" s="1367"/>
      <c r="N90" s="1367"/>
      <c r="O90" s="1777"/>
      <c r="P90" s="2375"/>
      <c r="Q90" s="2375">
        <v>1</v>
      </c>
      <c r="R90" s="358"/>
      <c r="S90" s="2274" t="str">
        <f>$J90</f>
        <v>4.1.1.1.1.1</v>
      </c>
      <c r="T90" s="287" t="s">
        <v>537</v>
      </c>
      <c r="U90" s="301"/>
      <c r="V90" s="2246"/>
      <c r="W90" s="2247"/>
      <c r="X90" s="2247"/>
      <c r="Y90" s="2247"/>
      <c r="Z90" s="2247"/>
      <c r="AA90" s="2247"/>
      <c r="AB90" s="2247"/>
      <c r="AC90" s="2248"/>
      <c r="AD90" s="2246" t="s">
        <v>576</v>
      </c>
      <c r="AE90" s="2247"/>
      <c r="AF90" s="2247"/>
      <c r="AG90" s="2247"/>
      <c r="AH90" s="2247"/>
      <c r="AI90" s="2247"/>
      <c r="AJ90" s="2247"/>
      <c r="AK90" s="2247"/>
      <c r="AL90" s="2246"/>
      <c r="AM90" s="2247"/>
      <c r="AN90" s="2247"/>
      <c r="AO90" s="2247"/>
      <c r="AP90" s="2247"/>
      <c r="AQ90" s="2247"/>
      <c r="AR90" s="2247"/>
      <c r="AS90" s="5241"/>
      <c r="AT90" s="2248"/>
      <c r="AU90" s="1259" t="s">
        <v>538</v>
      </c>
      <c r="AV90" s="1643"/>
      <c r="AW90" s="1625"/>
      <c r="AX90" s="1625" t="str">
        <f>IF(T90="","",T90)</f>
        <v>Группа потребителей</v>
      </c>
      <c r="AY90" s="1625"/>
      <c r="AZ90" s="1625"/>
      <c r="BA90" s="1636">
        <v>0</v>
      </c>
    </row>
    <row s="1851" customFormat="1" customHeight="1" ht="21">
      <c r="A91" s="1364"/>
      <c r="B91" s="1364"/>
      <c r="C91" s="1364"/>
      <c r="D91" s="1364"/>
      <c r="E91" s="2260" t="s">
        <v>94</v>
      </c>
      <c r="F91" s="2260"/>
      <c r="G91" s="2260"/>
      <c r="H91" s="2260"/>
      <c r="I91" s="2287"/>
      <c r="J91" s="2287"/>
      <c r="K91" s="2257" t="str">
        <f>J90&amp;".1"</f>
        <v>4.1.1.1.1.1.1</v>
      </c>
      <c r="L91" s="1370" t="s">
        <v>539</v>
      </c>
      <c r="M91" s="1367"/>
      <c r="N91" s="1367"/>
      <c r="O91" s="1367"/>
      <c r="P91" s="2375"/>
      <c r="Q91" s="2375"/>
      <c r="R91" s="358">
        <v>1</v>
      </c>
      <c r="S91" s="2274" t="str">
        <f>$K91</f>
        <v>4.1.1.1.1.1.1</v>
      </c>
      <c r="T91" s="1348" t="s">
        <v>577</v>
      </c>
      <c r="U91" s="301"/>
      <c r="V91" s="752"/>
      <c r="W91" s="326"/>
      <c r="X91" s="752"/>
      <c r="Y91" s="1258"/>
      <c r="Z91" s="2603"/>
      <c r="AA91" s="2108" t="s">
        <v>65</v>
      </c>
      <c r="AB91" s="2603"/>
      <c r="AC91" s="2108" t="s">
        <v>65</v>
      </c>
      <c r="AD91" s="752">
        <v>2143.27</v>
      </c>
      <c r="AE91" s="326"/>
      <c r="AF91" s="752"/>
      <c r="AG91" s="1258"/>
      <c r="AH91" s="2603">
        <v>46023</v>
      </c>
      <c r="AI91" s="2108" t="s">
        <v>65</v>
      </c>
      <c r="AJ91" s="2603">
        <v>46295</v>
      </c>
      <c r="AK91" s="2108" t="s">
        <v>65</v>
      </c>
      <c r="AL91" s="752">
        <v>2143.27</v>
      </c>
      <c r="AM91" s="326"/>
      <c r="AN91" s="752"/>
      <c r="AO91" s="1258"/>
      <c r="AP91" s="2603">
        <v>46296</v>
      </c>
      <c r="AQ91" s="2108" t="s">
        <v>65</v>
      </c>
      <c r="AR91" s="2603">
        <v>46387</v>
      </c>
      <c r="AS91" s="2108" t="s">
        <v>65</v>
      </c>
      <c r="AT91" s="326"/>
      <c r="AU91" s="2254" t="s">
        <v>540</v>
      </c>
      <c r="AV91" s="1643">
        <f>STRCHECKDATE(V92:AT92)</f>
      </c>
      <c r="AW91" s="1625"/>
      <c r="AX91" s="1625" t="str">
        <f>IF(T91="","",T91)</f>
        <v>вода</v>
      </c>
      <c r="AY91" s="1625"/>
      <c r="AZ91" s="1625"/>
      <c r="BA91" s="1636">
        <v>0</v>
      </c>
    </row>
    <row s="1851" customFormat="1" customHeight="1" ht="0.75">
      <c r="A92" s="1364"/>
      <c r="B92" s="1364"/>
      <c r="C92" s="1364"/>
      <c r="D92" s="1364"/>
      <c r="E92" s="2260" t="s">
        <v>94</v>
      </c>
      <c r="F92" s="2260"/>
      <c r="G92" s="2260"/>
      <c r="H92" s="2260"/>
      <c r="I92" s="2287"/>
      <c r="J92" s="2287"/>
      <c r="K92" s="2257"/>
      <c r="L92" s="1370"/>
      <c r="M92" s="1367"/>
      <c r="N92" s="1367"/>
      <c r="O92" s="1367"/>
      <c r="P92" s="2375"/>
      <c r="Q92" s="2375"/>
      <c r="R92" s="358"/>
      <c r="S92" s="2514"/>
      <c r="T92" s="301"/>
      <c r="U92" s="301"/>
      <c r="V92" s="326"/>
      <c r="W92" s="326"/>
      <c r="X92" s="326"/>
      <c r="Y92" s="329" t="str">
        <f>Z91&amp;"-"&amp;AB91</f>
        <v>-</v>
      </c>
      <c r="Z92" s="2310"/>
      <c r="AA92" s="2108"/>
      <c r="AB92" s="2310"/>
      <c r="AC92" s="2108"/>
      <c r="AD92" s="326"/>
      <c r="AE92" s="326"/>
      <c r="AF92" s="326"/>
      <c r="AG92" s="329" t="str">
        <f>AH91&amp;"-"&amp;AJ91</f>
        <v>46023-46295</v>
      </c>
      <c r="AH92" s="2310"/>
      <c r="AI92" s="2108"/>
      <c r="AJ92" s="2310"/>
      <c r="AK92" s="2108"/>
      <c r="AL92" s="326"/>
      <c r="AM92" s="326"/>
      <c r="AN92" s="326"/>
      <c r="AO92" s="329" t="str">
        <f>AP91&amp;"-"&amp;AR91</f>
        <v>46296-46387</v>
      </c>
      <c r="AP92" s="2310"/>
      <c r="AQ92" s="2108"/>
      <c r="AR92" s="2310"/>
      <c r="AS92" s="2108"/>
      <c r="AT92" s="326"/>
      <c r="AU92" s="2255"/>
      <c r="AV92" s="1643"/>
      <c r="AW92" s="1625"/>
      <c r="AX92" s="1625" t="str">
        <f>IF(T92="","",T92)</f>
        <v/>
      </c>
      <c r="AY92" s="1625"/>
      <c r="AZ92" s="1625"/>
      <c r="BA92" s="1636">
        <v>0</v>
      </c>
    </row>
    <row s="1851" customFormat="1" customHeight="1" ht="15">
      <c r="A93" s="1364"/>
      <c r="B93" s="1364"/>
      <c r="C93" s="1364"/>
      <c r="D93" s="1364"/>
      <c r="E93" s="2260" t="s">
        <v>94</v>
      </c>
      <c r="F93" s="2260"/>
      <c r="G93" s="2260"/>
      <c r="H93" s="2260"/>
      <c r="I93" s="2287"/>
      <c r="J93" s="2257"/>
      <c r="K93" s="1364"/>
      <c r="L93" s="1370"/>
      <c r="M93" s="1367"/>
      <c r="N93" s="1367"/>
      <c r="O93" s="1777"/>
      <c r="P93" s="2375"/>
      <c r="Q93" s="2375"/>
      <c r="R93" s="357"/>
      <c r="S93" s="3883"/>
      <c r="T93" s="3884" t="s">
        <v>541</v>
      </c>
      <c r="U93" s="3885"/>
      <c r="V93" s="3886"/>
      <c r="W93" s="3887"/>
      <c r="X93" s="3888"/>
      <c r="Y93" s="3889"/>
      <c r="Z93" s="3890"/>
      <c r="AA93" s="3891"/>
      <c r="AB93" s="3892"/>
      <c r="AC93" s="3893"/>
      <c r="AD93" s="3894"/>
      <c r="AE93" s="3895"/>
      <c r="AF93" s="3896"/>
      <c r="AG93" s="3897"/>
      <c r="AH93" s="3898"/>
      <c r="AI93" s="3899"/>
      <c r="AJ93" s="3900"/>
      <c r="AK93" s="3901"/>
      <c r="AL93" s="3902"/>
      <c r="AM93" s="3903"/>
      <c r="AN93" s="3904"/>
      <c r="AO93" s="3905"/>
      <c r="AP93" s="3906"/>
      <c r="AQ93" s="3907"/>
      <c r="AR93" s="3908"/>
      <c r="AS93" s="5303"/>
      <c r="AT93" s="3910"/>
      <c r="AU93" s="2256"/>
      <c r="AV93" s="1643"/>
      <c r="AW93" s="1625"/>
      <c r="AX93" s="1625" t="str">
        <f>IF(T93="","",T93)</f>
        <v>Добавить вид теплоносителя (параметры теплоносителя)</v>
      </c>
      <c r="AY93" s="1625"/>
      <c r="AZ93" s="1625"/>
      <c r="BA93" s="1636">
        <v>0</v>
      </c>
    </row>
    <row s="1851" customFormat="1" customHeight="1" ht="15">
      <c r="A94" s="1364"/>
      <c r="B94" s="1364"/>
      <c r="C94" s="1364"/>
      <c r="D94" s="1364"/>
      <c r="E94" s="2260" t="s">
        <v>94</v>
      </c>
      <c r="F94" s="2260"/>
      <c r="G94" s="2260"/>
      <c r="H94" s="2260"/>
      <c r="I94" s="2257"/>
      <c r="J94" s="1364"/>
      <c r="K94" s="1364"/>
      <c r="L94" s="1370"/>
      <c r="M94" s="1367"/>
      <c r="N94" s="1777"/>
      <c r="O94" s="1777"/>
      <c r="P94" s="2375"/>
      <c r="Q94" s="2375"/>
      <c r="R94" s="357"/>
      <c r="S94" s="3911"/>
      <c r="T94" s="3912" t="s">
        <v>542</v>
      </c>
      <c r="U94" s="3913"/>
      <c r="V94" s="3914"/>
      <c r="W94" s="3915"/>
      <c r="X94" s="3916"/>
      <c r="Y94" s="3917"/>
      <c r="Z94" s="3918"/>
      <c r="AA94" s="3919"/>
      <c r="AB94" s="3920"/>
      <c r="AC94" s="3921"/>
      <c r="AD94" s="3922"/>
      <c r="AE94" s="3923"/>
      <c r="AF94" s="3924"/>
      <c r="AG94" s="3925"/>
      <c r="AH94" s="3926"/>
      <c r="AI94" s="3927"/>
      <c r="AJ94" s="3928"/>
      <c r="AK94" s="3929"/>
      <c r="AL94" s="3930"/>
      <c r="AM94" s="3931"/>
      <c r="AN94" s="3932"/>
      <c r="AO94" s="3933"/>
      <c r="AP94" s="3934"/>
      <c r="AQ94" s="3935"/>
      <c r="AR94" s="3936"/>
      <c r="AS94" s="5304"/>
      <c r="AT94" s="3938"/>
      <c r="AU94" s="3939"/>
      <c r="AV94" s="1643"/>
      <c r="AW94" s="1625"/>
      <c r="AX94" s="1625" t="str">
        <f>IF(T94="","",T94)</f>
        <v>Добавить группу потребителей</v>
      </c>
      <c r="AY94" s="1625"/>
      <c r="AZ94" s="1625"/>
      <c r="BA94" s="1636">
        <v>0</v>
      </c>
    </row>
    <row s="1851" customFormat="1" customHeight="1" ht="14.25">
      <c r="A95" s="1364"/>
      <c r="B95" s="1364"/>
      <c r="C95" s="1364"/>
      <c r="D95" s="1364"/>
      <c r="E95" s="2260" t="s">
        <v>94</v>
      </c>
      <c r="F95" s="2260"/>
      <c r="G95" s="2260"/>
      <c r="H95" s="2259"/>
      <c r="I95" s="1364"/>
      <c r="J95" s="1364"/>
      <c r="K95" s="1364"/>
      <c r="L95" s="1370"/>
      <c r="M95" s="1366"/>
      <c r="N95" s="1366"/>
      <c r="O95" s="1367"/>
      <c r="P95" s="1824"/>
      <c r="Q95" s="376"/>
      <c r="R95" s="356"/>
      <c r="S95" s="3940"/>
      <c r="T95" s="3941" t="s">
        <v>543</v>
      </c>
      <c r="U95" s="3942"/>
      <c r="V95" s="3943"/>
      <c r="W95" s="3944"/>
      <c r="X95" s="3945"/>
      <c r="Y95" s="3946"/>
      <c r="Z95" s="3947"/>
      <c r="AA95" s="3948"/>
      <c r="AB95" s="3949"/>
      <c r="AC95" s="3950"/>
      <c r="AD95" s="3951"/>
      <c r="AE95" s="3952"/>
      <c r="AF95" s="3953"/>
      <c r="AG95" s="3954"/>
      <c r="AH95" s="3955"/>
      <c r="AI95" s="3956"/>
      <c r="AJ95" s="3957"/>
      <c r="AK95" s="3958"/>
      <c r="AL95" s="3959"/>
      <c r="AM95" s="3960"/>
      <c r="AN95" s="3961"/>
      <c r="AO95" s="3962"/>
      <c r="AP95" s="3963"/>
      <c r="AQ95" s="3964"/>
      <c r="AR95" s="3965"/>
      <c r="AS95" s="5305"/>
      <c r="AT95" s="3967"/>
      <c r="AU95" s="3968"/>
      <c r="AV95" s="1643"/>
      <c r="AW95" s="1625"/>
      <c r="AX95" s="1625" t="str">
        <f>IF(T95="","",T95)</f>
        <v>Добавить схему подключения</v>
      </c>
      <c r="AY95" s="1625"/>
      <c r="AZ95" s="1625"/>
      <c r="BA95" s="1636">
        <v>0</v>
      </c>
    </row>
    <row s="623" customFormat="1" customHeight="1" ht="0.75">
      <c r="A96" s="1344"/>
      <c r="B96" s="1344"/>
      <c r="C96" s="1344"/>
      <c r="D96" s="1344"/>
      <c r="E96" s="2260" t="s">
        <v>94</v>
      </c>
      <c r="F96" s="2260"/>
      <c r="G96" s="2259"/>
      <c r="H96" s="1344"/>
      <c r="I96" s="1344"/>
      <c r="J96" s="1344"/>
      <c r="K96" s="1344"/>
      <c r="L96" s="1546"/>
      <c r="M96" s="1316"/>
      <c r="N96" s="1316"/>
      <c r="O96" s="1643"/>
      <c r="P96" s="1317"/>
      <c r="Q96" s="1345"/>
      <c r="R96" s="1317"/>
      <c r="S96" s="1319"/>
      <c r="T96" s="1320" t="s">
        <v>177</v>
      </c>
      <c r="U96" s="1321"/>
      <c r="V96" s="1321"/>
      <c r="W96" s="1321"/>
      <c r="X96" s="1321"/>
      <c r="Y96" s="1321"/>
      <c r="Z96" s="1321"/>
      <c r="AA96" s="1321"/>
      <c r="AB96" s="1321"/>
      <c r="AC96" s="1321"/>
      <c r="AD96" s="1321"/>
      <c r="AE96" s="1321"/>
      <c r="AF96" s="1321"/>
      <c r="AG96" s="1321"/>
      <c r="AH96" s="1321"/>
      <c r="AI96" s="1321"/>
      <c r="AJ96" s="1321"/>
      <c r="AK96" s="1321"/>
      <c r="AL96" s="1321"/>
      <c r="AM96" s="1321"/>
      <c r="AN96" s="1321"/>
      <c r="AO96" s="1321"/>
      <c r="AP96" s="1321"/>
      <c r="AQ96" s="1321"/>
      <c r="AR96" s="1321"/>
      <c r="AS96" s="1321"/>
      <c r="AT96" s="1321"/>
      <c r="AU96" s="1321"/>
      <c r="AV96" s="1643"/>
      <c r="AW96" s="1625"/>
      <c r="AX96" s="1625" t="str">
        <f>IF(T96="","",T96)</f>
        <v>Добавить источник для дифференциации</v>
      </c>
      <c r="AY96" s="1625"/>
      <c r="AZ96" s="1625"/>
      <c r="BA96" s="1643">
        <v>0</v>
      </c>
    </row>
    <row s="623" customFormat="1" customHeight="1" ht="0.75">
      <c r="A97" s="1344"/>
      <c r="B97" s="1344"/>
      <c r="C97" s="1344"/>
      <c r="D97" s="1344"/>
      <c r="E97" s="2260" t="s">
        <v>94</v>
      </c>
      <c r="F97" s="2259"/>
      <c r="G97" s="1344"/>
      <c r="H97" s="1344"/>
      <c r="I97" s="1344"/>
      <c r="J97" s="1344"/>
      <c r="K97" s="1344"/>
      <c r="L97" s="1546"/>
      <c r="M97" s="1322"/>
      <c r="N97" s="1322"/>
      <c r="O97" s="1643"/>
      <c r="P97" s="1317"/>
      <c r="Q97" s="1345"/>
      <c r="R97" s="1317"/>
      <c r="S97" s="1323"/>
      <c r="T97" s="1324" t="s">
        <v>178</v>
      </c>
      <c r="U97" s="1325"/>
      <c r="V97" s="1325"/>
      <c r="W97" s="1325"/>
      <c r="X97" s="1325"/>
      <c r="Y97" s="1325"/>
      <c r="Z97" s="1325"/>
      <c r="AA97" s="1325"/>
      <c r="AB97" s="1325"/>
      <c r="AC97" s="1325"/>
      <c r="AD97" s="1325"/>
      <c r="AE97" s="1325"/>
      <c r="AF97" s="1325"/>
      <c r="AG97" s="1325"/>
      <c r="AH97" s="1325"/>
      <c r="AI97" s="1325"/>
      <c r="AJ97" s="1325"/>
      <c r="AK97" s="1325"/>
      <c r="AL97" s="1325"/>
      <c r="AM97" s="1325"/>
      <c r="AN97" s="1325"/>
      <c r="AO97" s="1325"/>
      <c r="AP97" s="1325"/>
      <c r="AQ97" s="1325"/>
      <c r="AR97" s="1325"/>
      <c r="AS97" s="1325"/>
      <c r="AT97" s="1325"/>
      <c r="AU97" s="1325"/>
      <c r="AV97" s="1643"/>
      <c r="AW97" s="1625"/>
      <c r="AX97" s="1625" t="str">
        <f>IF(T97="","",T97)</f>
        <v>Добавить централизованную систему для дифференциации</v>
      </c>
      <c r="AY97" s="1625"/>
      <c r="AZ97" s="1625"/>
      <c r="BA97" s="1643">
        <v>0</v>
      </c>
    </row>
    <row s="1851" customFormat="1" customHeight="1" ht="21">
      <c r="A98" s="1364"/>
      <c r="B98" s="1364" t="s">
        <v>248</v>
      </c>
      <c r="C98" s="1364"/>
      <c r="D98" s="1364"/>
      <c r="E98" s="2260"/>
      <c r="F98" s="2259" t="s">
        <v>107</v>
      </c>
      <c r="G98" s="1364"/>
      <c r="H98" s="1364"/>
      <c r="I98" s="1364"/>
      <c r="J98" s="1364"/>
      <c r="K98" s="1364"/>
      <c r="L98" s="1370"/>
      <c r="M98" s="1366"/>
      <c r="N98" s="1366"/>
      <c r="O98" s="1366"/>
      <c r="P98" s="2126"/>
      <c r="Q98" s="353"/>
      <c r="R98" s="354"/>
      <c r="S98" s="2274" t="str">
        <f>INDEX(PT_DIFFERENTIATION_NUM_TER,MATCH(B98,PT_DIFFERENTIATION_TER_ID,0))</f>
        <v>4.2</v>
      </c>
      <c r="T98" s="1523" t="s">
        <v>527</v>
      </c>
      <c r="U98" s="301"/>
      <c r="V98" s="2243"/>
      <c r="W98" s="2244"/>
      <c r="X98" s="2244"/>
      <c r="Y98" s="2244"/>
      <c r="Z98" s="2244"/>
      <c r="AA98" s="2244"/>
      <c r="AB98" s="2244"/>
      <c r="AC98" s="2245"/>
      <c r="AD98" s="2243" t="str">
        <f>INDEX(PT_DIFFERENTIATION_TER,MATCH(B98,PT_DIFFERENTIATION_TER_ID,0))</f>
        <v>Территория 2</v>
      </c>
      <c r="AE98" s="2244"/>
      <c r="AF98" s="2244"/>
      <c r="AG98" s="2244"/>
      <c r="AH98" s="2244"/>
      <c r="AI98" s="2244"/>
      <c r="AJ98" s="2244"/>
      <c r="AK98" s="2244"/>
      <c r="AL98" s="2243"/>
      <c r="AM98" s="2244"/>
      <c r="AN98" s="2244"/>
      <c r="AO98" s="2244"/>
      <c r="AP98" s="2244"/>
      <c r="AQ98" s="2244"/>
      <c r="AR98" s="2244"/>
      <c r="AS98" s="5240"/>
      <c r="AT98" s="2245"/>
      <c r="AU98" s="1259" t="s">
        <v>528</v>
      </c>
      <c r="AV98" s="1643"/>
      <c r="AW98" s="1625"/>
      <c r="AX98" s="1625" t="str">
        <f>IF(T98="","",T98)</f>
        <v>Территория действия тарифа</v>
      </c>
      <c r="AY98" s="1625"/>
      <c r="AZ98" s="1625"/>
      <c r="BA98" s="1636">
        <v>0</v>
      </c>
    </row>
    <row s="1851" customFormat="1" customHeight="1" ht="23.25">
      <c r="A99" s="1364"/>
      <c r="B99" s="1364"/>
      <c r="C99" s="1364" t="s">
        <v>249</v>
      </c>
      <c r="D99" s="1364"/>
      <c r="E99" s="2260"/>
      <c r="F99" s="2260">
        <v>1</v>
      </c>
      <c r="G99" s="2259">
        <v>1</v>
      </c>
      <c r="H99" s="1364"/>
      <c r="I99" s="1364"/>
      <c r="J99" s="1364"/>
      <c r="K99" s="1364"/>
      <c r="L99" s="1370"/>
      <c r="M99" s="1366"/>
      <c r="N99" s="1366"/>
      <c r="O99" s="1366"/>
      <c r="P99" s="355"/>
      <c r="Q99" s="353"/>
      <c r="R99" s="354"/>
      <c r="S99" s="2274" t="str">
        <f>INDEX(PT_DIFFERENTIATION_NUM_CS,MATCH(C99,PT_DIFFERENTIATION_CS_ID,0))</f>
        <v>4.2.1</v>
      </c>
      <c r="T99" s="310" t="s">
        <v>529</v>
      </c>
      <c r="U99" s="301"/>
      <c r="V99" s="2243"/>
      <c r="W99" s="2244"/>
      <c r="X99" s="2244"/>
      <c r="Y99" s="2244"/>
      <c r="Z99" s="2244"/>
      <c r="AA99" s="2244"/>
      <c r="AB99" s="2244"/>
      <c r="AC99" s="2245"/>
      <c r="AD99" s="2243" t="str">
        <f>INDEX(PT_DIFFERENTIATION_CS,MATCH(C99,PT_DIFFERENTIATION_CS_ID,0))</f>
        <v>открытая система теплоснабжения г. Кировск</v>
      </c>
      <c r="AE99" s="2244"/>
      <c r="AF99" s="2244"/>
      <c r="AG99" s="2244"/>
      <c r="AH99" s="2244"/>
      <c r="AI99" s="2244"/>
      <c r="AJ99" s="2244"/>
      <c r="AK99" s="2244"/>
      <c r="AL99" s="2243"/>
      <c r="AM99" s="2244"/>
      <c r="AN99" s="2244"/>
      <c r="AO99" s="2244"/>
      <c r="AP99" s="2244"/>
      <c r="AQ99" s="2244"/>
      <c r="AR99" s="2244"/>
      <c r="AS99" s="5240"/>
      <c r="AT99" s="2245"/>
      <c r="AU99" s="1259" t="s">
        <v>530</v>
      </c>
      <c r="AV99" s="1643"/>
      <c r="AW99" s="1625"/>
      <c r="AX99" s="1625" t="str">
        <f>IF(T99="","",T99)</f>
        <v>Наименование системы теплоснабжения </v>
      </c>
      <c r="AY99" s="1625"/>
      <c r="AZ99" s="1625"/>
      <c r="BA99" s="1636">
        <v>0</v>
      </c>
    </row>
    <row s="1851" customFormat="1" customHeight="1" ht="21">
      <c r="A100" s="1364"/>
      <c r="B100" s="1364"/>
      <c r="C100" s="1364"/>
      <c r="D100" s="1364" t="s">
        <v>250</v>
      </c>
      <c r="E100" s="2260"/>
      <c r="F100" s="2260">
        <v>1</v>
      </c>
      <c r="G100" s="2260"/>
      <c r="H100" s="2259">
        <v>1</v>
      </c>
      <c r="I100" s="1364"/>
      <c r="J100" s="1364"/>
      <c r="K100" s="1364"/>
      <c r="L100" s="1370"/>
      <c r="M100" s="1366"/>
      <c r="N100" s="1366"/>
      <c r="O100" s="1366"/>
      <c r="P100" s="355"/>
      <c r="Q100" s="353"/>
      <c r="R100" s="354"/>
      <c r="S100" s="2274" t="str">
        <f>INDEX(PT_DIFFERENTIATION_NUM_IST_TE,MATCH(D100,PT_DIFFERENTIATION_IST_TE_ID,0))</f>
        <v>4.2.1.1</v>
      </c>
      <c r="T100" s="311" t="s">
        <v>531</v>
      </c>
      <c r="U100" s="301"/>
      <c r="V100" s="2243"/>
      <c r="W100" s="2244"/>
      <c r="X100" s="2244"/>
      <c r="Y100" s="2244"/>
      <c r="Z100" s="2244"/>
      <c r="AA100" s="2244"/>
      <c r="AB100" s="2244"/>
      <c r="AC100" s="2245"/>
      <c r="AD100" s="2243" t="str">
        <f>INDEX(PT_DIFFERENTIATION_IST_TE,MATCH(D100,PT_DIFFERENTIATION_IST_TE_ID,0))</f>
        <v>Апатитская ТЭЦ</v>
      </c>
      <c r="AE100" s="2244"/>
      <c r="AF100" s="2244"/>
      <c r="AG100" s="2244"/>
      <c r="AH100" s="2244"/>
      <c r="AI100" s="2244"/>
      <c r="AJ100" s="2244"/>
      <c r="AK100" s="2244"/>
      <c r="AL100" s="2243"/>
      <c r="AM100" s="2244"/>
      <c r="AN100" s="2244"/>
      <c r="AO100" s="2244"/>
      <c r="AP100" s="2244"/>
      <c r="AQ100" s="2244"/>
      <c r="AR100" s="2244"/>
      <c r="AS100" s="5240"/>
      <c r="AT100" s="2245"/>
      <c r="AU100" s="1259" t="s">
        <v>532</v>
      </c>
      <c r="AV100" s="1643"/>
      <c r="AW100" s="1625"/>
      <c r="AX100" s="1625" t="str">
        <f>IF(T100="","",T100)</f>
        <v>Источник тепловой энергии  </v>
      </c>
      <c r="AY100" s="1625"/>
      <c r="AZ100" s="1625"/>
      <c r="BA100" s="1636">
        <v>0</v>
      </c>
    </row>
    <row s="1851" customFormat="1" customHeight="1" ht="47.25">
      <c r="A101" s="1364"/>
      <c r="B101" s="1364"/>
      <c r="C101" s="1364"/>
      <c r="D101" s="1364"/>
      <c r="E101" s="2260"/>
      <c r="F101" s="2260">
        <v>1</v>
      </c>
      <c r="G101" s="2260"/>
      <c r="H101" s="2260"/>
      <c r="I101" s="2257" t="str">
        <f>S100&amp;".1"</f>
        <v>4.2.1.1.1</v>
      </c>
      <c r="J101" s="1364"/>
      <c r="K101" s="1364"/>
      <c r="L101" s="1370" t="s">
        <v>533</v>
      </c>
      <c r="M101" s="1367"/>
      <c r="N101" s="1777"/>
      <c r="O101" s="1777"/>
      <c r="P101" s="2375">
        <v>1</v>
      </c>
      <c r="Q101" s="2375"/>
      <c r="R101" s="357"/>
      <c r="S101" s="2274" t="str">
        <f>$I101</f>
        <v>4.2.1.1.1</v>
      </c>
      <c r="T101" s="286" t="s">
        <v>534</v>
      </c>
      <c r="U101" s="301"/>
      <c r="V101" s="2246"/>
      <c r="W101" s="2247"/>
      <c r="X101" s="2247"/>
      <c r="Y101" s="2247"/>
      <c r="Z101" s="2247"/>
      <c r="AA101" s="2247"/>
      <c r="AB101" s="2247"/>
      <c r="AC101" s="2248"/>
      <c r="AD101" s="2246" t="s">
        <v>575</v>
      </c>
      <c r="AE101" s="2247"/>
      <c r="AF101" s="2247"/>
      <c r="AG101" s="2247"/>
      <c r="AH101" s="2247"/>
      <c r="AI101" s="2247"/>
      <c r="AJ101" s="2247"/>
      <c r="AK101" s="2247"/>
      <c r="AL101" s="2246"/>
      <c r="AM101" s="2247"/>
      <c r="AN101" s="2247"/>
      <c r="AO101" s="2247"/>
      <c r="AP101" s="2247"/>
      <c r="AQ101" s="2247"/>
      <c r="AR101" s="2247"/>
      <c r="AS101" s="5241"/>
      <c r="AT101" s="2248"/>
      <c r="AU101" s="1259" t="s">
        <v>535</v>
      </c>
      <c r="AV101" s="1643"/>
      <c r="AW101" s="1625"/>
      <c r="AX101" s="1625" t="str">
        <f>IF(T101="","",T101)</f>
        <v>Схема подключения теплопотребляющей установки к коллектору источника тепловой энергии</v>
      </c>
      <c r="AY101" s="1625"/>
      <c r="AZ101" s="1625"/>
      <c r="BA101" s="1636">
        <v>0</v>
      </c>
    </row>
    <row s="1851" customFormat="1" customHeight="1" ht="21">
      <c r="A102" s="1364"/>
      <c r="B102" s="1364"/>
      <c r="C102" s="1364"/>
      <c r="D102" s="1364"/>
      <c r="E102" s="2260"/>
      <c r="F102" s="2260">
        <v>1</v>
      </c>
      <c r="G102" s="2260"/>
      <c r="H102" s="2260"/>
      <c r="I102" s="2287"/>
      <c r="J102" s="2257" t="str">
        <f>I101&amp;".1"</f>
        <v>4.2.1.1.1.1</v>
      </c>
      <c r="K102" s="1364"/>
      <c r="L102" s="1370" t="s">
        <v>536</v>
      </c>
      <c r="M102" s="1367"/>
      <c r="N102" s="1367"/>
      <c r="O102" s="1777"/>
      <c r="P102" s="2375"/>
      <c r="Q102" s="2375">
        <v>1</v>
      </c>
      <c r="R102" s="358"/>
      <c r="S102" s="2274" t="str">
        <f>$J102</f>
        <v>4.2.1.1.1.1</v>
      </c>
      <c r="T102" s="287" t="s">
        <v>537</v>
      </c>
      <c r="U102" s="301"/>
      <c r="V102" s="2246"/>
      <c r="W102" s="2247"/>
      <c r="X102" s="2247"/>
      <c r="Y102" s="2247"/>
      <c r="Z102" s="2247"/>
      <c r="AA102" s="2247"/>
      <c r="AB102" s="2247"/>
      <c r="AC102" s="2248"/>
      <c r="AD102" s="2246" t="s">
        <v>576</v>
      </c>
      <c r="AE102" s="2247"/>
      <c r="AF102" s="2247"/>
      <c r="AG102" s="2247"/>
      <c r="AH102" s="2247"/>
      <c r="AI102" s="2247"/>
      <c r="AJ102" s="2247"/>
      <c r="AK102" s="2247"/>
      <c r="AL102" s="2246"/>
      <c r="AM102" s="2247"/>
      <c r="AN102" s="2247"/>
      <c r="AO102" s="2247"/>
      <c r="AP102" s="2247"/>
      <c r="AQ102" s="2247"/>
      <c r="AR102" s="2247"/>
      <c r="AS102" s="5241"/>
      <c r="AT102" s="2248"/>
      <c r="AU102" s="1259" t="s">
        <v>538</v>
      </c>
      <c r="AV102" s="1643"/>
      <c r="AW102" s="1625"/>
      <c r="AX102" s="1625" t="str">
        <f>IF(T102="","",T102)</f>
        <v>Группа потребителей</v>
      </c>
      <c r="AY102" s="1625"/>
      <c r="AZ102" s="1625"/>
      <c r="BA102" s="1636">
        <v>0</v>
      </c>
    </row>
    <row s="1851" customFormat="1" customHeight="1" ht="21">
      <c r="A103" s="1364"/>
      <c r="B103" s="1364"/>
      <c r="C103" s="1364"/>
      <c r="D103" s="1364"/>
      <c r="E103" s="2260"/>
      <c r="F103" s="2260">
        <v>1</v>
      </c>
      <c r="G103" s="2260"/>
      <c r="H103" s="2260"/>
      <c r="I103" s="2287"/>
      <c r="J103" s="2287"/>
      <c r="K103" s="2257" t="str">
        <f>J102&amp;".1"</f>
        <v>4.2.1.1.1.1.1</v>
      </c>
      <c r="L103" s="1370" t="s">
        <v>539</v>
      </c>
      <c r="M103" s="1367"/>
      <c r="N103" s="1367"/>
      <c r="O103" s="1367"/>
      <c r="P103" s="2375"/>
      <c r="Q103" s="2375"/>
      <c r="R103" s="358">
        <v>1</v>
      </c>
      <c r="S103" s="2274" t="str">
        <f>$K103</f>
        <v>4.2.1.1.1.1.1</v>
      </c>
      <c r="T103" s="1348" t="s">
        <v>577</v>
      </c>
      <c r="U103" s="301"/>
      <c r="V103" s="752"/>
      <c r="W103" s="326"/>
      <c r="X103" s="752"/>
      <c r="Y103" s="1258"/>
      <c r="Z103" s="2603"/>
      <c r="AA103" s="2108" t="s">
        <v>65</v>
      </c>
      <c r="AB103" s="2603"/>
      <c r="AC103" s="2108" t="s">
        <v>65</v>
      </c>
      <c r="AD103" s="752">
        <v>2143.27</v>
      </c>
      <c r="AE103" s="326"/>
      <c r="AF103" s="752"/>
      <c r="AG103" s="1258"/>
      <c r="AH103" s="2603">
        <v>46023</v>
      </c>
      <c r="AI103" s="2108" t="s">
        <v>65</v>
      </c>
      <c r="AJ103" s="2603">
        <v>46295</v>
      </c>
      <c r="AK103" s="2108" t="s">
        <v>65</v>
      </c>
      <c r="AL103" s="752">
        <v>2143.27</v>
      </c>
      <c r="AM103" s="326"/>
      <c r="AN103" s="752"/>
      <c r="AO103" s="1258"/>
      <c r="AP103" s="2603">
        <v>46296</v>
      </c>
      <c r="AQ103" s="2108" t="s">
        <v>65</v>
      </c>
      <c r="AR103" s="2603">
        <v>46387</v>
      </c>
      <c r="AS103" s="2108" t="s">
        <v>65</v>
      </c>
      <c r="AT103" s="326"/>
      <c r="AU103" s="2254" t="s">
        <v>540</v>
      </c>
      <c r="AV103" s="1643">
        <f>STRCHECKDATE(V104:AT104)</f>
      </c>
      <c r="AW103" s="1625"/>
      <c r="AX103" s="1625" t="str">
        <f>IF(T103="","",T103)</f>
        <v>вода</v>
      </c>
      <c r="AY103" s="1625"/>
      <c r="AZ103" s="1625"/>
      <c r="BA103" s="1636">
        <v>0</v>
      </c>
    </row>
    <row s="1851" customFormat="1" customHeight="1" ht="0.75">
      <c r="A104" s="1364"/>
      <c r="B104" s="1364"/>
      <c r="C104" s="1364"/>
      <c r="D104" s="1364"/>
      <c r="E104" s="2260"/>
      <c r="F104" s="2260">
        <v>1</v>
      </c>
      <c r="G104" s="2260"/>
      <c r="H104" s="2260"/>
      <c r="I104" s="2287"/>
      <c r="J104" s="2287"/>
      <c r="K104" s="2257"/>
      <c r="L104" s="1370"/>
      <c r="M104" s="1367"/>
      <c r="N104" s="1367"/>
      <c r="O104" s="1367"/>
      <c r="P104" s="2375"/>
      <c r="Q104" s="2375"/>
      <c r="R104" s="358"/>
      <c r="S104" s="2514"/>
      <c r="T104" s="301"/>
      <c r="U104" s="301"/>
      <c r="V104" s="326"/>
      <c r="W104" s="326"/>
      <c r="X104" s="326"/>
      <c r="Y104" s="329" t="str">
        <f>Z103&amp;"-"&amp;AB103</f>
        <v>-</v>
      </c>
      <c r="Z104" s="2310"/>
      <c r="AA104" s="2108"/>
      <c r="AB104" s="2310"/>
      <c r="AC104" s="2108"/>
      <c r="AD104" s="326"/>
      <c r="AE104" s="326"/>
      <c r="AF104" s="326"/>
      <c r="AG104" s="329" t="str">
        <f>AH103&amp;"-"&amp;AJ103</f>
        <v>46023-46295</v>
      </c>
      <c r="AH104" s="2310"/>
      <c r="AI104" s="2108"/>
      <c r="AJ104" s="2310"/>
      <c r="AK104" s="2108"/>
      <c r="AL104" s="326"/>
      <c r="AM104" s="326"/>
      <c r="AN104" s="326"/>
      <c r="AO104" s="329" t="str">
        <f>AP103&amp;"-"&amp;AR103</f>
        <v>46296-46387</v>
      </c>
      <c r="AP104" s="2310"/>
      <c r="AQ104" s="2108"/>
      <c r="AR104" s="2310"/>
      <c r="AS104" s="2108"/>
      <c r="AT104" s="326"/>
      <c r="AU104" s="2255"/>
      <c r="AV104" s="1643"/>
      <c r="AW104" s="1625"/>
      <c r="AX104" s="1625" t="str">
        <f>IF(T104="","",T104)</f>
        <v/>
      </c>
      <c r="AY104" s="1625"/>
      <c r="AZ104" s="1625"/>
      <c r="BA104" s="1636">
        <v>0</v>
      </c>
    </row>
    <row s="1851" customFormat="1" customHeight="1" ht="15">
      <c r="A105" s="1364"/>
      <c r="B105" s="1364"/>
      <c r="C105" s="1364"/>
      <c r="D105" s="1364"/>
      <c r="E105" s="2260"/>
      <c r="F105" s="2260">
        <v>1</v>
      </c>
      <c r="G105" s="2260"/>
      <c r="H105" s="2260"/>
      <c r="I105" s="2287"/>
      <c r="J105" s="2257"/>
      <c r="K105" s="1364"/>
      <c r="L105" s="1370"/>
      <c r="M105" s="1367"/>
      <c r="N105" s="1367"/>
      <c r="O105" s="1777"/>
      <c r="P105" s="2375"/>
      <c r="Q105" s="2375"/>
      <c r="R105" s="357"/>
      <c r="S105" s="3969"/>
      <c r="T105" s="3970" t="s">
        <v>541</v>
      </c>
      <c r="U105" s="3971"/>
      <c r="V105" s="3972"/>
      <c r="W105" s="3973"/>
      <c r="X105" s="3974"/>
      <c r="Y105" s="3975"/>
      <c r="Z105" s="3976"/>
      <c r="AA105" s="3977"/>
      <c r="AB105" s="3978"/>
      <c r="AC105" s="3979"/>
      <c r="AD105" s="3980"/>
      <c r="AE105" s="3981"/>
      <c r="AF105" s="3982"/>
      <c r="AG105" s="3983"/>
      <c r="AH105" s="3984"/>
      <c r="AI105" s="3985"/>
      <c r="AJ105" s="3986"/>
      <c r="AK105" s="3987"/>
      <c r="AL105" s="3988"/>
      <c r="AM105" s="3989"/>
      <c r="AN105" s="3990"/>
      <c r="AO105" s="3991"/>
      <c r="AP105" s="3992"/>
      <c r="AQ105" s="3993"/>
      <c r="AR105" s="3994"/>
      <c r="AS105" s="5306"/>
      <c r="AT105" s="3996"/>
      <c r="AU105" s="2256"/>
      <c r="AV105" s="1643"/>
      <c r="AW105" s="1625"/>
      <c r="AX105" s="1625" t="str">
        <f>IF(T105="","",T105)</f>
        <v>Добавить вид теплоносителя (параметры теплоносителя)</v>
      </c>
      <c r="AY105" s="1625"/>
      <c r="AZ105" s="1625"/>
      <c r="BA105" s="1636">
        <v>0</v>
      </c>
    </row>
    <row s="1851" customFormat="1" customHeight="1" ht="15">
      <c r="A106" s="1364"/>
      <c r="B106" s="1364"/>
      <c r="C106" s="1364"/>
      <c r="D106" s="1364"/>
      <c r="E106" s="2260"/>
      <c r="F106" s="2260">
        <v>1</v>
      </c>
      <c r="G106" s="2260"/>
      <c r="H106" s="2260"/>
      <c r="I106" s="2257"/>
      <c r="J106" s="1364"/>
      <c r="K106" s="1364"/>
      <c r="L106" s="1370"/>
      <c r="M106" s="1367"/>
      <c r="N106" s="1777"/>
      <c r="O106" s="1777"/>
      <c r="P106" s="2375"/>
      <c r="Q106" s="2375"/>
      <c r="R106" s="357"/>
      <c r="S106" s="3997"/>
      <c r="T106" s="3998" t="s">
        <v>542</v>
      </c>
      <c r="U106" s="3999"/>
      <c r="V106" s="4000"/>
      <c r="W106" s="4001"/>
      <c r="X106" s="4002"/>
      <c r="Y106" s="4003"/>
      <c r="Z106" s="4004"/>
      <c r="AA106" s="4005"/>
      <c r="AB106" s="4006"/>
      <c r="AC106" s="4007"/>
      <c r="AD106" s="4008"/>
      <c r="AE106" s="4009"/>
      <c r="AF106" s="4010"/>
      <c r="AG106" s="4011"/>
      <c r="AH106" s="4012"/>
      <c r="AI106" s="4013"/>
      <c r="AJ106" s="4014"/>
      <c r="AK106" s="4015"/>
      <c r="AL106" s="4016"/>
      <c r="AM106" s="4017"/>
      <c r="AN106" s="4018"/>
      <c r="AO106" s="4019"/>
      <c r="AP106" s="4020"/>
      <c r="AQ106" s="4021"/>
      <c r="AR106" s="4022"/>
      <c r="AS106" s="5307"/>
      <c r="AT106" s="4024"/>
      <c r="AU106" s="4025"/>
      <c r="AV106" s="1643"/>
      <c r="AW106" s="1625"/>
      <c r="AX106" s="1625" t="str">
        <f>IF(T106="","",T106)</f>
        <v>Добавить группу потребителей</v>
      </c>
      <c r="AY106" s="1625"/>
      <c r="AZ106" s="1625"/>
      <c r="BA106" s="1636">
        <v>0</v>
      </c>
    </row>
    <row s="1851" customFormat="1" customHeight="1" ht="14.25">
      <c r="A107" s="1364"/>
      <c r="B107" s="1364"/>
      <c r="C107" s="1364"/>
      <c r="D107" s="1364"/>
      <c r="E107" s="2260"/>
      <c r="F107" s="2260">
        <v>1</v>
      </c>
      <c r="G107" s="2260"/>
      <c r="H107" s="2259"/>
      <c r="I107" s="1364"/>
      <c r="J107" s="1364"/>
      <c r="K107" s="1364"/>
      <c r="L107" s="1370"/>
      <c r="M107" s="1366"/>
      <c r="N107" s="1366"/>
      <c r="O107" s="1367"/>
      <c r="P107" s="1824"/>
      <c r="Q107" s="376"/>
      <c r="R107" s="356"/>
      <c r="S107" s="4026"/>
      <c r="T107" s="4027" t="s">
        <v>543</v>
      </c>
      <c r="U107" s="4028"/>
      <c r="V107" s="4029"/>
      <c r="W107" s="4030"/>
      <c r="X107" s="4031"/>
      <c r="Y107" s="4032"/>
      <c r="Z107" s="4033"/>
      <c r="AA107" s="4034"/>
      <c r="AB107" s="4035"/>
      <c r="AC107" s="4036"/>
      <c r="AD107" s="4037"/>
      <c r="AE107" s="4038"/>
      <c r="AF107" s="4039"/>
      <c r="AG107" s="4040"/>
      <c r="AH107" s="4041"/>
      <c r="AI107" s="4042"/>
      <c r="AJ107" s="4043"/>
      <c r="AK107" s="4044"/>
      <c r="AL107" s="4045"/>
      <c r="AM107" s="4046"/>
      <c r="AN107" s="4047"/>
      <c r="AO107" s="4048"/>
      <c r="AP107" s="4049"/>
      <c r="AQ107" s="4050"/>
      <c r="AR107" s="4051"/>
      <c r="AS107" s="5308"/>
      <c r="AT107" s="4053"/>
      <c r="AU107" s="4054"/>
      <c r="AV107" s="1643"/>
      <c r="AW107" s="1625"/>
      <c r="AX107" s="1625" t="str">
        <f>IF(T107="","",T107)</f>
        <v>Добавить схему подключения</v>
      </c>
      <c r="AY107" s="1625"/>
      <c r="AZ107" s="1625"/>
      <c r="BA107" s="1636">
        <v>0</v>
      </c>
    </row>
    <row s="623" customFormat="1" customHeight="1" ht="0.75">
      <c r="A108" s="1344"/>
      <c r="B108" s="1344"/>
      <c r="C108" s="1344"/>
      <c r="D108" s="1344"/>
      <c r="E108" s="2260"/>
      <c r="F108" s="2260">
        <v>1</v>
      </c>
      <c r="G108" s="2259"/>
      <c r="H108" s="1344"/>
      <c r="I108" s="1344"/>
      <c r="J108" s="1344"/>
      <c r="K108" s="1344"/>
      <c r="L108" s="1546"/>
      <c r="M108" s="1316"/>
      <c r="N108" s="1316"/>
      <c r="O108" s="1643"/>
      <c r="P108" s="1317"/>
      <c r="Q108" s="1345"/>
      <c r="R108" s="1317"/>
      <c r="S108" s="1319"/>
      <c r="T108" s="1320" t="s">
        <v>177</v>
      </c>
      <c r="U108" s="1321"/>
      <c r="V108" s="1321"/>
      <c r="W108" s="1321"/>
      <c r="X108" s="1321"/>
      <c r="Y108" s="1321"/>
      <c r="Z108" s="1321"/>
      <c r="AA108" s="1321"/>
      <c r="AB108" s="1321"/>
      <c r="AC108" s="1321"/>
      <c r="AD108" s="1321"/>
      <c r="AE108" s="1321"/>
      <c r="AF108" s="1321"/>
      <c r="AG108" s="1321"/>
      <c r="AH108" s="1321"/>
      <c r="AI108" s="1321"/>
      <c r="AJ108" s="1321"/>
      <c r="AK108" s="1321"/>
      <c r="AL108" s="1321"/>
      <c r="AM108" s="1321"/>
      <c r="AN108" s="1321"/>
      <c r="AO108" s="1321"/>
      <c r="AP108" s="1321"/>
      <c r="AQ108" s="1321"/>
      <c r="AR108" s="1321"/>
      <c r="AS108" s="1321"/>
      <c r="AT108" s="1321"/>
      <c r="AU108" s="1321"/>
      <c r="AV108" s="1643"/>
      <c r="AW108" s="1625"/>
      <c r="AX108" s="1625" t="str">
        <f>IF(T108="","",T108)</f>
        <v>Добавить источник для дифференциации</v>
      </c>
      <c r="AY108" s="1625"/>
      <c r="AZ108" s="1625"/>
      <c r="BA108" s="1643">
        <v>0</v>
      </c>
    </row>
    <row s="623" customFormat="1" customHeight="1" ht="0.75">
      <c r="A109" s="1344"/>
      <c r="B109" s="1344"/>
      <c r="C109" s="1344"/>
      <c r="D109" s="1344"/>
      <c r="E109" s="2260"/>
      <c r="F109" s="2259">
        <v>1</v>
      </c>
      <c r="G109" s="1344"/>
      <c r="H109" s="1344"/>
      <c r="I109" s="1344"/>
      <c r="J109" s="1344"/>
      <c r="K109" s="1344"/>
      <c r="L109" s="1546"/>
      <c r="M109" s="1322"/>
      <c r="N109" s="1322"/>
      <c r="O109" s="1643"/>
      <c r="P109" s="1317"/>
      <c r="Q109" s="1345"/>
      <c r="R109" s="1317"/>
      <c r="S109" s="1323"/>
      <c r="T109" s="1324" t="s">
        <v>178</v>
      </c>
      <c r="U109" s="1325"/>
      <c r="V109" s="1325"/>
      <c r="W109" s="1325"/>
      <c r="X109" s="1325"/>
      <c r="Y109" s="1325"/>
      <c r="Z109" s="1325"/>
      <c r="AA109" s="1325"/>
      <c r="AB109" s="1325"/>
      <c r="AC109" s="1325"/>
      <c r="AD109" s="1325"/>
      <c r="AE109" s="1325"/>
      <c r="AF109" s="1325"/>
      <c r="AG109" s="1325"/>
      <c r="AH109" s="1325"/>
      <c r="AI109" s="1325"/>
      <c r="AJ109" s="1325"/>
      <c r="AK109" s="1325"/>
      <c r="AL109" s="1325"/>
      <c r="AM109" s="1325"/>
      <c r="AN109" s="1325"/>
      <c r="AO109" s="1325"/>
      <c r="AP109" s="1325"/>
      <c r="AQ109" s="1325"/>
      <c r="AR109" s="1325"/>
      <c r="AS109" s="1325"/>
      <c r="AT109" s="1325"/>
      <c r="AU109" s="1325"/>
      <c r="AV109" s="1643"/>
      <c r="AW109" s="1625"/>
      <c r="AX109" s="1625" t="str">
        <f>IF(T109="","",T109)</f>
        <v>Добавить централизованную систему для дифференциации</v>
      </c>
      <c r="AY109" s="1625"/>
      <c r="AZ109" s="1625"/>
      <c r="BA109" s="1643">
        <v>0</v>
      </c>
    </row>
    <row s="623" customFormat="1" customHeight="1" ht="0.75">
      <c r="A110" s="1344"/>
      <c r="B110" s="1344"/>
      <c r="C110" s="1344"/>
      <c r="D110" s="1344"/>
      <c r="E110" s="2259" t="s">
        <v>94</v>
      </c>
      <c r="F110" s="1344"/>
      <c r="G110" s="1344"/>
      <c r="H110" s="1344"/>
      <c r="I110" s="1344"/>
      <c r="J110" s="1344"/>
      <c r="K110" s="1344"/>
      <c r="L110" s="1546"/>
      <c r="M110" s="1322"/>
      <c r="N110" s="1322"/>
      <c r="O110" s="1643"/>
      <c r="P110" s="1317"/>
      <c r="Q110" s="1345"/>
      <c r="R110" s="1317"/>
      <c r="S110" s="1323"/>
      <c r="T110" s="1326" t="s">
        <v>183</v>
      </c>
      <c r="U110" s="1325"/>
      <c r="V110" s="1325"/>
      <c r="W110" s="1325"/>
      <c r="X110" s="1325"/>
      <c r="Y110" s="1325"/>
      <c r="Z110" s="1325"/>
      <c r="AA110" s="1325"/>
      <c r="AB110" s="1325"/>
      <c r="AC110" s="1325"/>
      <c r="AD110" s="1325"/>
      <c r="AE110" s="1325"/>
      <c r="AF110" s="1325"/>
      <c r="AG110" s="1325"/>
      <c r="AH110" s="1325"/>
      <c r="AI110" s="1325"/>
      <c r="AJ110" s="1325"/>
      <c r="AK110" s="1325"/>
      <c r="AL110" s="1325"/>
      <c r="AM110" s="1325"/>
      <c r="AN110" s="1325"/>
      <c r="AO110" s="1325"/>
      <c r="AP110" s="1325"/>
      <c r="AQ110" s="1325"/>
      <c r="AR110" s="1325"/>
      <c r="AS110" s="1325"/>
      <c r="AT110" s="1325"/>
      <c r="AU110" s="1325"/>
      <c r="AV110" s="1643"/>
      <c r="AW110" s="1625"/>
      <c r="AX110" s="1625" t="str">
        <f>IF(T110="","",T110)</f>
        <v>Добавить территорию для дифференциации</v>
      </c>
      <c r="AY110" s="1625"/>
      <c r="AZ110" s="1625"/>
      <c r="BA110" s="1643">
        <v>0</v>
      </c>
    </row>
    <row s="1643" customFormat="1" customHeight="1" ht="1.05">
      <c r="A111" s="1315"/>
      <c r="B111" s="1315"/>
      <c r="C111" s="1315"/>
      <c r="D111" s="1315"/>
      <c r="E111" s="1344"/>
      <c r="F111" s="1315"/>
      <c r="G111" s="1315"/>
      <c r="H111" s="1315"/>
      <c r="I111" s="1315"/>
      <c r="J111" s="1315"/>
      <c r="K111" s="1315"/>
      <c r="L111" s="1340"/>
      <c r="M111" s="1322"/>
      <c r="N111" s="1322"/>
      <c r="P111" s="1317"/>
      <c r="Q111" s="1318"/>
      <c r="R111" s="1317"/>
      <c r="S111" s="1323"/>
      <c r="T111" s="1326" t="s">
        <v>222</v>
      </c>
      <c r="U111" s="1325"/>
      <c r="V111" s="1325"/>
      <c r="W111" s="1325"/>
      <c r="X111" s="1325"/>
      <c r="Y111" s="1325"/>
      <c r="Z111" s="1325"/>
      <c r="AA111" s="1325"/>
      <c r="AB111" s="1325"/>
      <c r="AC111" s="1325"/>
      <c r="AD111" s="1325"/>
      <c r="AE111" s="1325"/>
      <c r="AF111" s="1325"/>
      <c r="AG111" s="1325"/>
      <c r="AH111" s="1325"/>
      <c r="AI111" s="1325"/>
      <c r="AJ111" s="1325"/>
      <c r="AK111" s="1325"/>
      <c r="AL111" s="1325"/>
      <c r="AM111" s="1325"/>
      <c r="AN111" s="1325"/>
      <c r="AO111" s="1325"/>
      <c r="AP111" s="1325"/>
      <c r="AQ111" s="1325"/>
      <c r="AR111" s="1325"/>
      <c r="AS111" s="1325"/>
      <c r="AT111" s="1325"/>
      <c r="AU111" s="1325"/>
      <c r="AW111" s="790"/>
      <c r="AX111" s="790" t="str">
        <f>IF(T111="","",T111)</f>
        <v>Добавить наименование тарифа</v>
      </c>
      <c r="AY111" s="790"/>
      <c r="AZ111" s="790"/>
      <c r="BA111" s="519">
        <v>1</v>
      </c>
    </row>
    <row customHeight="1" ht="11.549999999999999">
      <c r="M112" s="1161"/>
      <c r="N112" s="1161"/>
      <c r="O112" s="538"/>
      <c r="P112" s="1156"/>
      <c r="Q112" s="1156"/>
      <c r="R112" s="1156"/>
      <c r="S112" s="1156"/>
      <c r="AL112" s="1636"/>
      <c r="AM112" s="1636"/>
      <c r="AN112" s="1636"/>
      <c r="AO112" s="1636"/>
      <c r="AP112" s="1636"/>
      <c r="AQ112" s="1636"/>
      <c r="AR112" s="1636"/>
      <c r="AS112" s="5239"/>
      <c r="AV112" s="1156"/>
      <c r="AW112" s="1156"/>
      <c r="AX112" s="1156"/>
      <c r="AY112" s="1156"/>
      <c r="AZ112" s="1156"/>
      <c r="BA112" s="1156">
        <v>11</v>
      </c>
    </row>
    <row customHeight="1" ht="28.5">
      <c r="O113" s="538"/>
      <c r="S113" s="1254"/>
      <c r="T113" s="2286"/>
      <c r="U113" s="2286"/>
      <c r="V113" s="2286"/>
      <c r="W113" s="2286"/>
      <c r="X113" s="2286"/>
      <c r="Y113" s="2286"/>
      <c r="Z113" s="2286"/>
      <c r="AA113" s="2286"/>
      <c r="AB113" s="2286"/>
      <c r="AC113" s="2286"/>
      <c r="AD113" s="2286"/>
      <c r="AE113" s="2286"/>
      <c r="AF113" s="2286"/>
      <c r="AG113" s="2286"/>
      <c r="AH113" s="2286"/>
      <c r="AI113" s="2286"/>
      <c r="AJ113" s="2286"/>
      <c r="AK113" s="2286"/>
      <c r="AL113" s="2386"/>
      <c r="AM113" s="2386"/>
      <c r="AN113" s="2386"/>
      <c r="AO113" s="2386"/>
      <c r="AP113" s="2386"/>
      <c r="AQ113" s="2386"/>
      <c r="AR113" s="2386"/>
      <c r="AS113" s="5290"/>
      <c r="AT113" s="2286"/>
      <c r="AU113" s="2286"/>
      <c r="BA113" s="1156">
        <v>27</v>
      </c>
    </row>
    <row customHeight="1" ht="65.25">
      <c r="O114" s="538"/>
      <c r="T114" s="2286"/>
      <c r="U114" s="2286"/>
      <c r="V114" s="2286"/>
      <c r="W114" s="2286"/>
      <c r="X114" s="2286"/>
      <c r="Y114" s="2286"/>
      <c r="Z114" s="2286"/>
      <c r="AA114" s="2286"/>
      <c r="AB114" s="2286"/>
      <c r="AC114" s="2286"/>
      <c r="AD114" s="2286"/>
      <c r="AE114" s="2286"/>
      <c r="AF114" s="2286"/>
      <c r="AG114" s="2286"/>
      <c r="AH114" s="2286"/>
      <c r="AI114" s="2286"/>
      <c r="AJ114" s="2286"/>
      <c r="AK114" s="2286"/>
      <c r="AL114" s="2386"/>
      <c r="AM114" s="2386"/>
      <c r="AN114" s="2386"/>
      <c r="AO114" s="2386"/>
      <c r="AP114" s="2386"/>
      <c r="AQ114" s="2386"/>
      <c r="AR114" s="2386"/>
      <c r="AS114" s="5290"/>
      <c r="AT114" s="2286"/>
      <c r="AU114" s="2286"/>
      <c r="BA114" s="1156">
        <v>62</v>
      </c>
    </row>
    <row customHeight="1" ht="14.699999999999998">
      <c r="O115" s="538"/>
      <c r="AL115" s="1636"/>
      <c r="AM115" s="1636"/>
      <c r="AN115" s="1636"/>
      <c r="AO115" s="1636"/>
      <c r="AP115" s="1636"/>
      <c r="AQ115" s="1636"/>
      <c r="AR115" s="1636"/>
      <c r="AS115" s="5239"/>
      <c r="BA115" s="1156">
        <v>14</v>
      </c>
    </row>
    <row customHeight="1" ht="18.75">
      <c r="O116" s="538"/>
      <c r="S116" s="1254"/>
      <c r="T116" s="2286"/>
      <c r="U116" s="2286"/>
      <c r="V116" s="2286"/>
      <c r="W116" s="2286"/>
      <c r="X116" s="2286"/>
      <c r="Y116" s="2286"/>
      <c r="Z116" s="2286"/>
      <c r="AA116" s="2286"/>
      <c r="AB116" s="2286"/>
      <c r="AC116" s="2286"/>
      <c r="AD116" s="2286"/>
      <c r="AE116" s="2286"/>
      <c r="AF116" s="2286"/>
      <c r="AG116" s="2286"/>
      <c r="AH116" s="2286"/>
      <c r="AI116" s="2286"/>
      <c r="AJ116" s="2286"/>
      <c r="AK116" s="2286"/>
      <c r="AL116" s="2386"/>
      <c r="AM116" s="2386"/>
      <c r="AN116" s="2386"/>
      <c r="AO116" s="2386"/>
      <c r="AP116" s="2386"/>
      <c r="AQ116" s="2386"/>
      <c r="AR116" s="2386"/>
      <c r="AS116" s="5290"/>
      <c r="AT116" s="2286"/>
      <c r="AU116" s="2286"/>
      <c r="BA116" s="1156">
        <v>18</v>
      </c>
    </row>
    <row customHeight="1" ht="18.75">
      <c r="O117" s="538"/>
      <c r="T117" s="2286"/>
      <c r="U117" s="2286"/>
      <c r="V117" s="2286"/>
      <c r="W117" s="2286"/>
      <c r="X117" s="2286"/>
      <c r="Y117" s="2286"/>
      <c r="Z117" s="2286"/>
      <c r="AA117" s="2286"/>
      <c r="AB117" s="2286"/>
      <c r="AC117" s="2286"/>
      <c r="AD117" s="2286"/>
      <c r="AE117" s="2286"/>
      <c r="AF117" s="2286"/>
      <c r="AG117" s="2286"/>
      <c r="AH117" s="2286"/>
      <c r="AI117" s="2286"/>
      <c r="AJ117" s="2286"/>
      <c r="AK117" s="2286"/>
      <c r="AL117" s="2386"/>
      <c r="AM117" s="2386"/>
      <c r="AN117" s="2386"/>
      <c r="AO117" s="2386"/>
      <c r="AP117" s="2386"/>
      <c r="AQ117" s="2386"/>
      <c r="AR117" s="2386"/>
      <c r="AS117" s="5290"/>
      <c r="AT117" s="2286"/>
      <c r="AU117" s="2286"/>
      <c r="BA117" s="1156">
        <v>18</v>
      </c>
    </row>
    <row customHeight="1" ht="29.25">
      <c r="O118" s="538"/>
      <c r="S118" s="1254"/>
      <c r="T118" s="2286"/>
      <c r="U118" s="2286"/>
      <c r="V118" s="2286"/>
      <c r="W118" s="2286"/>
      <c r="X118" s="2286"/>
      <c r="Y118" s="2286"/>
      <c r="Z118" s="2286"/>
      <c r="AA118" s="2286"/>
      <c r="AB118" s="2286"/>
      <c r="AC118" s="2286"/>
      <c r="AD118" s="2286"/>
      <c r="AE118" s="2286"/>
      <c r="AF118" s="2286"/>
      <c r="AG118" s="2286"/>
      <c r="AH118" s="2286"/>
      <c r="AI118" s="2286"/>
      <c r="AJ118" s="2286"/>
      <c r="AK118" s="2286"/>
      <c r="AL118" s="2386"/>
      <c r="AM118" s="2386"/>
      <c r="AN118" s="2386"/>
      <c r="AO118" s="2386"/>
      <c r="AP118" s="2386"/>
      <c r="AQ118" s="2386"/>
      <c r="AR118" s="2386"/>
      <c r="AS118" s="5290"/>
      <c r="AT118" s="2286"/>
      <c r="AU118" s="2286"/>
      <c r="BA118" s="1156">
        <v>28</v>
      </c>
    </row>
    <row customHeight="1" ht="22.5" hidden="1">
      <c r="A119" s="1161" t="s">
        <v>86</v>
      </c>
      <c r="B119" s="1161">
        <v>0</v>
      </c>
      <c r="C119" s="1161">
        <v>0</v>
      </c>
      <c r="D119" s="1161">
        <v>0</v>
      </c>
      <c r="E119" s="1161">
        <v>0</v>
      </c>
      <c r="F119" s="1161">
        <v>0</v>
      </c>
      <c r="G119" s="1161">
        <v>0</v>
      </c>
      <c r="H119" s="1161">
        <v>0</v>
      </c>
      <c r="I119" s="1161">
        <v>0</v>
      </c>
      <c r="J119" s="1161">
        <v>0</v>
      </c>
      <c r="K119" s="1161">
        <v>0</v>
      </c>
      <c r="L119" s="1330">
        <v>0</v>
      </c>
      <c r="M119" s="1363">
        <v>0</v>
      </c>
      <c r="N119" s="1363">
        <v>0</v>
      </c>
      <c r="O119" s="1363">
        <v>0</v>
      </c>
      <c r="P119" s="1329">
        <v>3</v>
      </c>
      <c r="Q119" s="345">
        <v>3</v>
      </c>
      <c r="R119" s="345">
        <v>3</v>
      </c>
      <c r="S119" s="582">
        <v>12</v>
      </c>
      <c r="T119" s="1156">
        <v>31</v>
      </c>
      <c r="U119" s="1156">
        <v>0</v>
      </c>
      <c r="V119" s="1156">
        <v>0</v>
      </c>
      <c r="W119" s="1156">
        <v>0</v>
      </c>
      <c r="X119" s="1156">
        <v>0</v>
      </c>
      <c r="Y119" s="1156">
        <v>0</v>
      </c>
      <c r="Z119" s="1156">
        <v>0</v>
      </c>
      <c r="AA119" s="1156">
        <v>0</v>
      </c>
      <c r="AB119" s="1156">
        <v>0</v>
      </c>
      <c r="AC119" s="1156">
        <v>0</v>
      </c>
      <c r="AD119" s="1156">
        <v>24</v>
      </c>
      <c r="AE119" s="1156">
        <v>0</v>
      </c>
      <c r="AF119" s="1156">
        <v>24</v>
      </c>
      <c r="AG119" s="1156">
        <v>24</v>
      </c>
      <c r="AH119" s="1156">
        <v>11</v>
      </c>
      <c r="AI119" s="1156">
        <v>3</v>
      </c>
      <c r="AJ119" s="1156">
        <v>11</v>
      </c>
      <c r="AK119" s="1156">
        <v>0</v>
      </c>
      <c r="AL119" s="1636">
        <v>0</v>
      </c>
      <c r="AM119" s="1636">
        <v>0</v>
      </c>
      <c r="AN119" s="1636">
        <v>0</v>
      </c>
      <c r="AO119" s="1636">
        <v>0</v>
      </c>
      <c r="AP119" s="1636">
        <v>0</v>
      </c>
      <c r="AQ119" s="1636">
        <v>0</v>
      </c>
      <c r="AR119" s="1636">
        <v>0</v>
      </c>
      <c r="AS119" s="5239">
        <v>0</v>
      </c>
      <c r="AT119" s="1156">
        <v>4</v>
      </c>
      <c r="AU119" s="1156">
        <v>115</v>
      </c>
      <c r="AV119" s="512">
        <v>10</v>
      </c>
      <c r="AW119" s="512">
        <v>10</v>
      </c>
      <c r="AX119" s="512">
        <v>10</v>
      </c>
      <c r="AY119" s="512">
        <v>10</v>
      </c>
      <c r="AZ119" s="512">
        <v>10</v>
      </c>
      <c r="BA119" s="1156">
        <v>23</v>
      </c>
    </row>
  </sheetData>
  <sheetProtection formatColumns="0" formatRows="0" autoFilter="0" sort="0" insertRows="0" insertColumns="1" deleteRows="0" deleteColumns="0"/>
  <mergeCells count="268">
    <mergeCell ref="T117:AU117"/>
    <mergeCell ref="T118:AU118"/>
    <mergeCell ref="T116:AU116"/>
    <mergeCell ref="AU49:AU51"/>
    <mergeCell ref="T113:AU113"/>
    <mergeCell ref="T114:AU114"/>
    <mergeCell ref="J48:J51"/>
    <mergeCell ref="Q48:Q51"/>
    <mergeCell ref="V48:AC48"/>
    <mergeCell ref="AD48:AT48"/>
    <mergeCell ref="K49:K50"/>
    <mergeCell ref="Z49:Z50"/>
    <mergeCell ref="AA49:AA50"/>
    <mergeCell ref="AB49:AB50"/>
    <mergeCell ref="AC49:AC50"/>
    <mergeCell ref="AH49:AH50"/>
    <mergeCell ref="AI49:AI50"/>
    <mergeCell ref="AJ49:AJ50"/>
    <mergeCell ref="AK49:AK50"/>
    <mergeCell ref="E43:E56"/>
    <mergeCell ref="V43:AC43"/>
    <mergeCell ref="AD43:AT43"/>
    <mergeCell ref="F44:F55"/>
    <mergeCell ref="V44:AC44"/>
    <mergeCell ref="AD44:AT44"/>
    <mergeCell ref="G45:G54"/>
    <mergeCell ref="V45:AC45"/>
    <mergeCell ref="AD45:AT45"/>
    <mergeCell ref="H46:H53"/>
    <mergeCell ref="V46:AC46"/>
    <mergeCell ref="AD46:AT46"/>
    <mergeCell ref="I47:I52"/>
    <mergeCell ref="P47:P52"/>
    <mergeCell ref="V47:AC47"/>
    <mergeCell ref="AD47:AT47"/>
    <mergeCell ref="AH40:AJ40"/>
    <mergeCell ref="AA41:AB41"/>
    <mergeCell ref="AI41:AJ41"/>
    <mergeCell ref="AA42:AB42"/>
    <mergeCell ref="AI42:AJ42"/>
    <mergeCell ref="S38:AT38"/>
    <mergeCell ref="AU38:AU41"/>
    <mergeCell ref="S39:S41"/>
    <mergeCell ref="T39:T41"/>
    <mergeCell ref="V39:AB39"/>
    <mergeCell ref="AC39:AC41"/>
    <mergeCell ref="AD39:AJ39"/>
    <mergeCell ref="AK39:AK41"/>
    <mergeCell ref="AT39:AT41"/>
    <mergeCell ref="V40:V41"/>
    <mergeCell ref="W40:W41"/>
    <mergeCell ref="X40:Y40"/>
    <mergeCell ref="Z40:AB40"/>
    <mergeCell ref="AD40:AD41"/>
    <mergeCell ref="AE40:AE41"/>
    <mergeCell ref="AF40:AG40"/>
    <mergeCell ref="S32:T32"/>
    <mergeCell ref="V32:AB32"/>
    <mergeCell ref="AD32:AJ32"/>
    <mergeCell ref="V37:AC37"/>
    <mergeCell ref="AD37:AK37"/>
    <mergeCell ref="S34:T34"/>
    <mergeCell ref="V34:AB34"/>
    <mergeCell ref="AD34:AJ34"/>
    <mergeCell ref="S35:T35"/>
    <mergeCell ref="V35:AB35"/>
    <mergeCell ref="AD35:AJ35"/>
    <mergeCell ref="AU8:AU10"/>
    <mergeCell ref="AH17:AH18"/>
    <mergeCell ref="AI17:AI18"/>
    <mergeCell ref="AJ17:AJ18"/>
    <mergeCell ref="AK17:AK18"/>
    <mergeCell ref="AH8:AH9"/>
    <mergeCell ref="AI8:AI9"/>
    <mergeCell ref="AJ8:AJ9"/>
    <mergeCell ref="AK8:AK9"/>
    <mergeCell ref="V7:AC7"/>
    <mergeCell ref="AD7:AT7"/>
    <mergeCell ref="V2:AC2"/>
    <mergeCell ref="AD2:AT2"/>
    <mergeCell ref="V3:AC3"/>
    <mergeCell ref="AD3:AT3"/>
    <mergeCell ref="V4:AC4"/>
    <mergeCell ref="AD4:AT4"/>
    <mergeCell ref="V5:AC5"/>
    <mergeCell ref="AD5:AT5"/>
    <mergeCell ref="V6:AC6"/>
    <mergeCell ref="AD6:AT6"/>
    <mergeCell ref="S26:AJ26"/>
    <mergeCell ref="S27:AJ27"/>
    <mergeCell ref="S29:T29"/>
    <mergeCell ref="AD29:AJ29"/>
    <mergeCell ref="S30:T30"/>
    <mergeCell ref="V30:AB30"/>
    <mergeCell ref="AD30:AJ30"/>
    <mergeCell ref="S31:T31"/>
    <mergeCell ref="E2:E15"/>
    <mergeCell ref="F3:F14"/>
    <mergeCell ref="G4:G13"/>
    <mergeCell ref="H5:H12"/>
    <mergeCell ref="I6:I11"/>
    <mergeCell ref="P6:P11"/>
    <mergeCell ref="J7:J10"/>
    <mergeCell ref="Q7:Q10"/>
    <mergeCell ref="K8:K9"/>
    <mergeCell ref="Z8:Z9"/>
    <mergeCell ref="AA8:AA9"/>
    <mergeCell ref="AB8:AB9"/>
    <mergeCell ref="AC8:AC9"/>
    <mergeCell ref="V29:AB29"/>
    <mergeCell ref="V31:AB31"/>
    <mergeCell ref="AD31:AJ31"/>
    <mergeCell ref="AU63:AU65"/>
    <mergeCell ref="AH63:AH64"/>
    <mergeCell ref="AI63:AI64"/>
    <mergeCell ref="AJ63:AJ64"/>
    <mergeCell ref="AK63:AK64"/>
    <mergeCell ref="V62:AC62"/>
    <mergeCell ref="AD62:AT62"/>
    <mergeCell ref="V57:AC57"/>
    <mergeCell ref="AD57:AT57"/>
    <mergeCell ref="V58:AC58"/>
    <mergeCell ref="AD58:AT58"/>
    <mergeCell ref="V59:AC59"/>
    <mergeCell ref="AD59:AT59"/>
    <mergeCell ref="V60:AC60"/>
    <mergeCell ref="AD60:AT60"/>
    <mergeCell ref="V61:AC61"/>
    <mergeCell ref="AD61:AT61"/>
    <mergeCell ref="E57:E70"/>
    <mergeCell ref="F58:F69"/>
    <mergeCell ref="G59:G68"/>
    <mergeCell ref="H60:H67"/>
    <mergeCell ref="I61:I66"/>
    <mergeCell ref="P61:P66"/>
    <mergeCell ref="J62:J65"/>
    <mergeCell ref="Q62:Q65"/>
    <mergeCell ref="K63:K64"/>
    <mergeCell ref="Z63:Z64"/>
    <mergeCell ref="AA63:AA64"/>
    <mergeCell ref="AB63:AB64"/>
    <mergeCell ref="AC63:AC64"/>
    <mergeCell ref="AU77:AU79"/>
    <mergeCell ref="AH77:AH78"/>
    <mergeCell ref="AI77:AI78"/>
    <mergeCell ref="AJ77:AJ78"/>
    <mergeCell ref="AK77:AK78"/>
    <mergeCell ref="V76:AC76"/>
    <mergeCell ref="AD76:AT76"/>
    <mergeCell ref="V71:AC71"/>
    <mergeCell ref="AD71:AT71"/>
    <mergeCell ref="V72:AC72"/>
    <mergeCell ref="AD72:AT72"/>
    <mergeCell ref="V73:AC73"/>
    <mergeCell ref="AD73:AT73"/>
    <mergeCell ref="V74:AC74"/>
    <mergeCell ref="AD74:AT74"/>
    <mergeCell ref="V75:AC75"/>
    <mergeCell ref="AD75:AT75"/>
    <mergeCell ref="E71:E84"/>
    <mergeCell ref="F72:F83"/>
    <mergeCell ref="G73:G82"/>
    <mergeCell ref="H74:H81"/>
    <mergeCell ref="I75:I80"/>
    <mergeCell ref="P75:P80"/>
    <mergeCell ref="J76:J79"/>
    <mergeCell ref="Q76:Q79"/>
    <mergeCell ref="K77:K78"/>
    <mergeCell ref="Z77:Z78"/>
    <mergeCell ref="AA77:AA78"/>
    <mergeCell ref="AB77:AB78"/>
    <mergeCell ref="AC77:AC78"/>
    <mergeCell ref="AU91:AU93"/>
    <mergeCell ref="AH91:AH92"/>
    <mergeCell ref="AI91:AI92"/>
    <mergeCell ref="AJ91:AJ92"/>
    <mergeCell ref="AK91:AK92"/>
    <mergeCell ref="V90:AC90"/>
    <mergeCell ref="AD90:AT90"/>
    <mergeCell ref="V85:AC85"/>
    <mergeCell ref="AD85:AT85"/>
    <mergeCell ref="V86:AC86"/>
    <mergeCell ref="AD86:AT86"/>
    <mergeCell ref="V87:AC87"/>
    <mergeCell ref="AD87:AT87"/>
    <mergeCell ref="V88:AC88"/>
    <mergeCell ref="AD88:AT88"/>
    <mergeCell ref="V89:AC89"/>
    <mergeCell ref="AD89:AT89"/>
    <mergeCell ref="E85:E110"/>
    <mergeCell ref="F86:F97"/>
    <mergeCell ref="G87:G96"/>
    <mergeCell ref="H88:H95"/>
    <mergeCell ref="I89:I94"/>
    <mergeCell ref="P89:P94"/>
    <mergeCell ref="J90:J93"/>
    <mergeCell ref="Q90:Q93"/>
    <mergeCell ref="K91:K92"/>
    <mergeCell ref="Z91:Z92"/>
    <mergeCell ref="AA91:AA92"/>
    <mergeCell ref="AB91:AB92"/>
    <mergeCell ref="AC91:AC92"/>
    <mergeCell ref="AU103:AU105"/>
    <mergeCell ref="AH103:AH104"/>
    <mergeCell ref="AI103:AI104"/>
    <mergeCell ref="AJ103:AJ104"/>
    <mergeCell ref="AK103:AK104"/>
    <mergeCell ref="V102:AC102"/>
    <mergeCell ref="AD102:AT102"/>
    <mergeCell ref="V98:AC98"/>
    <mergeCell ref="AD98:AT98"/>
    <mergeCell ref="V99:AC99"/>
    <mergeCell ref="AD99:AT99"/>
    <mergeCell ref="V100:AC100"/>
    <mergeCell ref="AD100:AT100"/>
    <mergeCell ref="V101:AC101"/>
    <mergeCell ref="AD101:AT101"/>
    <mergeCell ref="F98:F109"/>
    <mergeCell ref="G99:G108"/>
    <mergeCell ref="H100:H107"/>
    <mergeCell ref="I101:I106"/>
    <mergeCell ref="P101:P106"/>
    <mergeCell ref="J102:J105"/>
    <mergeCell ref="Q102:Q105"/>
    <mergeCell ref="K103:K104"/>
    <mergeCell ref="Z103:Z104"/>
    <mergeCell ref="AA103:AA104"/>
    <mergeCell ref="AB103:AB104"/>
    <mergeCell ref="AC103:AC104"/>
    <mergeCell ref="AP8:AP9"/>
    <mergeCell ref="AQ8:AQ9"/>
    <mergeCell ref="AR8:AR9"/>
    <mergeCell ref="AS8:AS9"/>
    <mergeCell ref="AL29:AR29"/>
    <mergeCell ref="AL30:AR30"/>
    <mergeCell ref="AL31:AR31"/>
    <mergeCell ref="AL32:AR32"/>
    <mergeCell ref="AL34:AR34"/>
    <mergeCell ref="AL35:AR35"/>
    <mergeCell ref="AL37:AS37"/>
    <mergeCell ref="AL39:AR39"/>
    <mergeCell ref="AS39:AS41"/>
    <mergeCell ref="AL40:AL41"/>
    <mergeCell ref="AM40:AM41"/>
    <mergeCell ref="AN40:AO40"/>
    <mergeCell ref="AP40:AR40"/>
    <mergeCell ref="AQ41:AR41"/>
    <mergeCell ref="AQ42:AR42"/>
    <mergeCell ref="AP49:AP50"/>
    <mergeCell ref="AQ49:AQ50"/>
    <mergeCell ref="AR49:AR50"/>
    <mergeCell ref="AS49:AS50"/>
    <mergeCell ref="AP63:AP64"/>
    <mergeCell ref="AQ63:AQ64"/>
    <mergeCell ref="AR63:AR64"/>
    <mergeCell ref="AS63:AS64"/>
    <mergeCell ref="AP77:AP78"/>
    <mergeCell ref="AQ77:AQ78"/>
    <mergeCell ref="AR77:AR78"/>
    <mergeCell ref="AS77:AS78"/>
    <mergeCell ref="AP91:AP92"/>
    <mergeCell ref="AQ91:AQ92"/>
    <mergeCell ref="AR91:AR92"/>
    <mergeCell ref="AS91:AS92"/>
    <mergeCell ref="AP103:AP104"/>
    <mergeCell ref="AQ103:AQ104"/>
    <mergeCell ref="AR103:AR104"/>
    <mergeCell ref="AS103:AS104"/>
  </mergeCells>
  <dataValidations count="8">
    <dataValidation type="list" allowBlank="1" showInputMessage="1" errorTitle="Ошибка" error="Выберите значение из списка" prompt="Выберите значение из списка" sqref="V983142:AT983142 V65638:AT65638 V131174:AT131174 V196710:AT196710 V262246:AT262246 V327782:AT327782 V393318:AT393318 V458854:AT458854 V524390:AT524390 V589926:AT589926 V655462:AT655462 V720998:AT720998 V786534:AT786534 V852070:AT852070 V917606:AT917606">
      <formula1>kind_of_cons</formula1>
    </dataValidation>
    <dataValidation allowBlank="1" sqref="S131177:AU131183 S196713:AU196719 S262249:AU262255 S327785:AU327791 S393321:AU393327 S458857:AU458863 S524393:AU524399 S589929:AU589935 S655465:AU655471 S721001:AU721007 S786537:AU786543 S852073:AU852079 S917609:AU917615 S983145:AU983151 S65641:AU65647"/>
    <dataValidation type="list" allowBlank="1" showInputMessage="1" showErrorMessage="1" errorTitle="Ошибка" error="Выберите значение из списка" sqref="V983141:W983141 V65637:W65637 V131173:W131173 V196709:W196709 V262245:W262245 V327781:W327781 V393317:W393317 V458853:W458853 V524389:W524389 V589925:W589925 V655461:W655461 V720997:W720997 V786533:W786533 V852069:W852069 V917605:W917605 AD983141:AE983141 AD65637:AE65637 AD131173:AE131173 AD196709:AE196709 AD262245:AE262245 AD327781:AE327781 AD393317:AE393317 AD458853:AE458853 AD524389:AE524389 AD589925:AE589925 AD655461:AE655461 AD720997:AE720997 AD786533:AE786533 AD852069:AE852069 AD917605:AE917605">
      <formula1>kind_of_scheme_in</formula1>
    </dataValidation>
    <dataValidation type="textLength" operator="lessThanOrEqual" allowBlank="1" showInputMessage="1" showErrorMessage="1" errorTitle="Ошибка" error="Допускается ввод не более 900 символов!" sqref="AU65633:AU65640 AU131169:AU131176 AU196705:AU196712 AU262241:AU262248 AU327777:AU327784 AU393313:AU393320 AU458849:AU458856 AU524385:AU524392 AU589921:AU589928 AU655457:AU655464 AU720993:AU721000 AU786529:AU786536 AU852065:AU852072 AU917601:AU917608 AU983137:AU983144">
      <formula1>900</formula1>
    </dataValidation>
    <dataValidation type="list" allowBlank="1" showInputMessage="1" showErrorMessage="1" errorTitle="Ошибка" error="Выберите значение из списка" sqref="T65639 T131175 T196711 T262247 T327783 T393319 T458855 T524391 T589927 T655463 T720999 T786535 T852071 T917607 T983143">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639 Z131175 Z196711 Z262247 Z327783 Z393319 Z458855 Z524391 Z589927 Z655463 Z720999 Z786535 Z852071 Z917607 Z983143 AB65639 AB131175 AB196711 AB262247 AB327783 AB393319 AB458855 AB524391 AB589927 AB655463 AB720999 AB786535 AB852071 AB917607 AB983143 Z8 AH65639 AH131175 AH196711 AH262247 AH327783 AH393319 AH458855 AH524391 AH589927 AH655463 AH720999 AH786535 AH852071 AH917607 AH983143 AJ65639 AJ131175 AJ196711 AJ262247 AJ327783 AJ393319 AJ458855 AJ524391 AJ589927 AJ655463 AJ720999 AJ786535 AJ852071 AJ917607 AJ983143 AJ49 AH49 AH8 AJ8 AB8 AH17 AJ17 Z49 AB49 Z63 AB63 AH63 AJ63 Z77 AB77 AH77 AJ77 Z91 AB91 AH91 AJ91 Z103 AB103 AH103 AJ103 AP8 AR8 AP49 AR49 AP63 AR63 AP77 AR77 AP91 AR91 AP103 AR103"/>
    <dataValidation allowBlank="1" showInputMessage="1" showErrorMessage="1" prompt="Для выбора выполните двойной щелчок левой клавиши мыши по соответствующей ячейке." sqref="AA65639 AA131175 AA196711 AA262247 AA327783 AA393319 AA458855 AA524391 AA589927 AA655463 AA720999 AA786535 AA852071 AA917607 AA983143 AC131175 AC458855 AC196711 AC262247 AC327783 AC393319 AC524391 AC589927 AC655463 AC720999 AC786535 AC852071 AC917607 AC983143 AC65639 AI65639 AI131175 AI196711 AI262247 AI327783 AI393319 AI458855 AI524391 AI589927 AI655463 AI720999 AI786535 AI852071 AI917607 AI983143 AK327783:AS327783 AK393319:AS393319 AK49 AQ49 AS49 AK524391:AS524391 AK8 AQ8 AS8 AK589927:AS589927 AK655463:AS655463 AK17 AK720999:AS720999 AK786535:AS786535 AK852071:AS852071 AK917607:AS917607 AK983143:AS983143 AK65639:AS65639 AK131175:AS131175 AI49 AK458855:AS458855 AI8 AC8 AA8 AI17 AK196711:AS196711 AA49 AC49 AK262247:AS262247 AA63 AC63 AI63 AK63 AQ63 AS63 AA77 AC77 AI77 AK77 AQ77 AS77 AA91 AC91 AI91 AK91 AQ91 AS91 AA103 AC103 AI103 AK103 AQ103 AS103"/>
    <dataValidation allowBlank="1" promptTitle="checkPeriodRange" sqref="Y65640 Y131176 Y196712 Y262248 Y327784 Y393320 Y458856 Y524392 Y589928 Y655464 Y721000 Y786536 Y852072 Y917608 Y983144 Y9 AG65640 AG131176 AG196712 AG262248 AG327784 AG393320 AG458856 AG524392 AG589928 AG655464 AG721000 AG786536 AG852072 AG917608 AG983144 AG9 AG50 AG18 Y50 Y64 AG64 Y78 AG78 Y92 AG92 Y104 AG104 AO9 AO50 AO64 AO78 AO92 AO104"/>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9422DB8-D5D8-67E1-14E8-97FBFB5ADFF3}" mc:Ignorable="x14ac xr xr2 xr3">
  <sheetPr>
    <tabColor theme="6" tint="0.4"/>
  </sheetPr>
  <dimension ref="A1:AS65"/>
  <sheetViews>
    <sheetView showGridLines="0" zoomScale="90" workbookViewId="0">
      <pane xSplit="29" ySplit="42" topLeftCell="AD43" activePane="bottomRight" state="frozen"/>
      <selection pane="bottomLeft" activeCell="A43" sqref="A43"/>
      <selection pane="topRight" activeCell="AD1" sqref="AD1"/>
      <selection pane="bottomRight" activeCell="A1" sqref="A1"/>
    </sheetView>
  </sheetViews>
  <sheetFormatPr defaultColWidth="10.57421875" customHeight="1" defaultRowHeight="14.25"/>
  <cols>
    <col min="1" max="1" style="1636" width="10.57421875" hidden="1"/>
    <col min="2" max="2" style="1636" width="11.00390625" hidden="1" customWidth="1"/>
    <col min="3" max="3" style="1636" width="10.57421875" hidden="1"/>
    <col min="4" max="4" style="1636" width="11.8515625" hidden="1" customWidth="1"/>
    <col min="5" max="5" style="1636" width="10.00390625" hidden="1" customWidth="1"/>
    <col min="6" max="6" style="1636" width="8.7109375" hidden="1" customWidth="1"/>
    <col min="7" max="7" style="1636" width="7.57421875" hidden="1" customWidth="1"/>
    <col min="8" max="8" style="1636" width="11.421875" hidden="1" customWidth="1"/>
    <col min="9" max="9" style="1636" width="12.00390625" hidden="1" customWidth="1"/>
    <col min="10" max="10" style="1636" width="9.8515625" hidden="1" customWidth="1"/>
    <col min="11" max="11" style="1636" width="11.421875" hidden="1" customWidth="1"/>
    <col min="12" max="12" style="2126" width="19.140625" hidden="1" customWidth="1"/>
    <col min="13" max="14" style="2398" width="12.28125" hidden="1" customWidth="1"/>
    <col min="15" max="15" style="2398" width="23.421875" hidden="1" customWidth="1"/>
    <col min="16" max="16" style="2398" width="3.00390625" customWidth="1"/>
    <col min="17" max="18" style="345" width="3.00390625" customWidth="1"/>
    <col min="19" max="19" style="2408" width="12.00390625" customWidth="1"/>
    <col min="20" max="20" style="1636" width="31.00390625" customWidth="1"/>
    <col min="21" max="21" style="1636" width="0.140625" customWidth="1"/>
    <col min="22" max="22" style="1636" width="24.7109375" hidden="1" customWidth="1"/>
    <col min="23" max="23" style="1636" width="0.140625" hidden="1" customWidth="1"/>
    <col min="24" max="25" style="1636" width="24.7109375" hidden="1" customWidth="1"/>
    <col min="26" max="26" style="1636" width="11.7109375" hidden="1" customWidth="1"/>
    <col min="27" max="27" style="1636" width="3.7109375" hidden="1" customWidth="1"/>
    <col min="28" max="28" style="1636" width="11.7109375" hidden="1" customWidth="1"/>
    <col min="29" max="29" style="1636" width="8.57421875" hidden="1" customWidth="1"/>
    <col min="30" max="30" style="1636" width="24.7109375" customWidth="1"/>
    <col min="31" max="31" style="1636" width="0.140625" customWidth="1"/>
    <col min="32" max="33" style="1636" width="24.00390625" customWidth="1"/>
    <col min="34" max="34" style="1636" width="11.00390625" customWidth="1"/>
    <col min="35" max="35" style="1636" width="3.7109375" customWidth="1"/>
    <col min="36" max="36" style="1636" width="11.00390625" customWidth="1"/>
    <col min="37" max="37" style="1636" width="8.57421875" hidden="1" customWidth="1"/>
    <col min="38" max="38" style="1636" width="4.00390625" customWidth="1"/>
    <col min="39" max="39" style="1636" width="115.00390625" customWidth="1"/>
    <col min="40" max="44" style="1643" width="10.00390625" customWidth="1"/>
    <col min="45" max="45" style="1636" width="10.57421875" hidden="1"/>
  </cols>
  <sheetData>
    <row customHeight="1" ht="22.5" hidden="1">
      <c r="AS1" s="1632" t="s">
        <v>14</v>
      </c>
    </row>
    <row customHeight="1" ht="21" hidden="1">
      <c r="A2" s="1268"/>
      <c r="B2" s="1268"/>
      <c r="C2" s="1268"/>
      <c r="D2" s="1268"/>
      <c r="E2" s="2290">
        <v>1</v>
      </c>
      <c r="F2" s="1268"/>
      <c r="G2" s="1268"/>
      <c r="H2" s="1268"/>
      <c r="I2" s="1268"/>
      <c r="J2" s="1268"/>
      <c r="K2" s="1268"/>
      <c r="L2" s="1311"/>
      <c r="M2" s="1611"/>
      <c r="N2" s="1611"/>
      <c r="O2" s="1611"/>
      <c r="P2" s="1591"/>
      <c r="Q2" s="361"/>
      <c r="R2" s="356"/>
      <c r="S2" s="1959">
        <f>INDEX(PT_DIFFERENTIATION_NUM_NTAR,MATCH(A2,PT_DIFFERENTIATION_NTAR_ID,0))</f>
      </c>
      <c r="T2" s="1526" t="s">
        <v>136</v>
      </c>
      <c r="U2" s="301"/>
      <c r="V2" s="2243"/>
      <c r="W2" s="2244"/>
      <c r="X2" s="2244"/>
      <c r="Y2" s="2244"/>
      <c r="Z2" s="2244"/>
      <c r="AA2" s="2244"/>
      <c r="AB2" s="2244"/>
      <c r="AC2" s="2245"/>
      <c r="AD2" s="2243">
        <f>INDEX(PT_DIFFERENTIATION_NTAR,MATCH(A2,PT_DIFFERENTIATION_NTAR_ID,0))</f>
      </c>
      <c r="AE2" s="2244"/>
      <c r="AF2" s="2244"/>
      <c r="AG2" s="2244"/>
      <c r="AH2" s="2244"/>
      <c r="AI2" s="2244"/>
      <c r="AJ2" s="2244"/>
      <c r="AK2" s="2244"/>
      <c r="AL2" s="2245"/>
      <c r="AM2" s="1259" t="s">
        <v>526</v>
      </c>
      <c r="AO2" s="1625"/>
      <c r="AP2" s="1625" t="str">
        <f>IF(T2="","",T2)</f>
        <v>Наименование тарифа</v>
      </c>
      <c r="AQ2" s="1625"/>
      <c r="AR2" s="1625"/>
      <c r="AS2" s="1632">
        <v>0</v>
      </c>
    </row>
    <row customHeight="1" ht="21" hidden="1">
      <c r="A3" s="1268"/>
      <c r="B3" s="1268"/>
      <c r="C3" s="1268"/>
      <c r="D3" s="1268"/>
      <c r="E3" s="2291"/>
      <c r="F3" s="2290">
        <v>1</v>
      </c>
      <c r="G3" s="1268"/>
      <c r="H3" s="1268"/>
      <c r="I3" s="1268"/>
      <c r="J3" s="1268"/>
      <c r="K3" s="1268"/>
      <c r="L3" s="1311"/>
      <c r="M3" s="1611"/>
      <c r="N3" s="1611"/>
      <c r="O3" s="1611"/>
      <c r="P3" s="1941"/>
      <c r="Q3" s="353"/>
      <c r="R3" s="354"/>
      <c r="S3" s="1959">
        <f>INDEX(PT_DIFFERENTIATION_NUM_TER,MATCH(B3,PT_DIFFERENTIATION_TER_ID,0))</f>
      </c>
      <c r="T3" s="1523" t="s">
        <v>527</v>
      </c>
      <c r="U3" s="301"/>
      <c r="V3" s="2243"/>
      <c r="W3" s="2244"/>
      <c r="X3" s="2244"/>
      <c r="Y3" s="2244"/>
      <c r="Z3" s="2244"/>
      <c r="AA3" s="2244"/>
      <c r="AB3" s="2244"/>
      <c r="AC3" s="2245"/>
      <c r="AD3" s="2243">
        <f>INDEX(PT_DIFFERENTIATION_TER,MATCH(B3,PT_DIFFERENTIATION_TER_ID,0))</f>
      </c>
      <c r="AE3" s="2244"/>
      <c r="AF3" s="2244"/>
      <c r="AG3" s="2244"/>
      <c r="AH3" s="2244"/>
      <c r="AI3" s="2244"/>
      <c r="AJ3" s="2244"/>
      <c r="AK3" s="2244"/>
      <c r="AL3" s="2245"/>
      <c r="AM3" s="1259" t="s">
        <v>528</v>
      </c>
      <c r="AO3" s="1625"/>
      <c r="AP3" s="1625" t="str">
        <f>IF(T3="","",T3)</f>
        <v>Территория действия тарифа</v>
      </c>
      <c r="AQ3" s="1625"/>
      <c r="AR3" s="1625"/>
      <c r="AS3" s="1632">
        <v>0</v>
      </c>
    </row>
    <row customHeight="1" ht="23.25" hidden="1">
      <c r="A4" s="1268"/>
      <c r="B4" s="1268"/>
      <c r="C4" s="1268"/>
      <c r="D4" s="1268"/>
      <c r="E4" s="2291"/>
      <c r="F4" s="2291"/>
      <c r="G4" s="2290">
        <v>1</v>
      </c>
      <c r="H4" s="1268"/>
      <c r="I4" s="1268"/>
      <c r="J4" s="1268"/>
      <c r="K4" s="1268"/>
      <c r="L4" s="1311"/>
      <c r="M4" s="1611"/>
      <c r="N4" s="1611"/>
      <c r="O4" s="1611"/>
      <c r="P4" s="355"/>
      <c r="Q4" s="353"/>
      <c r="R4" s="354"/>
      <c r="S4" s="1959">
        <f>INDEX(PT_DIFFERENTIATION_NUM_CS,MATCH(C4,PT_DIFFERENTIATION_CS_ID,0))</f>
      </c>
      <c r="T4" s="310" t="s">
        <v>529</v>
      </c>
      <c r="U4" s="301"/>
      <c r="V4" s="2243"/>
      <c r="W4" s="2244"/>
      <c r="X4" s="2244"/>
      <c r="Y4" s="2244"/>
      <c r="Z4" s="2244"/>
      <c r="AA4" s="2244"/>
      <c r="AB4" s="2244"/>
      <c r="AC4" s="2245"/>
      <c r="AD4" s="2243">
        <f>INDEX(PT_DIFFERENTIATION_CS,MATCH(C4,PT_DIFFERENTIATION_CS_ID,0))</f>
      </c>
      <c r="AE4" s="2244"/>
      <c r="AF4" s="2244"/>
      <c r="AG4" s="2244"/>
      <c r="AH4" s="2244"/>
      <c r="AI4" s="2244"/>
      <c r="AJ4" s="2244"/>
      <c r="AK4" s="2244"/>
      <c r="AL4" s="2245"/>
      <c r="AM4" s="1259" t="s">
        <v>530</v>
      </c>
      <c r="AO4" s="1625"/>
      <c r="AP4" s="1625" t="str">
        <f>IF(T4="","",T4)</f>
        <v>Наименование системы теплоснабжения </v>
      </c>
      <c r="AQ4" s="1625"/>
      <c r="AR4" s="1625"/>
      <c r="AS4" s="1632">
        <v>0</v>
      </c>
    </row>
    <row customHeight="1" ht="21" hidden="1">
      <c r="A5" s="1268"/>
      <c r="B5" s="1268"/>
      <c r="C5" s="1268"/>
      <c r="D5" s="1268"/>
      <c r="E5" s="2291"/>
      <c r="F5" s="2291"/>
      <c r="G5" s="2291"/>
      <c r="H5" s="2290">
        <v>1</v>
      </c>
      <c r="I5" s="1268"/>
      <c r="J5" s="1268"/>
      <c r="K5" s="1268"/>
      <c r="L5" s="1311"/>
      <c r="M5" s="1611"/>
      <c r="N5" s="1611"/>
      <c r="O5" s="1611"/>
      <c r="P5" s="355"/>
      <c r="Q5" s="353"/>
      <c r="R5" s="354"/>
      <c r="S5" s="1959">
        <f>INDEX(PT_DIFFERENTIATION_NUM_IST_TE,MATCH(D5,PT_DIFFERENTIATION_IST_TE_ID,0))</f>
      </c>
      <c r="T5" s="311" t="s">
        <v>531</v>
      </c>
      <c r="U5" s="301"/>
      <c r="V5" s="2243"/>
      <c r="W5" s="2244"/>
      <c r="X5" s="2244"/>
      <c r="Y5" s="2244"/>
      <c r="Z5" s="2244"/>
      <c r="AA5" s="2244"/>
      <c r="AB5" s="2244"/>
      <c r="AC5" s="2245"/>
      <c r="AD5" s="2243">
        <f>INDEX(PT_DIFFERENTIATION_IST_TE,MATCH(D5,PT_DIFFERENTIATION_IST_TE_ID,0))</f>
      </c>
      <c r="AE5" s="2244"/>
      <c r="AF5" s="2244"/>
      <c r="AG5" s="2244"/>
      <c r="AH5" s="2244"/>
      <c r="AI5" s="2244"/>
      <c r="AJ5" s="2244"/>
      <c r="AK5" s="2244"/>
      <c r="AL5" s="2245"/>
      <c r="AM5" s="1259" t="s">
        <v>532</v>
      </c>
      <c r="AO5" s="1625"/>
      <c r="AP5" s="1625" t="str">
        <f>IF(T5="","",T5)</f>
        <v>Источник тепловой энергии  </v>
      </c>
      <c r="AQ5" s="1625"/>
      <c r="AR5" s="1625"/>
      <c r="AS5" s="1632">
        <v>0</v>
      </c>
    </row>
    <row customHeight="1" ht="47.25" hidden="1">
      <c r="A6" s="1268"/>
      <c r="B6" s="1268"/>
      <c r="C6" s="1268"/>
      <c r="D6" s="1268"/>
      <c r="E6" s="2291"/>
      <c r="F6" s="2291"/>
      <c r="G6" s="2291"/>
      <c r="H6" s="2291"/>
      <c r="I6" s="2128">
        <f>S5&amp;".1"</f>
      </c>
      <c r="J6" s="1268"/>
      <c r="K6" s="1268"/>
      <c r="L6" s="1311" t="s">
        <v>533</v>
      </c>
      <c r="M6" s="1636"/>
      <c r="P6" s="2258">
        <v>1</v>
      </c>
      <c r="Q6" s="1955"/>
      <c r="R6" s="357"/>
      <c r="S6" s="1959">
        <f>$I6</f>
      </c>
      <c r="T6" s="286" t="s">
        <v>534</v>
      </c>
      <c r="U6" s="301"/>
      <c r="V6" s="2246"/>
      <c r="W6" s="2247"/>
      <c r="X6" s="2247"/>
      <c r="Y6" s="2247"/>
      <c r="Z6" s="2247"/>
      <c r="AA6" s="2247"/>
      <c r="AB6" s="2247"/>
      <c r="AC6" s="2248"/>
      <c r="AD6" s="2246"/>
      <c r="AE6" s="2247"/>
      <c r="AF6" s="2247"/>
      <c r="AG6" s="2247"/>
      <c r="AH6" s="2247"/>
      <c r="AI6" s="2247"/>
      <c r="AJ6" s="2247"/>
      <c r="AK6" s="2247"/>
      <c r="AL6" s="2248"/>
      <c r="AM6" s="1259" t="s">
        <v>535</v>
      </c>
      <c r="AO6" s="1625"/>
      <c r="AP6" s="1625" t="str">
        <f>IF(T6="","",T6)</f>
        <v>Схема подключения теплопотребляющей установки к коллектору источника тепловой энергии</v>
      </c>
      <c r="AQ6" s="1625"/>
      <c r="AR6" s="1625"/>
      <c r="AS6" s="1632">
        <v>0</v>
      </c>
    </row>
    <row customHeight="1" ht="21" hidden="1">
      <c r="A7" s="1268"/>
      <c r="B7" s="1268"/>
      <c r="C7" s="1268"/>
      <c r="D7" s="1268"/>
      <c r="E7" s="2291"/>
      <c r="F7" s="2291"/>
      <c r="G7" s="2291"/>
      <c r="H7" s="2291"/>
      <c r="I7" s="2102"/>
      <c r="J7" s="2128">
        <f>I6&amp;".1"</f>
      </c>
      <c r="K7" s="1268"/>
      <c r="L7" s="1311" t="s">
        <v>536</v>
      </c>
      <c r="M7" s="1636"/>
      <c r="N7" s="1632"/>
      <c r="P7" s="2258"/>
      <c r="Q7" s="2258">
        <v>1</v>
      </c>
      <c r="R7" s="358"/>
      <c r="S7" s="1959">
        <f>$J7</f>
      </c>
      <c r="T7" s="287" t="s">
        <v>537</v>
      </c>
      <c r="U7" s="301"/>
      <c r="V7" s="2246"/>
      <c r="W7" s="2247"/>
      <c r="X7" s="2247"/>
      <c r="Y7" s="2247"/>
      <c r="Z7" s="2247"/>
      <c r="AA7" s="2247"/>
      <c r="AB7" s="2247"/>
      <c r="AC7" s="2248"/>
      <c r="AD7" s="2246"/>
      <c r="AE7" s="2247"/>
      <c r="AF7" s="2247"/>
      <c r="AG7" s="2247"/>
      <c r="AH7" s="2247"/>
      <c r="AI7" s="2247"/>
      <c r="AJ7" s="2247"/>
      <c r="AK7" s="2247"/>
      <c r="AL7" s="2248"/>
      <c r="AM7" s="1259" t="s">
        <v>538</v>
      </c>
      <c r="AO7" s="1625"/>
      <c r="AP7" s="1625" t="str">
        <f>IF(T7="","",T7)</f>
        <v>Группа потребителей</v>
      </c>
      <c r="AQ7" s="1625"/>
      <c r="AR7" s="1625"/>
      <c r="AS7" s="1632">
        <v>0</v>
      </c>
    </row>
    <row customHeight="1" ht="21" hidden="1">
      <c r="A8" s="1268"/>
      <c r="B8" s="1268"/>
      <c r="C8" s="1268"/>
      <c r="D8" s="1268"/>
      <c r="E8" s="2291"/>
      <c r="F8" s="2291"/>
      <c r="G8" s="2291"/>
      <c r="H8" s="2291"/>
      <c r="I8" s="2102"/>
      <c r="J8" s="2102"/>
      <c r="K8" s="2128">
        <f>J7&amp;".1"</f>
      </c>
      <c r="L8" s="1311" t="s">
        <v>539</v>
      </c>
      <c r="M8" s="1636"/>
      <c r="N8" s="1632"/>
      <c r="O8" s="1632"/>
      <c r="P8" s="2258"/>
      <c r="Q8" s="2258"/>
      <c r="R8" s="358">
        <v>1</v>
      </c>
      <c r="S8" s="1959">
        <f>$K8</f>
      </c>
      <c r="T8" s="1348"/>
      <c r="U8" s="301"/>
      <c r="V8" s="752"/>
      <c r="W8" s="326"/>
      <c r="X8" s="752"/>
      <c r="Y8" s="1258"/>
      <c r="Z8" s="2266"/>
      <c r="AA8" s="2108" t="s">
        <v>65</v>
      </c>
      <c r="AB8" s="2266"/>
      <c r="AC8" s="2108" t="s">
        <v>65</v>
      </c>
      <c r="AD8" s="752"/>
      <c r="AE8" s="326"/>
      <c r="AF8" s="752"/>
      <c r="AG8" s="1258"/>
      <c r="AH8" s="2266"/>
      <c r="AI8" s="2108" t="s">
        <v>65</v>
      </c>
      <c r="AJ8" s="2266"/>
      <c r="AK8" s="2108" t="s">
        <v>65</v>
      </c>
      <c r="AL8" s="326"/>
      <c r="AM8" s="2254" t="s">
        <v>540</v>
      </c>
      <c r="AN8" s="1637">
        <f>STRCHECKDATE(V9:AL9)</f>
      </c>
      <c r="AO8" s="1625"/>
      <c r="AP8" s="1625" t="str">
        <f>IF(T8="","",T8)</f>
        <v/>
      </c>
      <c r="AQ8" s="1625"/>
      <c r="AR8" s="1625"/>
      <c r="AS8" s="1632">
        <v>0</v>
      </c>
    </row>
    <row customHeight="1" ht="0.75" hidden="1">
      <c r="A9" s="1268"/>
      <c r="B9" s="1268"/>
      <c r="C9" s="1268"/>
      <c r="D9" s="1268"/>
      <c r="E9" s="2291"/>
      <c r="F9" s="2291"/>
      <c r="G9" s="2291"/>
      <c r="H9" s="2291"/>
      <c r="I9" s="2102"/>
      <c r="J9" s="2102"/>
      <c r="K9" s="2128"/>
      <c r="L9" s="1311"/>
      <c r="M9" s="1636"/>
      <c r="N9" s="1632"/>
      <c r="O9" s="1632"/>
      <c r="P9" s="2258"/>
      <c r="Q9" s="2258"/>
      <c r="R9" s="358"/>
      <c r="S9" s="1968"/>
      <c r="T9" s="301"/>
      <c r="U9" s="301"/>
      <c r="V9" s="326"/>
      <c r="W9" s="326"/>
      <c r="X9" s="326"/>
      <c r="Y9" s="329" t="str">
        <f>Z8&amp;"-"&amp;AB8</f>
        <v>-</v>
      </c>
      <c r="Z9" s="2267"/>
      <c r="AA9" s="2108"/>
      <c r="AB9" s="2267"/>
      <c r="AC9" s="2108"/>
      <c r="AD9" s="326"/>
      <c r="AE9" s="326"/>
      <c r="AF9" s="326"/>
      <c r="AG9" s="329" t="str">
        <f>AH8&amp;"-"&amp;AJ8</f>
        <v>-</v>
      </c>
      <c r="AH9" s="2267"/>
      <c r="AI9" s="2108"/>
      <c r="AJ9" s="2267"/>
      <c r="AK9" s="2108"/>
      <c r="AL9" s="326"/>
      <c r="AM9" s="2255"/>
      <c r="AO9" s="1625"/>
      <c r="AP9" s="1625" t="str">
        <f>IF(T9="","",T9)</f>
        <v/>
      </c>
      <c r="AQ9" s="1625"/>
      <c r="AR9" s="1625"/>
      <c r="AS9" s="1632">
        <v>0</v>
      </c>
    </row>
    <row customHeight="1" ht="15" hidden="1">
      <c r="A10" s="1268"/>
      <c r="B10" s="1268"/>
      <c r="C10" s="1268"/>
      <c r="D10" s="1268"/>
      <c r="E10" s="2291"/>
      <c r="F10" s="2291"/>
      <c r="G10" s="2291"/>
      <c r="H10" s="2291"/>
      <c r="I10" s="2102"/>
      <c r="J10" s="2128"/>
      <c r="K10" s="1268"/>
      <c r="L10" s="1311"/>
      <c r="M10" s="1636"/>
      <c r="N10" s="1632"/>
      <c r="P10" s="2258"/>
      <c r="Q10" s="2258"/>
      <c r="R10" s="357"/>
      <c r="S10" s="1279"/>
      <c r="T10" s="289" t="s">
        <v>541</v>
      </c>
      <c r="U10" s="601"/>
      <c r="V10" s="601"/>
      <c r="W10" s="601"/>
      <c r="X10" s="601"/>
      <c r="Y10" s="601"/>
      <c r="Z10" s="601"/>
      <c r="AA10" s="601"/>
      <c r="AB10" s="601"/>
      <c r="AC10" s="601"/>
      <c r="AD10" s="601"/>
      <c r="AE10" s="601"/>
      <c r="AF10" s="601"/>
      <c r="AG10" s="601"/>
      <c r="AH10" s="601"/>
      <c r="AI10" s="601"/>
      <c r="AJ10" s="601"/>
      <c r="AK10" s="601"/>
      <c r="AL10" s="325"/>
      <c r="AM10" s="2256"/>
      <c r="AO10" s="1625"/>
      <c r="AP10" s="1625" t="str">
        <f>IF(T10="","",T10)</f>
        <v>Добавить вид теплоносителя (параметры теплоносителя)</v>
      </c>
      <c r="AQ10" s="1625"/>
      <c r="AR10" s="1625"/>
      <c r="AS10" s="1632">
        <v>0</v>
      </c>
    </row>
    <row customHeight="1" ht="15" hidden="1">
      <c r="A11" s="1268"/>
      <c r="B11" s="1268"/>
      <c r="C11" s="1268"/>
      <c r="D11" s="1268"/>
      <c r="E11" s="2291"/>
      <c r="F11" s="2291"/>
      <c r="G11" s="2291"/>
      <c r="H11" s="2291"/>
      <c r="I11" s="2128"/>
      <c r="J11" s="1268"/>
      <c r="K11" s="1268"/>
      <c r="L11" s="1311"/>
      <c r="M11" s="1636"/>
      <c r="P11" s="2258"/>
      <c r="Q11" s="1955"/>
      <c r="R11" s="357"/>
      <c r="S11" s="1279"/>
      <c r="T11" s="288" t="s">
        <v>542</v>
      </c>
      <c r="U11" s="601"/>
      <c r="V11" s="601"/>
      <c r="W11" s="601"/>
      <c r="X11" s="601"/>
      <c r="Y11" s="601"/>
      <c r="Z11" s="601"/>
      <c r="AA11" s="601"/>
      <c r="AB11" s="601"/>
      <c r="AC11" s="367"/>
      <c r="AD11" s="601"/>
      <c r="AE11" s="601"/>
      <c r="AF11" s="601"/>
      <c r="AG11" s="601"/>
      <c r="AH11" s="601"/>
      <c r="AI11" s="601"/>
      <c r="AJ11" s="601"/>
      <c r="AK11" s="367"/>
      <c r="AL11" s="601"/>
      <c r="AM11" s="304"/>
      <c r="AO11" s="1625"/>
      <c r="AP11" s="1625" t="str">
        <f>IF(T11="","",T11)</f>
        <v>Добавить группу потребителей</v>
      </c>
      <c r="AQ11" s="1625"/>
      <c r="AR11" s="1625"/>
      <c r="AS11" s="1632">
        <v>0</v>
      </c>
    </row>
    <row customHeight="1" ht="14.25" hidden="1">
      <c r="A12" s="1268"/>
      <c r="B12" s="1268"/>
      <c r="C12" s="1268"/>
      <c r="D12" s="1268"/>
      <c r="E12" s="2291"/>
      <c r="F12" s="2291"/>
      <c r="G12" s="2291"/>
      <c r="H12" s="2290"/>
      <c r="I12" s="1268"/>
      <c r="J12" s="1268"/>
      <c r="K12" s="1268"/>
      <c r="L12" s="1311"/>
      <c r="M12" s="1611"/>
      <c r="N12" s="1611"/>
      <c r="O12" s="1636"/>
      <c r="P12" s="361"/>
      <c r="Q12" s="376"/>
      <c r="R12" s="356"/>
      <c r="S12" s="1279"/>
      <c r="T12" s="366" t="s">
        <v>543</v>
      </c>
      <c r="U12" s="601"/>
      <c r="V12" s="601"/>
      <c r="W12" s="601"/>
      <c r="X12" s="601"/>
      <c r="Y12" s="601"/>
      <c r="Z12" s="601"/>
      <c r="AA12" s="601"/>
      <c r="AB12" s="601"/>
      <c r="AC12" s="367"/>
      <c r="AD12" s="601"/>
      <c r="AE12" s="601"/>
      <c r="AF12" s="601"/>
      <c r="AG12" s="601"/>
      <c r="AH12" s="601"/>
      <c r="AI12" s="601"/>
      <c r="AJ12" s="601"/>
      <c r="AK12" s="367"/>
      <c r="AL12" s="601"/>
      <c r="AM12" s="304"/>
      <c r="AO12" s="1625"/>
      <c r="AP12" s="1625" t="str">
        <f>IF(T12="","",T12)</f>
        <v>Добавить схему подключения</v>
      </c>
      <c r="AQ12" s="1625"/>
      <c r="AR12" s="1625"/>
      <c r="AS12" s="1632">
        <v>0</v>
      </c>
    </row>
    <row s="1643" customFormat="1" customHeight="1" ht="0.75" hidden="1">
      <c r="A13" s="1375"/>
      <c r="B13" s="1375"/>
      <c r="C13" s="1375"/>
      <c r="D13" s="1375"/>
      <c r="E13" s="2291"/>
      <c r="F13" s="2291"/>
      <c r="G13" s="2290"/>
      <c r="H13" s="1375"/>
      <c r="I13" s="1375"/>
      <c r="J13" s="1375"/>
      <c r="K13" s="1375"/>
      <c r="L13" s="1378"/>
      <c r="M13" s="1379"/>
      <c r="N13" s="1379"/>
      <c r="O13" s="352"/>
      <c r="P13" s="1317"/>
      <c r="Q13" s="1318"/>
      <c r="R13" s="1317"/>
      <c r="S13" s="1319"/>
      <c r="T13" s="1320" t="s">
        <v>177</v>
      </c>
      <c r="U13" s="1321"/>
      <c r="V13" s="1321"/>
      <c r="W13" s="1321"/>
      <c r="X13" s="1321"/>
      <c r="Y13" s="1321"/>
      <c r="Z13" s="1321"/>
      <c r="AA13" s="1321"/>
      <c r="AB13" s="1321"/>
      <c r="AC13" s="1321"/>
      <c r="AD13" s="1321"/>
      <c r="AE13" s="1321"/>
      <c r="AF13" s="1321"/>
      <c r="AG13" s="1321"/>
      <c r="AH13" s="1321"/>
      <c r="AI13" s="1321"/>
      <c r="AJ13" s="1321"/>
      <c r="AK13" s="1321"/>
      <c r="AL13" s="1321"/>
      <c r="AM13" s="1321"/>
      <c r="AO13" s="1252"/>
      <c r="AP13" s="1252" t="str">
        <f>IF(T13="","",T13)</f>
        <v>Добавить источник для дифференциации</v>
      </c>
      <c r="AQ13" s="1252"/>
      <c r="AR13" s="1252"/>
      <c r="AS13" s="1643">
        <v>0</v>
      </c>
    </row>
    <row s="1643" customFormat="1" customHeight="1" ht="0.75" hidden="1">
      <c r="A14" s="1375"/>
      <c r="B14" s="1375"/>
      <c r="C14" s="1375"/>
      <c r="D14" s="1375"/>
      <c r="E14" s="2291"/>
      <c r="F14" s="2290"/>
      <c r="G14" s="1375"/>
      <c r="H14" s="1375"/>
      <c r="I14" s="1375"/>
      <c r="J14" s="1375"/>
      <c r="K14" s="1375"/>
      <c r="L14" s="1378"/>
      <c r="M14" s="1380"/>
      <c r="N14" s="1380"/>
      <c r="O14" s="352"/>
      <c r="P14" s="1317"/>
      <c r="Q14" s="1318"/>
      <c r="R14" s="1317"/>
      <c r="S14" s="1323"/>
      <c r="T14" s="1324" t="s">
        <v>178</v>
      </c>
      <c r="U14" s="1325"/>
      <c r="V14" s="1325"/>
      <c r="W14" s="1325"/>
      <c r="X14" s="1325"/>
      <c r="Y14" s="1325"/>
      <c r="Z14" s="1325"/>
      <c r="AA14" s="1325"/>
      <c r="AB14" s="1325"/>
      <c r="AC14" s="1325"/>
      <c r="AD14" s="1325"/>
      <c r="AE14" s="1325"/>
      <c r="AF14" s="1325"/>
      <c r="AG14" s="1325"/>
      <c r="AH14" s="1325"/>
      <c r="AI14" s="1325"/>
      <c r="AJ14" s="1325"/>
      <c r="AK14" s="1325"/>
      <c r="AL14" s="1325"/>
      <c r="AM14" s="1325"/>
      <c r="AO14" s="1252"/>
      <c r="AP14" s="1252" t="str">
        <f>IF(T14="","",T14)</f>
        <v>Добавить централизованную систему для дифференциации</v>
      </c>
      <c r="AQ14" s="1252"/>
      <c r="AR14" s="1252"/>
      <c r="AS14" s="1643">
        <v>0</v>
      </c>
    </row>
    <row s="1643" customFormat="1" customHeight="1" ht="0.75" hidden="1">
      <c r="A15" s="1375"/>
      <c r="B15" s="1375"/>
      <c r="C15" s="1375"/>
      <c r="D15" s="1375"/>
      <c r="E15" s="2290"/>
      <c r="F15" s="1375"/>
      <c r="G15" s="1375"/>
      <c r="H15" s="1375"/>
      <c r="I15" s="1375"/>
      <c r="J15" s="1375"/>
      <c r="K15" s="1375"/>
      <c r="L15" s="1378"/>
      <c r="M15" s="1380"/>
      <c r="N15" s="1380"/>
      <c r="O15" s="352"/>
      <c r="P15" s="1317"/>
      <c r="Q15" s="1318"/>
      <c r="R15" s="1317"/>
      <c r="S15" s="1323"/>
      <c r="T15" s="1326" t="s">
        <v>183</v>
      </c>
      <c r="U15" s="1325"/>
      <c r="V15" s="1325"/>
      <c r="W15" s="1325"/>
      <c r="X15" s="1325"/>
      <c r="Y15" s="1325"/>
      <c r="Z15" s="1325"/>
      <c r="AA15" s="1325"/>
      <c r="AB15" s="1325"/>
      <c r="AC15" s="1325"/>
      <c r="AD15" s="1325"/>
      <c r="AE15" s="1325"/>
      <c r="AF15" s="1325"/>
      <c r="AG15" s="1325"/>
      <c r="AH15" s="1325"/>
      <c r="AI15" s="1325"/>
      <c r="AJ15" s="1325"/>
      <c r="AK15" s="1325"/>
      <c r="AL15" s="1325"/>
      <c r="AM15" s="1325"/>
      <c r="AO15" s="1252"/>
      <c r="AP15" s="1252" t="str">
        <f>IF(T15="","",T15)</f>
        <v>Добавить территорию для дифференциации</v>
      </c>
      <c r="AQ15" s="1252"/>
      <c r="AR15" s="1252"/>
      <c r="AS15" s="1643">
        <v>0</v>
      </c>
    </row>
    <row customHeight="1" ht="14.25" hidden="1">
      <c r="AS16" s="1632">
        <v>0</v>
      </c>
    </row>
    <row customHeight="1" ht="14.25" hidden="1">
      <c r="AD17" s="1361"/>
      <c r="AE17" s="1361"/>
      <c r="AF17" s="1361"/>
      <c r="AG17" s="1362"/>
      <c r="AH17" s="2268"/>
      <c r="AI17" s="2269" t="s">
        <v>65</v>
      </c>
      <c r="AJ17" s="2268"/>
      <c r="AK17" s="2269" t="s">
        <v>65</v>
      </c>
      <c r="AS17" s="1632">
        <v>0</v>
      </c>
    </row>
    <row customHeight="1" ht="14.25" hidden="1">
      <c r="AD18" s="1361"/>
      <c r="AE18" s="1361"/>
      <c r="AF18" s="1361"/>
      <c r="AG18" s="329" t="str">
        <f>AH17&amp;"-"&amp;AJ17</f>
        <v>-</v>
      </c>
      <c r="AH18" s="2269"/>
      <c r="AI18" s="2269"/>
      <c r="AJ18" s="2269"/>
      <c r="AK18" s="2269"/>
      <c r="AS18" s="1632">
        <v>0</v>
      </c>
    </row>
    <row customHeight="1" ht="14.25" hidden="1">
      <c r="AS19" s="1632">
        <v>0</v>
      </c>
    </row>
    <row s="1367" customFormat="1" customHeight="1" ht="14.25" hidden="1">
      <c r="A20" s="1632"/>
      <c r="B20" s="1632"/>
      <c r="C20" s="1632"/>
      <c r="D20" s="1632"/>
      <c r="E20" s="1632"/>
      <c r="F20" s="1632"/>
      <c r="G20" s="1632"/>
      <c r="H20" s="1632"/>
      <c r="I20" s="1632"/>
      <c r="J20" s="1632"/>
      <c r="K20" s="1632"/>
      <c r="L20" s="1940"/>
      <c r="M20" s="1966"/>
      <c r="N20" s="1966"/>
      <c r="O20" s="1346" t="s">
        <v>544</v>
      </c>
      <c r="P20" s="1363"/>
      <c r="Q20" s="1372"/>
      <c r="R20" s="1372"/>
      <c r="S20" s="730"/>
      <c r="Z20" s="1368"/>
      <c r="AB20" s="1368"/>
      <c r="AH20" s="1368"/>
      <c r="AJ20" s="1368"/>
      <c r="AN20" s="1637"/>
      <c r="AO20" s="1637"/>
      <c r="AP20" s="1637"/>
      <c r="AQ20" s="1637"/>
      <c r="AR20" s="1637"/>
      <c r="AS20" s="1367">
        <v>0</v>
      </c>
    </row>
    <row s="1367" customFormat="1" customHeight="1" ht="14.25" hidden="1">
      <c r="A21" s="1632"/>
      <c r="B21" s="1632"/>
      <c r="C21" s="1632"/>
      <c r="D21" s="1632"/>
      <c r="E21" s="1632"/>
      <c r="F21" s="1632"/>
      <c r="G21" s="1632"/>
      <c r="H21" s="1632"/>
      <c r="I21" s="1632"/>
      <c r="J21" s="1632"/>
      <c r="K21" s="1632"/>
      <c r="L21" s="1940"/>
      <c r="M21" s="1966"/>
      <c r="N21" s="1966"/>
      <c r="O21" s="1966"/>
      <c r="P21" s="1363"/>
      <c r="Q21" s="1372"/>
      <c r="R21" s="1372"/>
      <c r="S21" s="730"/>
      <c r="AN21" s="1637"/>
      <c r="AO21" s="1637"/>
      <c r="AP21" s="1637"/>
      <c r="AQ21" s="1637"/>
      <c r="AR21" s="1637"/>
      <c r="AS21" s="1367">
        <v>0</v>
      </c>
    </row>
    <row s="1367" customFormat="1" customHeight="1" ht="14.25" hidden="1">
      <c r="A22" s="1632"/>
      <c r="B22" s="1632"/>
      <c r="C22" s="1632"/>
      <c r="D22" s="1632"/>
      <c r="E22" s="1632"/>
      <c r="F22" s="1632"/>
      <c r="G22" s="1632"/>
      <c r="H22" s="1632"/>
      <c r="I22" s="1632"/>
      <c r="J22" s="1632"/>
      <c r="K22" s="1632"/>
      <c r="L22" s="1940"/>
      <c r="M22" s="1966"/>
      <c r="N22" s="1966"/>
      <c r="O22" s="1311" t="s">
        <v>545</v>
      </c>
      <c r="P22" s="1363"/>
      <c r="Q22" s="1372"/>
      <c r="R22" s="1372"/>
      <c r="S22" s="730"/>
      <c r="T22" s="1367" t="s">
        <v>546</v>
      </c>
      <c r="AA22" s="596" t="s">
        <v>547</v>
      </c>
      <c r="AC22" s="596" t="s">
        <v>548</v>
      </c>
      <c r="AD22" s="1367" t="s">
        <v>546</v>
      </c>
      <c r="AI22" s="596" t="s">
        <v>549</v>
      </c>
      <c r="AK22" s="596" t="s">
        <v>548</v>
      </c>
      <c r="AN22" s="1637"/>
      <c r="AO22" s="1637"/>
      <c r="AP22" s="1637"/>
      <c r="AQ22" s="1637"/>
      <c r="AR22" s="1637"/>
      <c r="AS22" s="1367">
        <v>0</v>
      </c>
    </row>
    <row customHeight="1" ht="14.25" hidden="1">
      <c r="O23" s="1311"/>
      <c r="AS23" s="1632">
        <v>0</v>
      </c>
    </row>
    <row customHeight="1" ht="14.25" hidden="1">
      <c r="O24" s="1311"/>
      <c r="AS24" s="1632">
        <v>0</v>
      </c>
    </row>
    <row customHeight="1" ht="14.699999999999998">
      <c r="Q25" s="377"/>
      <c r="R25" s="377"/>
      <c r="S25" s="1276"/>
      <c r="T25" s="458"/>
      <c r="U25" s="458"/>
      <c r="V25" s="1636"/>
      <c r="W25" s="1636"/>
      <c r="X25" s="1636"/>
      <c r="Y25" s="1636"/>
      <c r="Z25" s="1636"/>
      <c r="AA25" s="1636"/>
      <c r="AB25" s="1636"/>
      <c r="AC25" s="1636"/>
      <c r="AD25" s="1636"/>
      <c r="AE25" s="1636"/>
      <c r="AF25" s="1636"/>
      <c r="AG25" s="1636"/>
      <c r="AH25" s="1636"/>
      <c r="AI25" s="1636"/>
      <c r="AJ25" s="1636"/>
      <c r="AK25" s="1636"/>
      <c r="AS25" s="1632">
        <v>14</v>
      </c>
    </row>
    <row customHeight="1" ht="14.699999999999998">
      <c r="Q26" s="377"/>
      <c r="R26" s="377"/>
      <c r="S26" s="2249" t="str">
        <f>IF(TEMPLATE_GROUP="P",PT_P_FORM_HEAT_4_NAME_FORM,PT_R_FORM_HEAT_21_NAME_FORM)</f>
        <v>Форма 3. Информация об установленных тарифах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об установленных тарифах на тепловую энергию (мощность), поставляемую теплоснабжающими организациями потребителям, другим теплоснабжающим организациям, об установленной плате за услуги по поддержанию резервной тепловой мощности при отсутствии потребления тепловой энергии</v>
      </c>
      <c r="T26" s="2249"/>
      <c r="U26" s="2249"/>
      <c r="V26" s="2249"/>
      <c r="W26" s="2249"/>
      <c r="X26" s="2249"/>
      <c r="Y26" s="2249"/>
      <c r="Z26" s="2249"/>
      <c r="AA26" s="2249"/>
      <c r="AB26" s="2249"/>
      <c r="AC26" s="2249"/>
      <c r="AD26" s="2249"/>
      <c r="AE26" s="2249"/>
      <c r="AF26" s="2249"/>
      <c r="AG26" s="2249"/>
      <c r="AH26" s="2249"/>
      <c r="AI26" s="2249"/>
      <c r="AJ26" s="2249"/>
      <c r="AK26" s="1244"/>
      <c r="AS26" s="1632">
        <v>14</v>
      </c>
    </row>
    <row customHeight="1" ht="14.699999999999998">
      <c r="Q27" s="377"/>
      <c r="R27" s="377"/>
      <c r="S27" s="2250" t="str">
        <f>IF(org=0,"Не определено",org)</f>
        <v>ПАО "ТГК-1" (филиал "Кольский")</v>
      </c>
      <c r="T27" s="2250"/>
      <c r="U27" s="2250"/>
      <c r="V27" s="2250"/>
      <c r="W27" s="2250"/>
      <c r="X27" s="2250"/>
      <c r="Y27" s="2250"/>
      <c r="Z27" s="2250"/>
      <c r="AA27" s="2250"/>
      <c r="AB27" s="2250"/>
      <c r="AC27" s="2250"/>
      <c r="AD27" s="2250"/>
      <c r="AE27" s="2250"/>
      <c r="AF27" s="2250"/>
      <c r="AG27" s="2250"/>
      <c r="AH27" s="2250"/>
      <c r="AI27" s="2250"/>
      <c r="AJ27" s="2250"/>
      <c r="AK27" s="1244"/>
      <c r="AS27" s="1632">
        <v>14</v>
      </c>
    </row>
    <row customHeight="1" ht="14.25" hidden="1">
      <c r="Q28" s="377"/>
      <c r="R28" s="377"/>
      <c r="S28" s="1276"/>
      <c r="T28" s="458"/>
      <c r="U28" s="458"/>
      <c r="V28" s="323"/>
      <c r="W28" s="323"/>
      <c r="X28" s="323"/>
      <c r="Y28" s="323"/>
      <c r="Z28" s="323"/>
      <c r="AA28" s="323"/>
      <c r="AB28" s="323"/>
      <c r="AC28" s="323"/>
      <c r="AD28" s="323"/>
      <c r="AE28" s="323"/>
      <c r="AF28" s="323"/>
      <c r="AG28" s="323"/>
      <c r="AH28" s="323"/>
      <c r="AI28" s="323"/>
      <c r="AJ28" s="323"/>
      <c r="AK28" s="323"/>
      <c r="AL28" s="1636"/>
      <c r="AS28" s="1632">
        <v>0</v>
      </c>
    </row>
    <row s="1854" customFormat="1" customHeight="1" ht="25.5" hidden="1">
      <c r="A29" s="1249"/>
      <c r="B29" s="1249"/>
      <c r="C29" s="1249"/>
      <c r="D29" s="1249"/>
      <c r="E29" s="1249"/>
      <c r="F29" s="1249"/>
      <c r="G29" s="1249"/>
      <c r="H29" s="1249"/>
      <c r="I29" s="1249"/>
      <c r="J29" s="1249"/>
      <c r="K29" s="1249"/>
      <c r="L29" s="1381"/>
      <c r="M29" s="1249"/>
      <c r="N29" s="1249"/>
      <c r="O29" s="1249"/>
      <c r="S29" s="2251" t="s">
        <v>42</v>
      </c>
      <c r="T29" s="2251"/>
      <c r="U29" s="1373"/>
      <c r="V29" s="2252" t="str">
        <f>IF(TITLE_NAME_OR_PR_CHANGE="",IF(TITLE_NAME_OR_PR="","",TITLE_NAME_OR_PR),TITLE_NAME_OR_PR_CHANGE)</f>
        <v>Комитет по тарифному регулированию Мурманской области</v>
      </c>
      <c r="W29" s="2252"/>
      <c r="X29" s="2252"/>
      <c r="Y29" s="2252"/>
      <c r="Z29" s="2252"/>
      <c r="AA29" s="2252"/>
      <c r="AB29" s="2252"/>
      <c r="AC29" s="1636"/>
      <c r="AD29" s="2252" t="str">
        <f>IF(TITLE_NAME_OR_PR_CHANGE="",IF(TITLE_NAME_OR_PR="","",TITLE_NAME_OR_PR),TITLE_NAME_OR_PR_CHANGE)</f>
        <v>Комитет по тарифному регулированию Мурманской области</v>
      </c>
      <c r="AE29" s="2252"/>
      <c r="AF29" s="2252"/>
      <c r="AG29" s="2252"/>
      <c r="AH29" s="2252"/>
      <c r="AI29" s="2252"/>
      <c r="AJ29" s="2252"/>
      <c r="AK29" s="1636"/>
      <c r="AL29" s="1636"/>
      <c r="AM29" s="281"/>
      <c r="AN29" s="369"/>
      <c r="AO29" s="369"/>
      <c r="AP29" s="369"/>
      <c r="AQ29" s="369"/>
      <c r="AR29" s="369"/>
      <c r="AS29" s="419">
        <v>0</v>
      </c>
    </row>
    <row s="1854" customFormat="1" customHeight="1" ht="18.75" hidden="1">
      <c r="A30" s="1249"/>
      <c r="B30" s="1249"/>
      <c r="C30" s="1249"/>
      <c r="D30" s="1249"/>
      <c r="E30" s="1249"/>
      <c r="F30" s="1249"/>
      <c r="G30" s="1249"/>
      <c r="H30" s="1249"/>
      <c r="I30" s="1249"/>
      <c r="J30" s="1249"/>
      <c r="K30" s="1249"/>
      <c r="L30" s="1381"/>
      <c r="M30" s="1249"/>
      <c r="N30" s="1249"/>
      <c r="O30" s="1249"/>
      <c r="S30" s="2251" t="s">
        <v>550</v>
      </c>
      <c r="T30" s="2251"/>
      <c r="U30" s="1373"/>
      <c r="V30" s="2265" t="str">
        <f>IF(TITLE_DATE_PR_CHANGE="",IF(TITLE_DATE_PR="","",TITLE_DATE_PR),TITLE_DATE_PR_CHANGE)</f>
        <v>46010</v>
      </c>
      <c r="W30" s="2265"/>
      <c r="X30" s="2265"/>
      <c r="Y30" s="2265"/>
      <c r="Z30" s="2265"/>
      <c r="AA30" s="2265"/>
      <c r="AB30" s="2265"/>
      <c r="AC30" s="1636"/>
      <c r="AD30" s="2265" t="str">
        <f>IF(TITLE_DATE_PR_CHANGE="",IF(TITLE_DATE_PR="","",TITLE_DATE_PR),TITLE_DATE_PR_CHANGE)</f>
        <v>46010</v>
      </c>
      <c r="AE30" s="2265"/>
      <c r="AF30" s="2265"/>
      <c r="AG30" s="2265"/>
      <c r="AH30" s="2265"/>
      <c r="AI30" s="2265"/>
      <c r="AJ30" s="2265"/>
      <c r="AK30" s="1636"/>
      <c r="AL30" s="1636"/>
      <c r="AM30" s="281"/>
      <c r="AN30" s="369"/>
      <c r="AO30" s="369"/>
      <c r="AP30" s="369"/>
      <c r="AQ30" s="369"/>
      <c r="AR30" s="369"/>
      <c r="AS30" s="419">
        <v>0</v>
      </c>
    </row>
    <row s="1854" customFormat="1" customHeight="1" ht="18.75" hidden="1">
      <c r="A31" s="1249"/>
      <c r="B31" s="1249"/>
      <c r="C31" s="1249"/>
      <c r="D31" s="1249"/>
      <c r="E31" s="1249"/>
      <c r="F31" s="1249"/>
      <c r="G31" s="1249"/>
      <c r="H31" s="1249"/>
      <c r="I31" s="1249"/>
      <c r="J31" s="1249"/>
      <c r="K31" s="1249"/>
      <c r="L31" s="1381"/>
      <c r="M31" s="1249"/>
      <c r="N31" s="1249"/>
      <c r="O31" s="1249"/>
      <c r="S31" s="2251" t="s">
        <v>551</v>
      </c>
      <c r="T31" s="2251"/>
      <c r="U31" s="1373"/>
      <c r="V31" s="2252" t="str">
        <f>IF(TITLE_NUMBER_PR_CHANGE="",IF(TITLE_NUMBER_PR="","",TITLE_NUMBER_PR),TITLE_NUMBER_PR_CHANGE)</f>
        <v>53/77; 53/49</v>
      </c>
      <c r="W31" s="2252"/>
      <c r="X31" s="2252"/>
      <c r="Y31" s="2252"/>
      <c r="Z31" s="2252"/>
      <c r="AA31" s="2252"/>
      <c r="AB31" s="2252"/>
      <c r="AC31" s="1636"/>
      <c r="AD31" s="2252" t="str">
        <f>IF(TITLE_NUMBER_PR_CHANGE="",IF(TITLE_NUMBER_PR="","",TITLE_NUMBER_PR),TITLE_NUMBER_PR_CHANGE)</f>
        <v>53/77; 53/49</v>
      </c>
      <c r="AE31" s="2252"/>
      <c r="AF31" s="2252"/>
      <c r="AG31" s="2252"/>
      <c r="AH31" s="2252"/>
      <c r="AI31" s="2252"/>
      <c r="AJ31" s="2252"/>
      <c r="AK31" s="1636"/>
      <c r="AL31" s="1636"/>
      <c r="AM31" s="281"/>
      <c r="AN31" s="369"/>
      <c r="AO31" s="369"/>
      <c r="AP31" s="369"/>
      <c r="AQ31" s="369"/>
      <c r="AR31" s="369"/>
      <c r="AS31" s="419">
        <v>0</v>
      </c>
    </row>
    <row s="1854" customFormat="1" customHeight="1" ht="18.75" hidden="1">
      <c r="A32" s="1249"/>
      <c r="B32" s="1249"/>
      <c r="C32" s="1249"/>
      <c r="D32" s="1249"/>
      <c r="E32" s="1249"/>
      <c r="F32" s="1249"/>
      <c r="G32" s="1249"/>
      <c r="H32" s="1249"/>
      <c r="I32" s="1249"/>
      <c r="J32" s="1249"/>
      <c r="K32" s="1249"/>
      <c r="L32" s="1381"/>
      <c r="M32" s="1249"/>
      <c r="N32" s="1249"/>
      <c r="O32" s="1249"/>
      <c r="S32" s="2251" t="s">
        <v>44</v>
      </c>
      <c r="T32" s="2251"/>
      <c r="U32" s="1373"/>
      <c r="V32" s="2252" t="str">
        <f>IF(TITLE_IST_PUB_CHANGE="",IF(TITLE_IST_PUB="","",TITLE_IST_PUB),TITLE_IST_PUB_CHANGE)</f>
        <v>Официальный электронный бюллетень Правительства Мурманской области</v>
      </c>
      <c r="W32" s="2252"/>
      <c r="X32" s="2252"/>
      <c r="Y32" s="2252"/>
      <c r="Z32" s="2252"/>
      <c r="AA32" s="2252"/>
      <c r="AB32" s="2252"/>
      <c r="AC32" s="1636"/>
      <c r="AD32" s="2252" t="str">
        <f>IF(TITLE_IST_PUB_CHANGE="",IF(TITLE_IST_PUB="","",TITLE_IST_PUB),TITLE_IST_PUB_CHANGE)</f>
        <v>Официальный электронный бюллетень Правительства Мурманской области</v>
      </c>
      <c r="AE32" s="2252"/>
      <c r="AF32" s="2252"/>
      <c r="AG32" s="2252"/>
      <c r="AH32" s="2252"/>
      <c r="AI32" s="2252"/>
      <c r="AJ32" s="2252"/>
      <c r="AK32" s="1636"/>
      <c r="AL32" s="1636"/>
      <c r="AM32" s="281"/>
      <c r="AN32" s="369"/>
      <c r="AO32" s="369"/>
      <c r="AP32" s="369"/>
      <c r="AQ32" s="369"/>
      <c r="AR32" s="369"/>
      <c r="AS32" s="419">
        <v>0</v>
      </c>
    </row>
    <row customHeight="1" ht="14.25" hidden="1">
      <c r="Q33" s="377"/>
      <c r="R33" s="377"/>
      <c r="S33" s="1276"/>
      <c r="T33" s="458"/>
      <c r="U33" s="458"/>
      <c r="V33" s="323"/>
      <c r="W33" s="323"/>
      <c r="X33" s="323"/>
      <c r="Y33" s="323"/>
      <c r="Z33" s="323"/>
      <c r="AA33" s="323"/>
      <c r="AB33" s="323"/>
      <c r="AC33" s="323"/>
      <c r="AD33" s="323"/>
      <c r="AE33" s="323"/>
      <c r="AF33" s="323"/>
      <c r="AG33" s="323"/>
      <c r="AH33" s="323"/>
      <c r="AI33" s="323"/>
      <c r="AJ33" s="323"/>
      <c r="AK33" s="323"/>
      <c r="AL33" s="1636"/>
      <c r="AS33" s="1632">
        <v>0</v>
      </c>
    </row>
    <row s="1854" customFormat="1" customHeight="1" ht="18.75" hidden="1">
      <c r="A34" s="1249"/>
      <c r="B34" s="1249"/>
      <c r="C34" s="1249"/>
      <c r="D34" s="1249"/>
      <c r="E34" s="1249"/>
      <c r="F34" s="1249"/>
      <c r="G34" s="1249"/>
      <c r="H34" s="1249"/>
      <c r="I34" s="1249"/>
      <c r="J34" s="1249"/>
      <c r="K34" s="1249"/>
      <c r="L34" s="1381"/>
      <c r="M34" s="1249"/>
      <c r="N34" s="1249"/>
      <c r="O34" s="1249"/>
      <c r="S34" s="2251" t="s">
        <v>552</v>
      </c>
      <c r="T34" s="2251"/>
      <c r="U34" s="1373"/>
      <c r="V34" s="2265" t="str">
        <f>IF(TITLE_DATE_PR_CHANGE="",IF(TITLE_DATE_PR="","",TITLE_DATE_PR),TITLE_DATE_PR_CHANGE)</f>
        <v>46010</v>
      </c>
      <c r="W34" s="2265"/>
      <c r="X34" s="2265"/>
      <c r="Y34" s="2265"/>
      <c r="Z34" s="2265"/>
      <c r="AA34" s="2265"/>
      <c r="AB34" s="2265"/>
      <c r="AC34" s="1636"/>
      <c r="AD34" s="2265" t="str">
        <f>IF(TITLE_DATE_PR_CHANGE="",IF(TITLE_DATE_PR="","",TITLE_DATE_PR),TITLE_DATE_PR_CHANGE)</f>
        <v>46010</v>
      </c>
      <c r="AE34" s="2265"/>
      <c r="AF34" s="2265"/>
      <c r="AG34" s="2265"/>
      <c r="AH34" s="2265"/>
      <c r="AI34" s="2265"/>
      <c r="AJ34" s="2265"/>
      <c r="AK34" s="1636"/>
      <c r="AL34" s="1636"/>
      <c r="AM34" s="281"/>
      <c r="AN34" s="369"/>
      <c r="AO34" s="369"/>
      <c r="AP34" s="369"/>
      <c r="AQ34" s="369"/>
      <c r="AR34" s="369"/>
      <c r="AS34" s="419">
        <v>0</v>
      </c>
    </row>
    <row s="1854" customFormat="1" customHeight="1" ht="18.75" hidden="1">
      <c r="A35" s="1249"/>
      <c r="B35" s="1249"/>
      <c r="C35" s="1249"/>
      <c r="D35" s="1249"/>
      <c r="E35" s="1249"/>
      <c r="F35" s="1249"/>
      <c r="G35" s="1249"/>
      <c r="H35" s="1249"/>
      <c r="I35" s="1249"/>
      <c r="J35" s="1249"/>
      <c r="K35" s="1249"/>
      <c r="L35" s="1381"/>
      <c r="M35" s="1249"/>
      <c r="N35" s="1249"/>
      <c r="O35" s="1249"/>
      <c r="S35" s="2251" t="s">
        <v>553</v>
      </c>
      <c r="T35" s="2251"/>
      <c r="U35" s="1373"/>
      <c r="V35" s="2252" t="str">
        <f>IF(TITLE_NUMBER_PR_CHANGE="",IF(TITLE_NUMBER_PR="","",TITLE_NUMBER_PR),TITLE_NUMBER_PR_CHANGE)</f>
        <v>53/77; 53/49</v>
      </c>
      <c r="W35" s="2252"/>
      <c r="X35" s="2252"/>
      <c r="Y35" s="2252"/>
      <c r="Z35" s="2252"/>
      <c r="AA35" s="2252"/>
      <c r="AB35" s="2252"/>
      <c r="AC35" s="1636"/>
      <c r="AD35" s="2252" t="str">
        <f>IF(TITLE_NUMBER_PR_CHANGE="",IF(TITLE_NUMBER_PR="","",TITLE_NUMBER_PR),TITLE_NUMBER_PR_CHANGE)</f>
        <v>53/77; 53/49</v>
      </c>
      <c r="AE35" s="2252"/>
      <c r="AF35" s="2252"/>
      <c r="AG35" s="2252"/>
      <c r="AH35" s="2252"/>
      <c r="AI35" s="2252"/>
      <c r="AJ35" s="2252"/>
      <c r="AK35" s="1636"/>
      <c r="AL35" s="1636"/>
      <c r="AM35" s="281"/>
      <c r="AN35" s="369"/>
      <c r="AO35" s="369"/>
      <c r="AP35" s="369"/>
      <c r="AQ35" s="369"/>
      <c r="AR35" s="369"/>
      <c r="AS35" s="419">
        <v>0</v>
      </c>
    </row>
    <row s="1854" customFormat="1" customHeight="1" ht="0">
      <c r="A36" s="1249"/>
      <c r="B36" s="1249"/>
      <c r="C36" s="1249"/>
      <c r="D36" s="1249"/>
      <c r="E36" s="1249"/>
      <c r="F36" s="1249"/>
      <c r="G36" s="1249"/>
      <c r="H36" s="1249"/>
      <c r="I36" s="1249"/>
      <c r="J36" s="1249"/>
      <c r="K36" s="1249"/>
      <c r="L36" s="1381"/>
      <c r="M36" s="1249"/>
      <c r="N36" s="1249"/>
      <c r="O36" s="1249"/>
      <c r="S36" s="1636"/>
      <c r="T36" s="1636"/>
      <c r="U36" s="1971"/>
      <c r="V36" s="1636"/>
      <c r="W36" s="1636"/>
      <c r="X36" s="1636"/>
      <c r="Y36" s="1636"/>
      <c r="Z36" s="1636"/>
      <c r="AA36" s="1636"/>
      <c r="AB36" s="1636"/>
      <c r="AC36" s="1643" t="s">
        <v>554</v>
      </c>
      <c r="AD36" s="1636"/>
      <c r="AE36" s="1636"/>
      <c r="AF36" s="1636"/>
      <c r="AG36" s="1636"/>
      <c r="AH36" s="1636"/>
      <c r="AI36" s="1636"/>
      <c r="AJ36" s="1636"/>
      <c r="AK36" s="1643" t="s">
        <v>554</v>
      </c>
      <c r="AN36" s="369"/>
      <c r="AO36" s="369"/>
      <c r="AP36" s="369"/>
      <c r="AQ36" s="369"/>
      <c r="AR36" s="369"/>
      <c r="AS36" s="419">
        <v>0</v>
      </c>
    </row>
    <row customHeight="1" ht="14.699999999999998">
      <c r="Q37" s="377"/>
      <c r="R37" s="377"/>
      <c r="S37" s="1276"/>
      <c r="T37" s="458"/>
      <c r="U37" s="1245"/>
      <c r="V37" s="2253"/>
      <c r="W37" s="2253"/>
      <c r="X37" s="2253"/>
      <c r="Y37" s="2253"/>
      <c r="Z37" s="2253"/>
      <c r="AA37" s="2253"/>
      <c r="AB37" s="2253"/>
      <c r="AC37" s="2253"/>
      <c r="AD37" s="2253"/>
      <c r="AE37" s="2253"/>
      <c r="AF37" s="2253"/>
      <c r="AG37" s="2253"/>
      <c r="AH37" s="2253"/>
      <c r="AI37" s="2253"/>
      <c r="AJ37" s="2253"/>
      <c r="AK37" s="2253"/>
      <c r="AS37" s="1632">
        <v>14</v>
      </c>
    </row>
    <row customHeight="1" ht="14.699999999999998">
      <c r="Q38" s="377"/>
      <c r="R38" s="377"/>
      <c r="S38" s="2128" t="s">
        <v>430</v>
      </c>
      <c r="T38" s="2128"/>
      <c r="U38" s="2128"/>
      <c r="V38" s="2128"/>
      <c r="W38" s="2128"/>
      <c r="X38" s="2128"/>
      <c r="Y38" s="2128"/>
      <c r="Z38" s="2128"/>
      <c r="AA38" s="2128"/>
      <c r="AB38" s="2128"/>
      <c r="AC38" s="2128"/>
      <c r="AD38" s="2128"/>
      <c r="AE38" s="2128"/>
      <c r="AF38" s="2128"/>
      <c r="AG38" s="2128"/>
      <c r="AH38" s="2128"/>
      <c r="AI38" s="2128"/>
      <c r="AJ38" s="2128"/>
      <c r="AK38" s="2128"/>
      <c r="AL38" s="2128"/>
      <c r="AM38" s="2128" t="s">
        <v>431</v>
      </c>
      <c r="AS38" s="1632">
        <v>14</v>
      </c>
    </row>
    <row customHeight="1" ht="14.699999999999998">
      <c r="Q39" s="377"/>
      <c r="R39" s="377"/>
      <c r="S39" s="2274" t="s">
        <v>92</v>
      </c>
      <c r="T39" s="2210" t="s">
        <v>555</v>
      </c>
      <c r="U39" s="338"/>
      <c r="V39" s="2275" t="s">
        <v>556</v>
      </c>
      <c r="W39" s="2276"/>
      <c r="X39" s="2276"/>
      <c r="Y39" s="2276"/>
      <c r="Z39" s="2276"/>
      <c r="AA39" s="2276"/>
      <c r="AB39" s="2277"/>
      <c r="AC39" s="2278" t="s">
        <v>557</v>
      </c>
      <c r="AD39" s="2275" t="s">
        <v>556</v>
      </c>
      <c r="AE39" s="2276"/>
      <c r="AF39" s="2276"/>
      <c r="AG39" s="2276"/>
      <c r="AH39" s="2276"/>
      <c r="AI39" s="2276"/>
      <c r="AJ39" s="2277"/>
      <c r="AK39" s="2278" t="s">
        <v>558</v>
      </c>
      <c r="AL39" s="2281" t="s">
        <v>559</v>
      </c>
      <c r="AM39" s="2128"/>
      <c r="AS39" s="1632">
        <v>14</v>
      </c>
    </row>
    <row customHeight="1" ht="35.699999999999996">
      <c r="Q40" s="377"/>
      <c r="R40" s="377"/>
      <c r="S40" s="2274"/>
      <c r="T40" s="2210"/>
      <c r="U40" s="1032"/>
      <c r="V40" s="2261" t="s">
        <v>560</v>
      </c>
      <c r="W40" s="2284" t="s">
        <v>561</v>
      </c>
      <c r="X40" s="2263" t="s">
        <v>562</v>
      </c>
      <c r="Y40" s="2264"/>
      <c r="Z40" s="2263" t="s">
        <v>579</v>
      </c>
      <c r="AA40" s="2270"/>
      <c r="AB40" s="2264"/>
      <c r="AC40" s="2279"/>
      <c r="AD40" s="2261" t="s">
        <v>560</v>
      </c>
      <c r="AE40" s="2284" t="s">
        <v>561</v>
      </c>
      <c r="AF40" s="2263" t="s">
        <v>562</v>
      </c>
      <c r="AG40" s="2264"/>
      <c r="AH40" s="2263" t="s">
        <v>563</v>
      </c>
      <c r="AI40" s="2270"/>
      <c r="AJ40" s="2264"/>
      <c r="AK40" s="2279"/>
      <c r="AL40" s="2282"/>
      <c r="AM40" s="2128"/>
      <c r="AS40" s="1632">
        <v>34</v>
      </c>
    </row>
    <row customHeight="1" ht="35.699999999999996">
      <c r="A41" s="1267"/>
      <c r="B41" s="1267" t="s">
        <v>148</v>
      </c>
      <c r="C41" s="1267" t="s">
        <v>149</v>
      </c>
      <c r="D41" s="1267" t="s">
        <v>150</v>
      </c>
      <c r="E41" s="1311" t="s">
        <v>564</v>
      </c>
      <c r="F41" s="1311" t="s">
        <v>565</v>
      </c>
      <c r="G41" s="1311" t="s">
        <v>566</v>
      </c>
      <c r="H41" s="1311" t="s">
        <v>567</v>
      </c>
      <c r="I41" s="1311" t="s">
        <v>568</v>
      </c>
      <c r="J41" s="1311" t="s">
        <v>569</v>
      </c>
      <c r="K41" s="1311" t="s">
        <v>570</v>
      </c>
      <c r="L41" s="1311" t="s">
        <v>545</v>
      </c>
      <c r="Q41" s="377"/>
      <c r="R41" s="377"/>
      <c r="S41" s="2274"/>
      <c r="T41" s="2210"/>
      <c r="U41" s="303"/>
      <c r="V41" s="2262"/>
      <c r="W41" s="2285"/>
      <c r="X41" s="1939" t="s">
        <v>571</v>
      </c>
      <c r="Y41" s="1939" t="s">
        <v>572</v>
      </c>
      <c r="Z41" s="1939" t="s">
        <v>573</v>
      </c>
      <c r="AA41" s="2271" t="s">
        <v>574</v>
      </c>
      <c r="AB41" s="2272"/>
      <c r="AC41" s="2280"/>
      <c r="AD41" s="2262"/>
      <c r="AE41" s="2285"/>
      <c r="AF41" s="1939" t="s">
        <v>571</v>
      </c>
      <c r="AG41" s="1939" t="s">
        <v>572</v>
      </c>
      <c r="AH41" s="1939" t="s">
        <v>573</v>
      </c>
      <c r="AI41" s="2271" t="s">
        <v>574</v>
      </c>
      <c r="AJ41" s="2272"/>
      <c r="AK41" s="2280"/>
      <c r="AL41" s="2283"/>
      <c r="AM41" s="2128"/>
      <c r="AS41" s="1632">
        <v>34</v>
      </c>
    </row>
    <row s="1642" customFormat="1" customHeight="1" ht="11.25" hidden="1">
      <c r="A42" s="1267"/>
      <c r="B42" s="1267"/>
      <c r="C42" s="1267"/>
      <c r="D42" s="1267"/>
      <c r="E42" s="1267"/>
      <c r="F42" s="1267"/>
      <c r="G42" s="1267"/>
      <c r="H42" s="1267"/>
      <c r="I42" s="1267"/>
      <c r="J42" s="1267"/>
      <c r="K42" s="1267"/>
      <c r="L42" s="1311"/>
      <c r="M42" s="1966"/>
      <c r="N42" s="1966"/>
      <c r="O42" s="1966"/>
      <c r="P42" s="1247"/>
      <c r="Q42" s="1248"/>
      <c r="R42" s="1255">
        <v>1</v>
      </c>
      <c r="S42" s="1278" t="s">
        <v>123</v>
      </c>
      <c r="T42" s="1256" t="s">
        <v>107</v>
      </c>
      <c r="U42" s="1246" t="str">
        <f>OFFSET(U42,0,-1)</f>
        <v>2</v>
      </c>
      <c r="V42" s="1957">
        <f>OFFSET(V42,0,-1)+1</f>
        <v>3</v>
      </c>
      <c r="W42" s="1957"/>
      <c r="X42" s="1957">
        <f>OFFSET(X42,0,-1)+1</f>
        <v>1</v>
      </c>
      <c r="Y42" s="1957">
        <f>OFFSET(Y42,0,-1)+1</f>
        <v>2</v>
      </c>
      <c r="Z42" s="1957">
        <f>OFFSET(Z42,0,-1)+1</f>
        <v>3</v>
      </c>
      <c r="AA42" s="2273">
        <f>OFFSET(AA42,0,-1)+1</f>
        <v>4</v>
      </c>
      <c r="AB42" s="2273"/>
      <c r="AC42" s="1957">
        <f>OFFSET(AC42,0,-2)+1</f>
        <v>5</v>
      </c>
      <c r="AD42" s="1957">
        <f>OFFSET(AD42,0,-1)+1</f>
        <v>6</v>
      </c>
      <c r="AE42" s="1957"/>
      <c r="AF42" s="1957">
        <f>OFFSET(AF42,0,-1)+1</f>
        <v>1</v>
      </c>
      <c r="AG42" s="1957">
        <f>OFFSET(AG42,0,-1)+1</f>
        <v>2</v>
      </c>
      <c r="AH42" s="1957">
        <f>OFFSET(AH42,0,-1)+1</f>
        <v>3</v>
      </c>
      <c r="AI42" s="2273">
        <f>OFFSET(AI42,0,-1)+1</f>
        <v>4</v>
      </c>
      <c r="AJ42" s="2273"/>
      <c r="AK42" s="1957">
        <f>OFFSET(AK42,0,-2)+1</f>
        <v>5</v>
      </c>
      <c r="AL42" s="1246">
        <f>OFFSET(AL42,0,-1)</f>
        <v>5</v>
      </c>
      <c r="AM42" s="1957">
        <f>OFFSET(AM42,0,-1)+1</f>
        <v>6</v>
      </c>
      <c r="AN42" s="1637"/>
      <c r="AO42" s="1637"/>
      <c r="AP42" s="1637"/>
      <c r="AQ42" s="1637"/>
      <c r="AR42" s="1637"/>
      <c r="AS42" s="1642">
        <v>0</v>
      </c>
    </row>
    <row customHeight="1" ht="22.049999999999997">
      <c r="A43" s="1268" t="s">
        <v>342</v>
      </c>
      <c r="B43" s="1268"/>
      <c r="C43" s="1268"/>
      <c r="D43" s="1268"/>
      <c r="E43" s="2290">
        <v>1</v>
      </c>
      <c r="F43" s="1268"/>
      <c r="G43" s="1268"/>
      <c r="H43" s="1268"/>
      <c r="I43" s="1268"/>
      <c r="J43" s="1268"/>
      <c r="K43" s="1268"/>
      <c r="L43" s="1311"/>
      <c r="M43" s="1611"/>
      <c r="N43" s="1611"/>
      <c r="O43" s="1611"/>
      <c r="P43" s="1591"/>
      <c r="Q43" s="361"/>
      <c r="R43" s="356"/>
      <c r="S43" s="1959">
        <f>INDEX(PT_DIFFERENTIATION_NUM_NTAR,MATCH(A43,PT_DIFFERENTIATION_NTAR_ID,0))</f>
        <v>0</v>
      </c>
      <c r="T43" s="1526" t="s">
        <v>136</v>
      </c>
      <c r="U43" s="301"/>
      <c r="V43" s="2243"/>
      <c r="W43" s="2244"/>
      <c r="X43" s="2244"/>
      <c r="Y43" s="2244"/>
      <c r="Z43" s="2244"/>
      <c r="AA43" s="2244"/>
      <c r="AB43" s="2244"/>
      <c r="AC43" s="2245"/>
      <c r="AD43" s="2243" t="str">
        <f>INDEX(PT_DIFFERENTIATION_NTAR,MATCH(A43,PT_DIFFERENTIATION_NTAR_ID,0))</f>
        <v/>
      </c>
      <c r="AE43" s="2244"/>
      <c r="AF43" s="2244"/>
      <c r="AG43" s="2244"/>
      <c r="AH43" s="2244"/>
      <c r="AI43" s="2244"/>
      <c r="AJ43" s="2244"/>
      <c r="AK43" s="2244"/>
      <c r="AL43" s="2245"/>
      <c r="AM43" s="1259"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цены на тепловую энергию (мощность), включая правила индексации предельного уровня цены на тепловую энергию (мощность), 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определяемого в соответствии с указанными 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 (тарифа), источник официального опубликования решения об установлении цены (тарифа) в сфере теплоснабжения.</v>
      </c>
      <c r="AO43" s="1625"/>
      <c r="AP43" s="1625" t="str">
        <f>IF(T43="","",T43)</f>
        <v>Наименование тарифа</v>
      </c>
      <c r="AQ43" s="1625"/>
      <c r="AR43" s="1625"/>
      <c r="AS43" s="1632">
        <v>21</v>
      </c>
    </row>
    <row customHeight="1" ht="22.049999999999997">
      <c r="A44" s="1268" t="s">
        <v>342</v>
      </c>
      <c r="B44" s="1268" t="s">
        <v>343</v>
      </c>
      <c r="C44" s="1268"/>
      <c r="D44" s="1268"/>
      <c r="E44" s="2291"/>
      <c r="F44" s="2290">
        <v>1</v>
      </c>
      <c r="G44" s="1268"/>
      <c r="H44" s="1268"/>
      <c r="I44" s="1268"/>
      <c r="J44" s="1268"/>
      <c r="K44" s="1268"/>
      <c r="L44" s="1311"/>
      <c r="M44" s="1611"/>
      <c r="N44" s="1611"/>
      <c r="O44" s="1611"/>
      <c r="P44" s="1941"/>
      <c r="Q44" s="353"/>
      <c r="R44" s="354"/>
      <c r="S44" s="1959" t="str">
        <f>INDEX(PT_DIFFERENTIATION_NUM_TER,MATCH(B44,PT_DIFFERENTIATION_TER_ID,0))</f>
        <v>.</v>
      </c>
      <c r="T44" s="1523" t="s">
        <v>527</v>
      </c>
      <c r="U44" s="301"/>
      <c r="V44" s="2243"/>
      <c r="W44" s="2244"/>
      <c r="X44" s="2244"/>
      <c r="Y44" s="2244"/>
      <c r="Z44" s="2244"/>
      <c r="AA44" s="2244"/>
      <c r="AB44" s="2244"/>
      <c r="AC44" s="2245"/>
      <c r="AD44" s="2243" t="str">
        <f>INDEX(PT_DIFFERENTIATION_TER,MATCH(B44,PT_DIFFERENTIATION_TER_ID,0))</f>
        <v/>
      </c>
      <c r="AE44" s="2244"/>
      <c r="AF44" s="2244"/>
      <c r="AG44" s="2244"/>
      <c r="AH44" s="2244"/>
      <c r="AI44" s="2244"/>
      <c r="AJ44" s="2244"/>
      <c r="AK44" s="2244"/>
      <c r="AL44" s="2245"/>
      <c r="AM44" s="1259" t="s">
        <v>528</v>
      </c>
      <c r="AO44" s="1625"/>
      <c r="AP44" s="1625" t="str">
        <f>IF(T44="","",T44)</f>
        <v>Территория действия тарифа</v>
      </c>
      <c r="AQ44" s="1625"/>
      <c r="AR44" s="1625"/>
      <c r="AS44" s="1632">
        <v>21</v>
      </c>
    </row>
    <row customHeight="1" ht="24">
      <c r="A45" s="1268" t="s">
        <v>342</v>
      </c>
      <c r="B45" s="1268" t="s">
        <v>343</v>
      </c>
      <c r="C45" s="1268" t="s">
        <v>344</v>
      </c>
      <c r="D45" s="1268"/>
      <c r="E45" s="2291"/>
      <c r="F45" s="2291"/>
      <c r="G45" s="2290">
        <v>1</v>
      </c>
      <c r="H45" s="1268"/>
      <c r="I45" s="1268"/>
      <c r="J45" s="1268"/>
      <c r="K45" s="1268"/>
      <c r="L45" s="1311"/>
      <c r="M45" s="1611"/>
      <c r="N45" s="1611"/>
      <c r="O45" s="1611"/>
      <c r="P45" s="355"/>
      <c r="Q45" s="353"/>
      <c r="R45" s="354"/>
      <c r="S45" s="1959" t="str">
        <f>INDEX(PT_DIFFERENTIATION_NUM_CS,MATCH(C45,PT_DIFFERENTIATION_CS_ID,0))</f>
        <v>..</v>
      </c>
      <c r="T45" s="310" t="s">
        <v>529</v>
      </c>
      <c r="U45" s="301"/>
      <c r="V45" s="2243"/>
      <c r="W45" s="2244"/>
      <c r="X45" s="2244"/>
      <c r="Y45" s="2244"/>
      <c r="Z45" s="2244"/>
      <c r="AA45" s="2244"/>
      <c r="AB45" s="2244"/>
      <c r="AC45" s="2245"/>
      <c r="AD45" s="2243" t="str">
        <f>INDEX(PT_DIFFERENTIATION_CS,MATCH(C45,PT_DIFFERENTIATION_CS_ID,0))</f>
        <v/>
      </c>
      <c r="AE45" s="2244"/>
      <c r="AF45" s="2244"/>
      <c r="AG45" s="2244"/>
      <c r="AH45" s="2244"/>
      <c r="AI45" s="2244"/>
      <c r="AJ45" s="2244"/>
      <c r="AK45" s="2244"/>
      <c r="AL45" s="2245"/>
      <c r="AM45" s="1259" t="s">
        <v>530</v>
      </c>
      <c r="AO45" s="1625"/>
      <c r="AP45" s="1625" t="str">
        <f>IF(T45="","",T45)</f>
        <v>Наименование системы теплоснабжения </v>
      </c>
      <c r="AQ45" s="1625"/>
      <c r="AR45" s="1625"/>
      <c r="AS45" s="1632">
        <v>23</v>
      </c>
    </row>
    <row customHeight="1" ht="22.049999999999997">
      <c r="A46" s="1268" t="s">
        <v>342</v>
      </c>
      <c r="B46" s="1268" t="s">
        <v>343</v>
      </c>
      <c r="C46" s="1268" t="s">
        <v>344</v>
      </c>
      <c r="D46" s="1268" t="s">
        <v>345</v>
      </c>
      <c r="E46" s="2291"/>
      <c r="F46" s="2291"/>
      <c r="G46" s="2291"/>
      <c r="H46" s="2290">
        <v>1</v>
      </c>
      <c r="I46" s="1268"/>
      <c r="J46" s="1268"/>
      <c r="K46" s="1268"/>
      <c r="L46" s="1311"/>
      <c r="M46" s="1611"/>
      <c r="N46" s="1611"/>
      <c r="O46" s="1611"/>
      <c r="P46" s="355"/>
      <c r="Q46" s="353"/>
      <c r="R46" s="354"/>
      <c r="S46" s="1959" t="str">
        <f>INDEX(PT_DIFFERENTIATION_NUM_IST_TE,MATCH(D46,PT_DIFFERENTIATION_IST_TE_ID,0))</f>
        <v>...</v>
      </c>
      <c r="T46" s="311" t="s">
        <v>531</v>
      </c>
      <c r="U46" s="301"/>
      <c r="V46" s="2243"/>
      <c r="W46" s="2244"/>
      <c r="X46" s="2244"/>
      <c r="Y46" s="2244"/>
      <c r="Z46" s="2244"/>
      <c r="AA46" s="2244"/>
      <c r="AB46" s="2244"/>
      <c r="AC46" s="2245"/>
      <c r="AD46" s="2243" t="str">
        <f>INDEX(PT_DIFFERENTIATION_IST_TE,MATCH(D46,PT_DIFFERENTIATION_IST_TE_ID,0))</f>
        <v/>
      </c>
      <c r="AE46" s="2244"/>
      <c r="AF46" s="2244"/>
      <c r="AG46" s="2244"/>
      <c r="AH46" s="2244"/>
      <c r="AI46" s="2244"/>
      <c r="AJ46" s="2244"/>
      <c r="AK46" s="2244"/>
      <c r="AL46" s="2245"/>
      <c r="AM46" s="1259" t="s">
        <v>532</v>
      </c>
      <c r="AO46" s="1625"/>
      <c r="AP46" s="1625" t="str">
        <f>IF(T46="","",T46)</f>
        <v>Источник тепловой энергии  </v>
      </c>
      <c r="AQ46" s="1625"/>
      <c r="AR46" s="1625"/>
      <c r="AS46" s="1632">
        <v>21</v>
      </c>
    </row>
    <row customHeight="1" ht="49.5">
      <c r="A47" s="1268" t="s">
        <v>342</v>
      </c>
      <c r="B47" s="1268" t="s">
        <v>343</v>
      </c>
      <c r="C47" s="1268" t="s">
        <v>344</v>
      </c>
      <c r="D47" s="1268" t="s">
        <v>345</v>
      </c>
      <c r="E47" s="2291"/>
      <c r="F47" s="2291"/>
      <c r="G47" s="2291"/>
      <c r="H47" s="2291"/>
      <c r="I47" s="2128" t="str">
        <f>S46&amp;".1"</f>
        <v>....1</v>
      </c>
      <c r="J47" s="1268"/>
      <c r="K47" s="1268"/>
      <c r="L47" s="1311" t="s">
        <v>533</v>
      </c>
      <c r="P47" s="2258">
        <v>1</v>
      </c>
      <c r="Q47" s="1955"/>
      <c r="R47" s="357"/>
      <c r="S47" s="1959" t="str">
        <f>$I47</f>
        <v>....1</v>
      </c>
      <c r="T47" s="286" t="s">
        <v>534</v>
      </c>
      <c r="U47" s="301"/>
      <c r="V47" s="2246"/>
      <c r="W47" s="2247"/>
      <c r="X47" s="2247"/>
      <c r="Y47" s="2247"/>
      <c r="Z47" s="2247"/>
      <c r="AA47" s="2247"/>
      <c r="AB47" s="2247"/>
      <c r="AC47" s="2248"/>
      <c r="AD47" s="2246"/>
      <c r="AE47" s="2247"/>
      <c r="AF47" s="2247"/>
      <c r="AG47" s="2247"/>
      <c r="AH47" s="2247"/>
      <c r="AI47" s="2247"/>
      <c r="AJ47" s="2247"/>
      <c r="AK47" s="2247"/>
      <c r="AL47" s="2248"/>
      <c r="AM47" s="1259" t="s">
        <v>535</v>
      </c>
      <c r="AO47" s="1625"/>
      <c r="AP47" s="1625" t="str">
        <f>IF(T47="","",T47)</f>
        <v>Схема подключения теплопотребляющей установки к коллектору источника тепловой энергии</v>
      </c>
      <c r="AQ47" s="1625"/>
      <c r="AR47" s="1625"/>
      <c r="AS47" s="1632">
        <v>47</v>
      </c>
    </row>
    <row customHeight="1" ht="22.049999999999997">
      <c r="A48" s="1268" t="s">
        <v>342</v>
      </c>
      <c r="B48" s="1268" t="s">
        <v>343</v>
      </c>
      <c r="C48" s="1268" t="s">
        <v>344</v>
      </c>
      <c r="D48" s="1268" t="s">
        <v>345</v>
      </c>
      <c r="E48" s="2291"/>
      <c r="F48" s="2291"/>
      <c r="G48" s="2291"/>
      <c r="H48" s="2291"/>
      <c r="I48" s="2102"/>
      <c r="J48" s="2128" t="str">
        <f>I47&amp;".1"</f>
        <v>....1.1</v>
      </c>
      <c r="K48" s="1268"/>
      <c r="L48" s="1311" t="s">
        <v>536</v>
      </c>
      <c r="P48" s="2258"/>
      <c r="Q48" s="2258">
        <v>1</v>
      </c>
      <c r="R48" s="358"/>
      <c r="S48" s="1959" t="str">
        <f>$J48</f>
        <v>....1.1</v>
      </c>
      <c r="T48" s="287" t="s">
        <v>537</v>
      </c>
      <c r="U48" s="301"/>
      <c r="V48" s="2246"/>
      <c r="W48" s="2247"/>
      <c r="X48" s="2247"/>
      <c r="Y48" s="2247"/>
      <c r="Z48" s="2247"/>
      <c r="AA48" s="2247"/>
      <c r="AB48" s="2247"/>
      <c r="AC48" s="2248"/>
      <c r="AD48" s="2246"/>
      <c r="AE48" s="2247"/>
      <c r="AF48" s="2247"/>
      <c r="AG48" s="2247"/>
      <c r="AH48" s="2247"/>
      <c r="AI48" s="2247"/>
      <c r="AJ48" s="2247"/>
      <c r="AK48" s="2247"/>
      <c r="AL48" s="2248"/>
      <c r="AM48" s="1259" t="s">
        <v>538</v>
      </c>
      <c r="AO48" s="1625"/>
      <c r="AP48" s="1625" t="str">
        <f>IF(T48="","",T48)</f>
        <v>Группа потребителей</v>
      </c>
      <c r="AQ48" s="1625"/>
      <c r="AR48" s="1625"/>
      <c r="AS48" s="1632">
        <v>21</v>
      </c>
    </row>
    <row customHeight="1" ht="22.049999999999997">
      <c r="A49" s="1268" t="s">
        <v>342</v>
      </c>
      <c r="B49" s="1268" t="s">
        <v>343</v>
      </c>
      <c r="C49" s="1268" t="s">
        <v>344</v>
      </c>
      <c r="D49" s="1268" t="s">
        <v>345</v>
      </c>
      <c r="E49" s="2291"/>
      <c r="F49" s="2291"/>
      <c r="G49" s="2291"/>
      <c r="H49" s="2291"/>
      <c r="I49" s="2102"/>
      <c r="J49" s="2102"/>
      <c r="K49" s="2128" t="str">
        <f>J48&amp;".1"</f>
        <v>....1.1.1</v>
      </c>
      <c r="L49" s="1311" t="s">
        <v>539</v>
      </c>
      <c r="P49" s="2258"/>
      <c r="Q49" s="2258"/>
      <c r="R49" s="358">
        <v>1</v>
      </c>
      <c r="S49" s="1959" t="str">
        <f>$K49</f>
        <v>....1.1.1</v>
      </c>
      <c r="T49" s="1348"/>
      <c r="U49" s="301"/>
      <c r="V49" s="752"/>
      <c r="W49" s="326"/>
      <c r="X49" s="752"/>
      <c r="Y49" s="1258"/>
      <c r="Z49" s="2266"/>
      <c r="AA49" s="2108" t="s">
        <v>65</v>
      </c>
      <c r="AB49" s="2266"/>
      <c r="AC49" s="2108" t="s">
        <v>65</v>
      </c>
      <c r="AD49" s="752"/>
      <c r="AE49" s="326"/>
      <c r="AF49" s="752"/>
      <c r="AG49" s="1258"/>
      <c r="AH49" s="2266"/>
      <c r="AI49" s="2108" t="s">
        <v>65</v>
      </c>
      <c r="AJ49" s="2288"/>
      <c r="AK49" s="2108" t="s">
        <v>65</v>
      </c>
      <c r="AL49" s="1349"/>
      <c r="AM49" s="2254" t="s">
        <v>540</v>
      </c>
      <c r="AN49" s="1637">
        <f>STRCHECKDATE(V50:AL50)</f>
      </c>
      <c r="AO49" s="1625"/>
      <c r="AP49" s="1625" t="str">
        <f>IF(T49="","",T49)</f>
        <v/>
      </c>
      <c r="AQ49" s="1625"/>
      <c r="AR49" s="1625"/>
      <c r="AS49" s="1632">
        <v>21</v>
      </c>
    </row>
    <row customHeight="1" ht="1.05">
      <c r="A50" s="1268" t="s">
        <v>342</v>
      </c>
      <c r="B50" s="1268" t="s">
        <v>343</v>
      </c>
      <c r="C50" s="1268" t="s">
        <v>344</v>
      </c>
      <c r="D50" s="1268" t="s">
        <v>345</v>
      </c>
      <c r="E50" s="2291"/>
      <c r="F50" s="2291"/>
      <c r="G50" s="2291"/>
      <c r="H50" s="2291"/>
      <c r="I50" s="2102"/>
      <c r="J50" s="2102"/>
      <c r="K50" s="2128"/>
      <c r="L50" s="1311"/>
      <c r="P50" s="2258"/>
      <c r="Q50" s="2258"/>
      <c r="R50" s="358"/>
      <c r="S50" s="1968"/>
      <c r="T50" s="301"/>
      <c r="U50" s="301"/>
      <c r="V50" s="326"/>
      <c r="W50" s="326"/>
      <c r="X50" s="326"/>
      <c r="Y50" s="329" t="str">
        <f>Z49&amp;"-"&amp;AB49</f>
        <v>-</v>
      </c>
      <c r="Z50" s="2267"/>
      <c r="AA50" s="2108"/>
      <c r="AB50" s="2267"/>
      <c r="AC50" s="2108"/>
      <c r="AD50" s="326"/>
      <c r="AE50" s="326"/>
      <c r="AF50" s="326"/>
      <c r="AG50" s="329" t="str">
        <f>AH49&amp;"-"&amp;AJ49</f>
        <v>-</v>
      </c>
      <c r="AH50" s="2267"/>
      <c r="AI50" s="2108"/>
      <c r="AJ50" s="2289"/>
      <c r="AK50" s="2108"/>
      <c r="AL50" s="1350"/>
      <c r="AM50" s="2255"/>
      <c r="AO50" s="1625"/>
      <c r="AP50" s="1625" t="str">
        <f>IF(T50="","",T50)</f>
        <v/>
      </c>
      <c r="AQ50" s="1625"/>
      <c r="AR50" s="1625"/>
      <c r="AS50" s="1632">
        <v>1</v>
      </c>
    </row>
    <row customHeight="1" ht="11.549999999999999">
      <c r="A51" s="1268" t="s">
        <v>342</v>
      </c>
      <c r="B51" s="1268" t="s">
        <v>343</v>
      </c>
      <c r="C51" s="1268" t="s">
        <v>344</v>
      </c>
      <c r="D51" s="1268" t="s">
        <v>345</v>
      </c>
      <c r="E51" s="2291"/>
      <c r="F51" s="2291"/>
      <c r="G51" s="2291"/>
      <c r="H51" s="2291"/>
      <c r="I51" s="2102"/>
      <c r="J51" s="2128"/>
      <c r="K51" s="1268"/>
      <c r="L51" s="1311"/>
      <c r="P51" s="2258"/>
      <c r="Q51" s="2258"/>
      <c r="R51" s="357"/>
      <c r="S51" s="1279"/>
      <c r="T51" s="289" t="s">
        <v>541</v>
      </c>
      <c r="U51" s="601"/>
      <c r="V51" s="601"/>
      <c r="W51" s="601"/>
      <c r="X51" s="601"/>
      <c r="Y51" s="601"/>
      <c r="Z51" s="601"/>
      <c r="AA51" s="601"/>
      <c r="AB51" s="601"/>
      <c r="AC51" s="601"/>
      <c r="AD51" s="601"/>
      <c r="AE51" s="601"/>
      <c r="AF51" s="601"/>
      <c r="AG51" s="601"/>
      <c r="AH51" s="601"/>
      <c r="AI51" s="601"/>
      <c r="AJ51" s="601"/>
      <c r="AK51" s="601"/>
      <c r="AL51" s="325"/>
      <c r="AM51" s="2256"/>
      <c r="AO51" s="1625"/>
      <c r="AP51" s="1625" t="str">
        <f>IF(T51="","",T51)</f>
        <v>Добавить вид теплоносителя (параметры теплоносителя)</v>
      </c>
      <c r="AQ51" s="1625"/>
      <c r="AR51" s="1625"/>
      <c r="AS51" s="1632">
        <v>11</v>
      </c>
    </row>
    <row customHeight="1" ht="11.549999999999999">
      <c r="A52" s="1268" t="s">
        <v>342</v>
      </c>
      <c r="B52" s="1268" t="s">
        <v>343</v>
      </c>
      <c r="C52" s="1268" t="s">
        <v>344</v>
      </c>
      <c r="D52" s="1268" t="s">
        <v>345</v>
      </c>
      <c r="E52" s="2291"/>
      <c r="F52" s="2291"/>
      <c r="G52" s="2291"/>
      <c r="H52" s="2291"/>
      <c r="I52" s="2128"/>
      <c r="J52" s="1268"/>
      <c r="K52" s="1268"/>
      <c r="L52" s="1311"/>
      <c r="P52" s="2258"/>
      <c r="Q52" s="1955"/>
      <c r="R52" s="357"/>
      <c r="S52" s="1279"/>
      <c r="T52" s="288" t="s">
        <v>542</v>
      </c>
      <c r="U52" s="601"/>
      <c r="V52" s="601"/>
      <c r="W52" s="601"/>
      <c r="X52" s="601"/>
      <c r="Y52" s="601"/>
      <c r="Z52" s="601"/>
      <c r="AA52" s="601"/>
      <c r="AB52" s="601"/>
      <c r="AC52" s="367"/>
      <c r="AD52" s="601"/>
      <c r="AE52" s="601"/>
      <c r="AF52" s="601"/>
      <c r="AG52" s="601"/>
      <c r="AH52" s="601"/>
      <c r="AI52" s="601"/>
      <c r="AJ52" s="601"/>
      <c r="AK52" s="367"/>
      <c r="AL52" s="601"/>
      <c r="AM52" s="304"/>
      <c r="AO52" s="1625"/>
      <c r="AP52" s="1625" t="str">
        <f>IF(T52="","",T52)</f>
        <v>Добавить группу потребителей</v>
      </c>
      <c r="AQ52" s="1625"/>
      <c r="AR52" s="1625"/>
      <c r="AS52" s="1632">
        <v>11</v>
      </c>
    </row>
    <row customHeight="1" ht="14.699999999999998">
      <c r="A53" s="1268" t="s">
        <v>342</v>
      </c>
      <c r="B53" s="1268" t="s">
        <v>343</v>
      </c>
      <c r="C53" s="1268" t="s">
        <v>344</v>
      </c>
      <c r="D53" s="1268" t="s">
        <v>345</v>
      </c>
      <c r="E53" s="2291"/>
      <c r="F53" s="2291"/>
      <c r="G53" s="2291"/>
      <c r="H53" s="2290"/>
      <c r="I53" s="1268"/>
      <c r="J53" s="1268"/>
      <c r="K53" s="1268"/>
      <c r="L53" s="1311"/>
      <c r="M53" s="1611"/>
      <c r="N53" s="1611"/>
      <c r="O53" s="1636"/>
      <c r="P53" s="361"/>
      <c r="Q53" s="376"/>
      <c r="R53" s="356"/>
      <c r="S53" s="1279"/>
      <c r="T53" s="366" t="s">
        <v>543</v>
      </c>
      <c r="U53" s="601"/>
      <c r="V53" s="601"/>
      <c r="W53" s="601"/>
      <c r="X53" s="601"/>
      <c r="Y53" s="601"/>
      <c r="Z53" s="601"/>
      <c r="AA53" s="601"/>
      <c r="AB53" s="601"/>
      <c r="AC53" s="367"/>
      <c r="AD53" s="601"/>
      <c r="AE53" s="601"/>
      <c r="AF53" s="601"/>
      <c r="AG53" s="601"/>
      <c r="AH53" s="601"/>
      <c r="AI53" s="601"/>
      <c r="AJ53" s="601"/>
      <c r="AK53" s="367"/>
      <c r="AL53" s="601"/>
      <c r="AM53" s="304"/>
      <c r="AO53" s="1625"/>
      <c r="AP53" s="1625" t="str">
        <f>IF(T53="","",T53)</f>
        <v>Добавить схему подключения</v>
      </c>
      <c r="AQ53" s="1625"/>
      <c r="AR53" s="1625"/>
      <c r="AS53" s="1632">
        <v>14</v>
      </c>
    </row>
    <row s="1643" customFormat="1" customHeight="1" ht="4.2">
      <c r="A54" s="1376" t="s">
        <v>342</v>
      </c>
      <c r="B54" s="1376" t="s">
        <v>343</v>
      </c>
      <c r="C54" s="1376" t="s">
        <v>344</v>
      </c>
      <c r="D54" s="1375"/>
      <c r="E54" s="2291"/>
      <c r="F54" s="2291"/>
      <c r="G54" s="2290"/>
      <c r="H54" s="1375"/>
      <c r="I54" s="1375"/>
      <c r="J54" s="1375"/>
      <c r="K54" s="1375"/>
      <c r="L54" s="1378"/>
      <c r="M54" s="1379"/>
      <c r="N54" s="1379"/>
      <c r="O54" s="352"/>
      <c r="P54" s="1317"/>
      <c r="Q54" s="1318"/>
      <c r="R54" s="1317"/>
      <c r="S54" s="1323"/>
      <c r="T54" s="1326" t="s">
        <v>177</v>
      </c>
      <c r="U54" s="1325"/>
      <c r="V54" s="1325"/>
      <c r="W54" s="1325"/>
      <c r="X54" s="1325"/>
      <c r="Y54" s="1325"/>
      <c r="Z54" s="1325"/>
      <c r="AA54" s="1325"/>
      <c r="AB54" s="1325"/>
      <c r="AC54" s="1325"/>
      <c r="AD54" s="1325"/>
      <c r="AE54" s="1325"/>
      <c r="AF54" s="1325"/>
      <c r="AG54" s="1325"/>
      <c r="AH54" s="1325"/>
      <c r="AI54" s="1325"/>
      <c r="AJ54" s="1325"/>
      <c r="AK54" s="1325"/>
      <c r="AL54" s="1325"/>
      <c r="AM54" s="1325"/>
      <c r="AO54" s="1252"/>
      <c r="AP54" s="1252" t="str">
        <f>IF(T54="","",T54)</f>
        <v>Добавить источник для дифференциации</v>
      </c>
      <c r="AQ54" s="1252"/>
      <c r="AR54" s="1252"/>
      <c r="AS54" s="1643">
        <v>4</v>
      </c>
    </row>
    <row s="1643" customFormat="1" customHeight="1" ht="4.2">
      <c r="A55" s="1376" t="s">
        <v>342</v>
      </c>
      <c r="B55" s="1376" t="s">
        <v>343</v>
      </c>
      <c r="C55" s="1375"/>
      <c r="D55" s="1375"/>
      <c r="E55" s="2291"/>
      <c r="F55" s="2290"/>
      <c r="G55" s="1375"/>
      <c r="H55" s="1375"/>
      <c r="I55" s="1375"/>
      <c r="J55" s="1375"/>
      <c r="K55" s="1375"/>
      <c r="L55" s="1378"/>
      <c r="M55" s="1380"/>
      <c r="N55" s="1380"/>
      <c r="O55" s="352"/>
      <c r="P55" s="1317"/>
      <c r="Q55" s="1318"/>
      <c r="R55" s="1317"/>
      <c r="S55" s="1323"/>
      <c r="T55" s="1326" t="s">
        <v>178</v>
      </c>
      <c r="U55" s="1325"/>
      <c r="V55" s="1325"/>
      <c r="W55" s="1325"/>
      <c r="X55" s="1325"/>
      <c r="Y55" s="1325"/>
      <c r="Z55" s="1325"/>
      <c r="AA55" s="1325"/>
      <c r="AB55" s="1325"/>
      <c r="AC55" s="1325"/>
      <c r="AD55" s="1325"/>
      <c r="AE55" s="1325"/>
      <c r="AF55" s="1325"/>
      <c r="AG55" s="1325"/>
      <c r="AH55" s="1325"/>
      <c r="AI55" s="1325"/>
      <c r="AJ55" s="1325"/>
      <c r="AK55" s="1325"/>
      <c r="AL55" s="1325"/>
      <c r="AM55" s="1325"/>
      <c r="AO55" s="1252"/>
      <c r="AP55" s="1252" t="str">
        <f>IF(T55="","",T55)</f>
        <v>Добавить централизованную систему для дифференциации</v>
      </c>
      <c r="AQ55" s="1252"/>
      <c r="AR55" s="1252"/>
      <c r="AS55" s="1643">
        <v>4</v>
      </c>
    </row>
    <row s="1643" customFormat="1" customHeight="1" ht="4.2">
      <c r="A56" s="1376" t="s">
        <v>342</v>
      </c>
      <c r="B56" s="1376"/>
      <c r="C56" s="1376"/>
      <c r="D56" s="1376"/>
      <c r="E56" s="2290"/>
      <c r="F56" s="1376"/>
      <c r="G56" s="1376"/>
      <c r="H56" s="1376"/>
      <c r="I56" s="1376"/>
      <c r="J56" s="1376"/>
      <c r="K56" s="1376"/>
      <c r="L56" s="1382"/>
      <c r="M56" s="1380"/>
      <c r="N56" s="1380"/>
      <c r="O56" s="352"/>
      <c r="P56" s="381"/>
      <c r="Q56" s="1345"/>
      <c r="R56" s="381"/>
      <c r="S56" s="1323"/>
      <c r="T56" s="1326" t="s">
        <v>183</v>
      </c>
      <c r="U56" s="1325"/>
      <c r="V56" s="1325"/>
      <c r="W56" s="1325"/>
      <c r="X56" s="1325"/>
      <c r="Y56" s="1325"/>
      <c r="Z56" s="1325"/>
      <c r="AA56" s="1325"/>
      <c r="AB56" s="1325"/>
      <c r="AC56" s="1325"/>
      <c r="AD56" s="1325"/>
      <c r="AE56" s="1325"/>
      <c r="AF56" s="1325"/>
      <c r="AG56" s="1325"/>
      <c r="AH56" s="1325"/>
      <c r="AI56" s="1325"/>
      <c r="AJ56" s="1325"/>
      <c r="AK56" s="1325"/>
      <c r="AL56" s="1325"/>
      <c r="AM56" s="1325"/>
      <c r="AO56" s="1625"/>
      <c r="AP56" s="1625" t="str">
        <f>IF(T56="","",T56)</f>
        <v>Добавить территорию для дифференциации</v>
      </c>
      <c r="AQ56" s="1625"/>
      <c r="AR56" s="1625"/>
      <c r="AS56" s="1637">
        <v>4</v>
      </c>
    </row>
    <row s="1643" customFormat="1" customHeight="1" ht="4.2">
      <c r="A57" s="1375"/>
      <c r="B57" s="1375"/>
      <c r="C57" s="1375"/>
      <c r="D57" s="1375"/>
      <c r="E57" s="1376"/>
      <c r="F57" s="1375"/>
      <c r="G57" s="1375"/>
      <c r="H57" s="1375"/>
      <c r="I57" s="1375"/>
      <c r="J57" s="1375"/>
      <c r="K57" s="1375"/>
      <c r="L57" s="1378"/>
      <c r="M57" s="1380"/>
      <c r="N57" s="1380"/>
      <c r="O57" s="352"/>
      <c r="P57" s="1317"/>
      <c r="Q57" s="1318"/>
      <c r="R57" s="1317"/>
      <c r="S57" s="1323"/>
      <c r="T57" s="1326" t="s">
        <v>222</v>
      </c>
      <c r="U57" s="1325"/>
      <c r="V57" s="1325"/>
      <c r="W57" s="1325"/>
      <c r="X57" s="1325"/>
      <c r="Y57" s="1325"/>
      <c r="Z57" s="1325"/>
      <c r="AA57" s="1325"/>
      <c r="AB57" s="1325"/>
      <c r="AC57" s="1325"/>
      <c r="AD57" s="1325"/>
      <c r="AE57" s="1325"/>
      <c r="AF57" s="1325"/>
      <c r="AG57" s="1325"/>
      <c r="AH57" s="1325"/>
      <c r="AI57" s="1325"/>
      <c r="AJ57" s="1325"/>
      <c r="AK57" s="1325"/>
      <c r="AL57" s="1325"/>
      <c r="AM57" s="1325"/>
      <c r="AO57" s="1252"/>
      <c r="AP57" s="1252" t="str">
        <f>IF(T57="","",T57)</f>
        <v>Добавить наименование тарифа</v>
      </c>
      <c r="AQ57" s="1252"/>
      <c r="AR57" s="1252"/>
      <c r="AS57" s="1643">
        <v>4</v>
      </c>
    </row>
    <row customHeight="1" ht="11.549999999999999">
      <c r="M58" s="1632"/>
      <c r="N58" s="1632"/>
      <c r="O58" s="1636"/>
      <c r="P58" s="1632"/>
      <c r="Q58" s="1632"/>
      <c r="R58" s="1632"/>
      <c r="S58" s="1632"/>
      <c r="AN58" s="1632"/>
      <c r="AO58" s="1632"/>
      <c r="AP58" s="1632"/>
      <c r="AQ58" s="1632"/>
      <c r="AR58" s="1632"/>
      <c r="AS58" s="1632">
        <v>11</v>
      </c>
    </row>
    <row customHeight="1" ht="28.5">
      <c r="O59" s="1636"/>
      <c r="S59" s="1254"/>
      <c r="T59" s="2286"/>
      <c r="U59" s="2286"/>
      <c r="V59" s="2286"/>
      <c r="W59" s="2286"/>
      <c r="X59" s="2286"/>
      <c r="Y59" s="2286"/>
      <c r="Z59" s="2286"/>
      <c r="AA59" s="2286"/>
      <c r="AB59" s="2286"/>
      <c r="AC59" s="2286"/>
      <c r="AD59" s="2286"/>
      <c r="AE59" s="2286"/>
      <c r="AF59" s="2286"/>
      <c r="AG59" s="2286"/>
      <c r="AH59" s="2286"/>
      <c r="AI59" s="2286"/>
      <c r="AJ59" s="2286"/>
      <c r="AK59" s="2286"/>
      <c r="AL59" s="2286"/>
      <c r="AM59" s="2286"/>
      <c r="AS59" s="1632">
        <v>27</v>
      </c>
    </row>
    <row customHeight="1" ht="65.25">
      <c r="O60" s="1636"/>
      <c r="T60" s="2286"/>
      <c r="U60" s="2286"/>
      <c r="V60" s="2286"/>
      <c r="W60" s="2286"/>
      <c r="X60" s="2286"/>
      <c r="Y60" s="2286"/>
      <c r="Z60" s="2286"/>
      <c r="AA60" s="2286"/>
      <c r="AB60" s="2286"/>
      <c r="AC60" s="2286"/>
      <c r="AD60" s="2286"/>
      <c r="AE60" s="2286"/>
      <c r="AF60" s="2286"/>
      <c r="AG60" s="2286"/>
      <c r="AH60" s="2286"/>
      <c r="AI60" s="2286"/>
      <c r="AJ60" s="2286"/>
      <c r="AK60" s="2286"/>
      <c r="AL60" s="2286"/>
      <c r="AM60" s="2286"/>
      <c r="AS60" s="1632">
        <v>62</v>
      </c>
    </row>
    <row customHeight="1" ht="14.699999999999998">
      <c r="O61" s="1636"/>
      <c r="AS61" s="1632">
        <v>14</v>
      </c>
    </row>
    <row customHeight="1" ht="18.75">
      <c r="O62" s="1636"/>
      <c r="S62" s="1254"/>
      <c r="T62" s="2286"/>
      <c r="U62" s="2286"/>
      <c r="V62" s="2286"/>
      <c r="W62" s="2286"/>
      <c r="X62" s="2286"/>
      <c r="Y62" s="2286"/>
      <c r="Z62" s="2286"/>
      <c r="AA62" s="2286"/>
      <c r="AB62" s="2286"/>
      <c r="AC62" s="2286"/>
      <c r="AD62" s="2286"/>
      <c r="AE62" s="2286"/>
      <c r="AF62" s="2286"/>
      <c r="AG62" s="2286"/>
      <c r="AH62" s="2286"/>
      <c r="AI62" s="2286"/>
      <c r="AJ62" s="2286"/>
      <c r="AK62" s="2286"/>
      <c r="AL62" s="2286"/>
      <c r="AM62" s="2286"/>
      <c r="AS62" s="1632">
        <v>18</v>
      </c>
    </row>
    <row customHeight="1" ht="18.75">
      <c r="O63" s="1636"/>
      <c r="T63" s="2286"/>
      <c r="U63" s="2286"/>
      <c r="V63" s="2286"/>
      <c r="W63" s="2286"/>
      <c r="X63" s="2286"/>
      <c r="Y63" s="2286"/>
      <c r="Z63" s="2286"/>
      <c r="AA63" s="2286"/>
      <c r="AB63" s="2286"/>
      <c r="AC63" s="2286"/>
      <c r="AD63" s="2286"/>
      <c r="AE63" s="2286"/>
      <c r="AF63" s="2286"/>
      <c r="AG63" s="2286"/>
      <c r="AH63" s="2286"/>
      <c r="AI63" s="2286"/>
      <c r="AJ63" s="2286"/>
      <c r="AK63" s="2286"/>
      <c r="AL63" s="2286"/>
      <c r="AM63" s="2286"/>
      <c r="AS63" s="1632">
        <v>18</v>
      </c>
    </row>
    <row customHeight="1" ht="29.25">
      <c r="O64" s="1636"/>
      <c r="S64" s="1254"/>
      <c r="T64" s="2286"/>
      <c r="U64" s="2286"/>
      <c r="V64" s="2286"/>
      <c r="W64" s="2286"/>
      <c r="X64" s="2286"/>
      <c r="Y64" s="2286"/>
      <c r="Z64" s="2286"/>
      <c r="AA64" s="2286"/>
      <c r="AB64" s="2286"/>
      <c r="AC64" s="2286"/>
      <c r="AD64" s="2286"/>
      <c r="AE64" s="2286"/>
      <c r="AF64" s="2286"/>
      <c r="AG64" s="2286"/>
      <c r="AH64" s="2286"/>
      <c r="AI64" s="2286"/>
      <c r="AJ64" s="2286"/>
      <c r="AK64" s="2286"/>
      <c r="AL64" s="2286"/>
      <c r="AM64" s="2286"/>
      <c r="AS64" s="1632">
        <v>28</v>
      </c>
    </row>
    <row customHeight="1" ht="22.5" hidden="1">
      <c r="A65" s="1632" t="s">
        <v>86</v>
      </c>
      <c r="B65" s="1632">
        <v>0</v>
      </c>
      <c r="C65" s="1632">
        <v>0</v>
      </c>
      <c r="D65" s="1632">
        <v>0</v>
      </c>
      <c r="E65" s="1632">
        <v>0</v>
      </c>
      <c r="F65" s="1632">
        <v>0</v>
      </c>
      <c r="G65" s="1632">
        <v>0</v>
      </c>
      <c r="H65" s="1632">
        <v>0</v>
      </c>
      <c r="I65" s="1632">
        <v>0</v>
      </c>
      <c r="J65" s="1632">
        <v>0</v>
      </c>
      <c r="K65" s="1632">
        <v>0</v>
      </c>
      <c r="L65" s="1940">
        <v>0</v>
      </c>
      <c r="M65" s="1966">
        <v>0</v>
      </c>
      <c r="N65" s="1966">
        <v>0</v>
      </c>
      <c r="O65" s="1966">
        <v>0</v>
      </c>
      <c r="P65" s="1966">
        <v>3</v>
      </c>
      <c r="Q65" s="345">
        <v>3</v>
      </c>
      <c r="R65" s="345">
        <v>3</v>
      </c>
      <c r="S65" s="582">
        <v>12</v>
      </c>
      <c r="T65" s="1632">
        <v>31</v>
      </c>
      <c r="U65" s="1632">
        <v>0</v>
      </c>
      <c r="V65" s="1632">
        <v>0</v>
      </c>
      <c r="W65" s="1632">
        <v>0</v>
      </c>
      <c r="X65" s="1632">
        <v>0</v>
      </c>
      <c r="Y65" s="1632">
        <v>0</v>
      </c>
      <c r="Z65" s="1632">
        <v>0</v>
      </c>
      <c r="AA65" s="1632">
        <v>0</v>
      </c>
      <c r="AB65" s="1632">
        <v>0</v>
      </c>
      <c r="AC65" s="1632">
        <v>0</v>
      </c>
      <c r="AD65" s="1632">
        <v>24</v>
      </c>
      <c r="AE65" s="1632">
        <v>0</v>
      </c>
      <c r="AF65" s="1632">
        <v>24</v>
      </c>
      <c r="AG65" s="1632">
        <v>24</v>
      </c>
      <c r="AH65" s="1632">
        <v>11</v>
      </c>
      <c r="AI65" s="1632">
        <v>3</v>
      </c>
      <c r="AJ65" s="1632">
        <v>11</v>
      </c>
      <c r="AK65" s="1632">
        <v>0</v>
      </c>
      <c r="AL65" s="1632">
        <v>4</v>
      </c>
      <c r="AM65" s="1632">
        <v>115</v>
      </c>
      <c r="AN65" s="1637">
        <v>10</v>
      </c>
      <c r="AO65" s="1637">
        <v>10</v>
      </c>
      <c r="AP65" s="1637">
        <v>10</v>
      </c>
      <c r="AQ65" s="1637">
        <v>10</v>
      </c>
      <c r="AR65" s="1637">
        <v>10</v>
      </c>
      <c r="AS65" s="1632">
        <v>23</v>
      </c>
    </row>
  </sheetData>
  <sheetProtection sort="0" autoFilter="0" insertRows="0" insertColumns="1" deleteRows="0" deleteColumns="0"/>
  <mergeCells count="112">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 ref="J7:J10"/>
    <mergeCell ref="Q7:Q10"/>
    <mergeCell ref="V7:AC7"/>
    <mergeCell ref="AD7:AL7"/>
    <mergeCell ref="AK8:AK9"/>
    <mergeCell ref="AM8:AM10"/>
    <mergeCell ref="AH17:AH18"/>
    <mergeCell ref="AI17:AI18"/>
    <mergeCell ref="AJ17:AJ18"/>
    <mergeCell ref="AK17:AK18"/>
    <mergeCell ref="K8:K9"/>
    <mergeCell ref="Z8:Z9"/>
    <mergeCell ref="AA8:AA9"/>
    <mergeCell ref="AB8:AB9"/>
    <mergeCell ref="AC8:AC9"/>
    <mergeCell ref="AH8:AH9"/>
    <mergeCell ref="S26:AJ26"/>
    <mergeCell ref="S27:AJ27"/>
    <mergeCell ref="S29:T29"/>
    <mergeCell ref="V29:AB29"/>
    <mergeCell ref="AD29:AJ29"/>
    <mergeCell ref="S30:T30"/>
    <mergeCell ref="V30:AB30"/>
    <mergeCell ref="AD30:AJ30"/>
    <mergeCell ref="AI8:AI9"/>
    <mergeCell ref="AJ8:AJ9"/>
    <mergeCell ref="S34:T34"/>
    <mergeCell ref="V34:AB34"/>
    <mergeCell ref="AD34:AJ34"/>
    <mergeCell ref="S35:T35"/>
    <mergeCell ref="V35:AB35"/>
    <mergeCell ref="AD35:AJ35"/>
    <mergeCell ref="S31:T31"/>
    <mergeCell ref="V31:AB31"/>
    <mergeCell ref="AD31:AJ31"/>
    <mergeCell ref="S32:T32"/>
    <mergeCell ref="V32:AB32"/>
    <mergeCell ref="AD32:AJ32"/>
    <mergeCell ref="V37:AC37"/>
    <mergeCell ref="AD37:AK37"/>
    <mergeCell ref="S38:AL38"/>
    <mergeCell ref="AM38:AM41"/>
    <mergeCell ref="S39:S41"/>
    <mergeCell ref="T39:T41"/>
    <mergeCell ref="V39:AB39"/>
    <mergeCell ref="AC39:AC41"/>
    <mergeCell ref="AD39:AJ39"/>
    <mergeCell ref="AK39:AK41"/>
    <mergeCell ref="E43:E56"/>
    <mergeCell ref="V43:AC43"/>
    <mergeCell ref="AD43:AL43"/>
    <mergeCell ref="F44:F55"/>
    <mergeCell ref="V44:AC44"/>
    <mergeCell ref="AD44:AL44"/>
    <mergeCell ref="G45:G54"/>
    <mergeCell ref="AL39:AL41"/>
    <mergeCell ref="V40:V41"/>
    <mergeCell ref="W40:W41"/>
    <mergeCell ref="X40:Y40"/>
    <mergeCell ref="Z40:AB40"/>
    <mergeCell ref="AD40:AD41"/>
    <mergeCell ref="AE40:AE41"/>
    <mergeCell ref="AF40:AG40"/>
    <mergeCell ref="AH40:AJ40"/>
    <mergeCell ref="AA41:AB41"/>
    <mergeCell ref="H46:H53"/>
    <mergeCell ref="V46:AC46"/>
    <mergeCell ref="AD46:AL46"/>
    <mergeCell ref="I47:I52"/>
    <mergeCell ref="P47:P52"/>
    <mergeCell ref="V47:AC47"/>
    <mergeCell ref="AD47:AL47"/>
    <mergeCell ref="J48:J51"/>
    <mergeCell ref="AI41:AJ41"/>
    <mergeCell ref="AA42:AB42"/>
    <mergeCell ref="AI42:AJ42"/>
    <mergeCell ref="K49:K50"/>
    <mergeCell ref="Z49:Z50"/>
    <mergeCell ref="AA49:AA50"/>
    <mergeCell ref="AB49:AB50"/>
    <mergeCell ref="AC49:AC50"/>
    <mergeCell ref="AH49:AH50"/>
    <mergeCell ref="AI49:AI50"/>
    <mergeCell ref="V45:AC45"/>
    <mergeCell ref="AD45:AL45"/>
    <mergeCell ref="T63:AM63"/>
    <mergeCell ref="T64:AM64"/>
    <mergeCell ref="AJ49:AJ50"/>
    <mergeCell ref="AK49:AK50"/>
    <mergeCell ref="AM49:AM51"/>
    <mergeCell ref="T59:AM59"/>
    <mergeCell ref="T60:AM60"/>
    <mergeCell ref="T62:AM62"/>
    <mergeCell ref="Q48:Q51"/>
    <mergeCell ref="V48:AC48"/>
    <mergeCell ref="AD48:AL48"/>
  </mergeCells>
  <dataValidations count="8">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DA3C868-0478-EEF9-A7B3-2AC716C28408}" mc:Ignorable="x14ac xr xr2 xr3">
  <sheetPr>
    <tabColor theme="6" tint="0.4"/>
  </sheetPr>
  <dimension ref="A1:AS65"/>
  <sheetViews>
    <sheetView showGridLines="0" zoomScale="90" workbookViewId="0">
      <pane xSplit="29" ySplit="42" topLeftCell="AD43" activePane="bottomRight" state="frozen"/>
      <selection pane="bottomLeft" activeCell="A43" sqref="A43"/>
      <selection pane="topRight" activeCell="AD1" sqref="AD1"/>
      <selection pane="bottomRight" activeCell="A1" sqref="A1"/>
    </sheetView>
  </sheetViews>
  <sheetFormatPr defaultColWidth="10.57421875" customHeight="1" defaultRowHeight="14.25"/>
  <cols>
    <col min="1" max="1" style="1636" width="10.57421875" hidden="1"/>
    <col min="2" max="2" style="1636" width="11.00390625" hidden="1" customWidth="1"/>
    <col min="3" max="3" style="1636" width="10.57421875" hidden="1"/>
    <col min="4" max="4" style="1636" width="11.8515625" hidden="1" customWidth="1"/>
    <col min="5" max="5" style="1636" width="10.00390625" hidden="1" customWidth="1"/>
    <col min="6" max="6" style="1636" width="8.7109375" hidden="1" customWidth="1"/>
    <col min="7" max="7" style="1636" width="7.57421875" hidden="1" customWidth="1"/>
    <col min="8" max="8" style="1636" width="11.421875" hidden="1" customWidth="1"/>
    <col min="9" max="9" style="1636" width="12.00390625" hidden="1" customWidth="1"/>
    <col min="10" max="10" style="1636" width="9.8515625" hidden="1" customWidth="1"/>
    <col min="11" max="11" style="1636" width="11.421875" hidden="1" customWidth="1"/>
    <col min="12" max="12" style="2126" width="19.140625" hidden="1" customWidth="1"/>
    <col min="13" max="14" style="2398" width="12.28125" hidden="1" customWidth="1"/>
    <col min="15" max="15" style="2398" width="23.421875" hidden="1" customWidth="1"/>
    <col min="16" max="16" style="2398" width="3.00390625" customWidth="1"/>
    <col min="17" max="18" style="345" width="3.00390625" customWidth="1"/>
    <col min="19" max="19" style="2408" width="12.00390625" customWidth="1"/>
    <col min="20" max="20" style="1636" width="31.00390625" customWidth="1"/>
    <col min="21" max="21" style="1636" width="0.140625" customWidth="1"/>
    <col min="22" max="22" style="1636" width="24.7109375" hidden="1" customWidth="1"/>
    <col min="23" max="23" style="1636" width="0.140625" hidden="1" customWidth="1"/>
    <col min="24" max="25" style="1636" width="24.7109375" hidden="1" customWidth="1"/>
    <col min="26" max="26" style="1636" width="11.7109375" hidden="1" customWidth="1"/>
    <col min="27" max="27" style="1636" width="3.7109375" hidden="1" customWidth="1"/>
    <col min="28" max="28" style="1636" width="11.7109375" hidden="1" customWidth="1"/>
    <col min="29" max="29" style="1636" width="8.57421875" hidden="1" customWidth="1"/>
    <col min="30" max="30" style="1636" width="24.7109375" customWidth="1"/>
    <col min="31" max="31" style="1636" width="0.140625" customWidth="1"/>
    <col min="32" max="33" style="1636" width="24.00390625" customWidth="1"/>
    <col min="34" max="34" style="1636" width="11.00390625" customWidth="1"/>
    <col min="35" max="35" style="1636" width="3.7109375" customWidth="1"/>
    <col min="36" max="36" style="1636" width="11.00390625" customWidth="1"/>
    <col min="37" max="37" style="1636" width="8.57421875" hidden="1" customWidth="1"/>
    <col min="38" max="38" style="1636" width="4.00390625" customWidth="1"/>
    <col min="39" max="39" style="1636" width="115.00390625" customWidth="1"/>
    <col min="40" max="44" style="1643" width="10.00390625" customWidth="1"/>
    <col min="45" max="45" style="1636" width="10.57421875" hidden="1"/>
  </cols>
  <sheetData>
    <row customHeight="1" ht="22.5" hidden="1">
      <c r="AS1" s="1632" t="s">
        <v>14</v>
      </c>
    </row>
    <row customHeight="1" ht="21" hidden="1">
      <c r="A2" s="1268"/>
      <c r="B2" s="1268"/>
      <c r="C2" s="1268"/>
      <c r="D2" s="1268"/>
      <c r="E2" s="2290">
        <v>1</v>
      </c>
      <c r="F2" s="1268"/>
      <c r="G2" s="1268"/>
      <c r="H2" s="1268"/>
      <c r="I2" s="1268"/>
      <c r="J2" s="1268"/>
      <c r="K2" s="1268"/>
      <c r="L2" s="1311"/>
      <c r="M2" s="1611"/>
      <c r="N2" s="1611"/>
      <c r="O2" s="1611"/>
      <c r="P2" s="1591"/>
      <c r="Q2" s="361"/>
      <c r="R2" s="356"/>
      <c r="S2" s="1959">
        <f>INDEX(PT_DIFFERENTIATION_NUM_NTAR,MATCH(A2,PT_DIFFERENTIATION_NTAR_ID,0))</f>
      </c>
      <c r="T2" s="1526" t="s">
        <v>136</v>
      </c>
      <c r="U2" s="301"/>
      <c r="V2" s="2243"/>
      <c r="W2" s="2244"/>
      <c r="X2" s="2244"/>
      <c r="Y2" s="2244"/>
      <c r="Z2" s="2244"/>
      <c r="AA2" s="2244"/>
      <c r="AB2" s="2244"/>
      <c r="AC2" s="2245"/>
      <c r="AD2" s="2243">
        <f>INDEX(PT_DIFFERENTIATION_NTAR,MATCH(A2,PT_DIFFERENTIATION_NTAR_ID,0))</f>
      </c>
      <c r="AE2" s="2244"/>
      <c r="AF2" s="2244"/>
      <c r="AG2" s="2244"/>
      <c r="AH2" s="2244"/>
      <c r="AI2" s="2244"/>
      <c r="AJ2" s="2244"/>
      <c r="AK2" s="2244"/>
      <c r="AL2" s="2245"/>
      <c r="AM2" s="1259" t="s">
        <v>526</v>
      </c>
      <c r="AO2" s="1625"/>
      <c r="AP2" s="1625" t="str">
        <f>IF(T2="","",T2)</f>
        <v>Наименование тарифа</v>
      </c>
      <c r="AQ2" s="1625"/>
      <c r="AR2" s="1625"/>
      <c r="AS2" s="1632">
        <v>0</v>
      </c>
    </row>
    <row customHeight="1" ht="21" hidden="1">
      <c r="A3" s="1268"/>
      <c r="B3" s="1268"/>
      <c r="C3" s="1268"/>
      <c r="D3" s="1268"/>
      <c r="E3" s="2291"/>
      <c r="F3" s="2290">
        <v>1</v>
      </c>
      <c r="G3" s="1268"/>
      <c r="H3" s="1268"/>
      <c r="I3" s="1268"/>
      <c r="J3" s="1268"/>
      <c r="K3" s="1268"/>
      <c r="L3" s="1311"/>
      <c r="M3" s="1611"/>
      <c r="N3" s="1611"/>
      <c r="O3" s="1611"/>
      <c r="P3" s="1941"/>
      <c r="Q3" s="353"/>
      <c r="R3" s="354"/>
      <c r="S3" s="1959">
        <f>INDEX(PT_DIFFERENTIATION_NUM_TER,MATCH(B3,PT_DIFFERENTIATION_TER_ID,0))</f>
      </c>
      <c r="T3" s="1523" t="s">
        <v>527</v>
      </c>
      <c r="U3" s="301"/>
      <c r="V3" s="2243"/>
      <c r="W3" s="2244"/>
      <c r="X3" s="2244"/>
      <c r="Y3" s="2244"/>
      <c r="Z3" s="2244"/>
      <c r="AA3" s="2244"/>
      <c r="AB3" s="2244"/>
      <c r="AC3" s="2245"/>
      <c r="AD3" s="2243">
        <f>INDEX(PT_DIFFERENTIATION_TER,MATCH(B3,PT_DIFFERENTIATION_TER_ID,0))</f>
      </c>
      <c r="AE3" s="2244"/>
      <c r="AF3" s="2244"/>
      <c r="AG3" s="2244"/>
      <c r="AH3" s="2244"/>
      <c r="AI3" s="2244"/>
      <c r="AJ3" s="2244"/>
      <c r="AK3" s="2244"/>
      <c r="AL3" s="2245"/>
      <c r="AM3" s="1259" t="s">
        <v>528</v>
      </c>
      <c r="AO3" s="1625"/>
      <c r="AP3" s="1625" t="str">
        <f>IF(T3="","",T3)</f>
        <v>Территория действия тарифа</v>
      </c>
      <c r="AQ3" s="1625"/>
      <c r="AR3" s="1625"/>
      <c r="AS3" s="1632">
        <v>0</v>
      </c>
    </row>
    <row customHeight="1" ht="23.25" hidden="1">
      <c r="A4" s="1268"/>
      <c r="B4" s="1268"/>
      <c r="C4" s="1268"/>
      <c r="D4" s="1268"/>
      <c r="E4" s="2291"/>
      <c r="F4" s="2291"/>
      <c r="G4" s="2290">
        <v>1</v>
      </c>
      <c r="H4" s="1268"/>
      <c r="I4" s="1268"/>
      <c r="J4" s="1268"/>
      <c r="K4" s="1268"/>
      <c r="L4" s="1311"/>
      <c r="M4" s="1611"/>
      <c r="N4" s="1611"/>
      <c r="O4" s="1611"/>
      <c r="P4" s="355"/>
      <c r="Q4" s="353"/>
      <c r="R4" s="354"/>
      <c r="S4" s="1959">
        <f>INDEX(PT_DIFFERENTIATION_NUM_CS,MATCH(C4,PT_DIFFERENTIATION_CS_ID,0))</f>
      </c>
      <c r="T4" s="310" t="s">
        <v>529</v>
      </c>
      <c r="U4" s="301"/>
      <c r="V4" s="2243"/>
      <c r="W4" s="2244"/>
      <c r="X4" s="2244"/>
      <c r="Y4" s="2244"/>
      <c r="Z4" s="2244"/>
      <c r="AA4" s="2244"/>
      <c r="AB4" s="2244"/>
      <c r="AC4" s="2245"/>
      <c r="AD4" s="2243">
        <f>INDEX(PT_DIFFERENTIATION_CS,MATCH(C4,PT_DIFFERENTIATION_CS_ID,0))</f>
      </c>
      <c r="AE4" s="2244"/>
      <c r="AF4" s="2244"/>
      <c r="AG4" s="2244"/>
      <c r="AH4" s="2244"/>
      <c r="AI4" s="2244"/>
      <c r="AJ4" s="2244"/>
      <c r="AK4" s="2244"/>
      <c r="AL4" s="2245"/>
      <c r="AM4" s="1259" t="s">
        <v>530</v>
      </c>
      <c r="AO4" s="1625"/>
      <c r="AP4" s="1625" t="str">
        <f>IF(T4="","",T4)</f>
        <v>Наименование системы теплоснабжения </v>
      </c>
      <c r="AQ4" s="1625"/>
      <c r="AR4" s="1625"/>
      <c r="AS4" s="1632">
        <v>0</v>
      </c>
    </row>
    <row customHeight="1" ht="21" hidden="1">
      <c r="A5" s="1268"/>
      <c r="B5" s="1268"/>
      <c r="C5" s="1268"/>
      <c r="D5" s="1268"/>
      <c r="E5" s="2291"/>
      <c r="F5" s="2291"/>
      <c r="G5" s="2291"/>
      <c r="H5" s="2290">
        <v>1</v>
      </c>
      <c r="I5" s="1268"/>
      <c r="J5" s="1268"/>
      <c r="K5" s="1268"/>
      <c r="L5" s="1311"/>
      <c r="M5" s="1611"/>
      <c r="N5" s="1611"/>
      <c r="O5" s="1611"/>
      <c r="P5" s="355"/>
      <c r="Q5" s="353"/>
      <c r="R5" s="354"/>
      <c r="S5" s="1959">
        <f>INDEX(PT_DIFFERENTIATION_NUM_IST_TE,MATCH(D5,PT_DIFFERENTIATION_IST_TE_ID,0))</f>
      </c>
      <c r="T5" s="311" t="s">
        <v>531</v>
      </c>
      <c r="U5" s="301"/>
      <c r="V5" s="2243"/>
      <c r="W5" s="2244"/>
      <c r="X5" s="2244"/>
      <c r="Y5" s="2244"/>
      <c r="Z5" s="2244"/>
      <c r="AA5" s="2244"/>
      <c r="AB5" s="2244"/>
      <c r="AC5" s="2245"/>
      <c r="AD5" s="2243">
        <f>INDEX(PT_DIFFERENTIATION_IST_TE,MATCH(D5,PT_DIFFERENTIATION_IST_TE_ID,0))</f>
      </c>
      <c r="AE5" s="2244"/>
      <c r="AF5" s="2244"/>
      <c r="AG5" s="2244"/>
      <c r="AH5" s="2244"/>
      <c r="AI5" s="2244"/>
      <c r="AJ5" s="2244"/>
      <c r="AK5" s="2244"/>
      <c r="AL5" s="2245"/>
      <c r="AM5" s="1259" t="s">
        <v>532</v>
      </c>
      <c r="AO5" s="1625"/>
      <c r="AP5" s="1625" t="str">
        <f>IF(T5="","",T5)</f>
        <v>Источник тепловой энергии  </v>
      </c>
      <c r="AQ5" s="1625"/>
      <c r="AR5" s="1625"/>
      <c r="AS5" s="1632">
        <v>0</v>
      </c>
    </row>
    <row customHeight="1" ht="47.25" hidden="1">
      <c r="A6" s="1268"/>
      <c r="B6" s="1268"/>
      <c r="C6" s="1268"/>
      <c r="D6" s="1268"/>
      <c r="E6" s="2291"/>
      <c r="F6" s="2291"/>
      <c r="G6" s="2291"/>
      <c r="H6" s="2291"/>
      <c r="I6" s="2128">
        <f>S5&amp;".1"</f>
      </c>
      <c r="J6" s="1268"/>
      <c r="K6" s="1268"/>
      <c r="L6" s="1311" t="s">
        <v>533</v>
      </c>
      <c r="M6" s="1636"/>
      <c r="P6" s="2258">
        <v>1</v>
      </c>
      <c r="Q6" s="1955"/>
      <c r="R6" s="357"/>
      <c r="S6" s="1959">
        <f>$I6</f>
      </c>
      <c r="T6" s="286" t="s">
        <v>534</v>
      </c>
      <c r="U6" s="301"/>
      <c r="V6" s="2246"/>
      <c r="W6" s="2247"/>
      <c r="X6" s="2247"/>
      <c r="Y6" s="2247"/>
      <c r="Z6" s="2247"/>
      <c r="AA6" s="2247"/>
      <c r="AB6" s="2247"/>
      <c r="AC6" s="2248"/>
      <c r="AD6" s="2246"/>
      <c r="AE6" s="2247"/>
      <c r="AF6" s="2247"/>
      <c r="AG6" s="2247"/>
      <c r="AH6" s="2247"/>
      <c r="AI6" s="2247"/>
      <c r="AJ6" s="2247"/>
      <c r="AK6" s="2247"/>
      <c r="AL6" s="2248"/>
      <c r="AM6" s="1259" t="s">
        <v>535</v>
      </c>
      <c r="AO6" s="1625"/>
      <c r="AP6" s="1625" t="str">
        <f>IF(T6="","",T6)</f>
        <v>Схема подключения теплопотребляющей установки к коллектору источника тепловой энергии</v>
      </c>
      <c r="AQ6" s="1625"/>
      <c r="AR6" s="1625"/>
      <c r="AS6" s="1632">
        <v>0</v>
      </c>
    </row>
    <row customHeight="1" ht="21" hidden="1">
      <c r="A7" s="1268"/>
      <c r="B7" s="1268"/>
      <c r="C7" s="1268"/>
      <c r="D7" s="1268"/>
      <c r="E7" s="2291"/>
      <c r="F7" s="2291"/>
      <c r="G7" s="2291"/>
      <c r="H7" s="2291"/>
      <c r="I7" s="2102"/>
      <c r="J7" s="2128">
        <f>I6&amp;".1"</f>
      </c>
      <c r="K7" s="1268"/>
      <c r="L7" s="1311" t="s">
        <v>536</v>
      </c>
      <c r="M7" s="1636"/>
      <c r="N7" s="1632"/>
      <c r="P7" s="2258"/>
      <c r="Q7" s="2258">
        <v>1</v>
      </c>
      <c r="R7" s="358"/>
      <c r="S7" s="1959">
        <f>$J7</f>
      </c>
      <c r="T7" s="287" t="s">
        <v>537</v>
      </c>
      <c r="U7" s="301"/>
      <c r="V7" s="2246"/>
      <c r="W7" s="2247"/>
      <c r="X7" s="2247"/>
      <c r="Y7" s="2247"/>
      <c r="Z7" s="2247"/>
      <c r="AA7" s="2247"/>
      <c r="AB7" s="2247"/>
      <c r="AC7" s="2248"/>
      <c r="AD7" s="2246"/>
      <c r="AE7" s="2247"/>
      <c r="AF7" s="2247"/>
      <c r="AG7" s="2247"/>
      <c r="AH7" s="2247"/>
      <c r="AI7" s="2247"/>
      <c r="AJ7" s="2247"/>
      <c r="AK7" s="2247"/>
      <c r="AL7" s="2248"/>
      <c r="AM7" s="1259" t="s">
        <v>538</v>
      </c>
      <c r="AO7" s="1625"/>
      <c r="AP7" s="1625" t="str">
        <f>IF(T7="","",T7)</f>
        <v>Группа потребителей</v>
      </c>
      <c r="AQ7" s="1625"/>
      <c r="AR7" s="1625"/>
      <c r="AS7" s="1632">
        <v>0</v>
      </c>
    </row>
    <row customHeight="1" ht="21" hidden="1">
      <c r="A8" s="1268"/>
      <c r="B8" s="1268"/>
      <c r="C8" s="1268"/>
      <c r="D8" s="1268"/>
      <c r="E8" s="2291"/>
      <c r="F8" s="2291"/>
      <c r="G8" s="2291"/>
      <c r="H8" s="2291"/>
      <c r="I8" s="2102"/>
      <c r="J8" s="2102"/>
      <c r="K8" s="2128">
        <f>J7&amp;".1"</f>
      </c>
      <c r="L8" s="1311" t="s">
        <v>539</v>
      </c>
      <c r="M8" s="1636"/>
      <c r="N8" s="1632"/>
      <c r="O8" s="1632"/>
      <c r="P8" s="2258"/>
      <c r="Q8" s="2258"/>
      <c r="R8" s="358">
        <v>1</v>
      </c>
      <c r="S8" s="1959">
        <f>$K8</f>
      </c>
      <c r="T8" s="1348"/>
      <c r="U8" s="301"/>
      <c r="V8" s="752"/>
      <c r="W8" s="326"/>
      <c r="X8" s="752"/>
      <c r="Y8" s="1258"/>
      <c r="Z8" s="2266"/>
      <c r="AA8" s="2108" t="s">
        <v>65</v>
      </c>
      <c r="AB8" s="2266"/>
      <c r="AC8" s="2108" t="s">
        <v>65</v>
      </c>
      <c r="AD8" s="752"/>
      <c r="AE8" s="326"/>
      <c r="AF8" s="752"/>
      <c r="AG8" s="1258"/>
      <c r="AH8" s="2266"/>
      <c r="AI8" s="2108" t="s">
        <v>65</v>
      </c>
      <c r="AJ8" s="2266"/>
      <c r="AK8" s="2108" t="s">
        <v>65</v>
      </c>
      <c r="AL8" s="326"/>
      <c r="AM8" s="2254" t="s">
        <v>540</v>
      </c>
      <c r="AN8" s="1637">
        <f>STRCHECKDATE(V9:AL9)</f>
      </c>
      <c r="AO8" s="1625"/>
      <c r="AP8" s="1625" t="str">
        <f>IF(T8="","",T8)</f>
        <v/>
      </c>
      <c r="AQ8" s="1625"/>
      <c r="AR8" s="1625"/>
      <c r="AS8" s="1632">
        <v>0</v>
      </c>
    </row>
    <row customHeight="1" ht="0.75" hidden="1">
      <c r="A9" s="1268"/>
      <c r="B9" s="1268"/>
      <c r="C9" s="1268"/>
      <c r="D9" s="1268"/>
      <c r="E9" s="2291"/>
      <c r="F9" s="2291"/>
      <c r="G9" s="2291"/>
      <c r="H9" s="2291"/>
      <c r="I9" s="2102"/>
      <c r="J9" s="2102"/>
      <c r="K9" s="2128"/>
      <c r="L9" s="1311"/>
      <c r="M9" s="1636"/>
      <c r="N9" s="1632"/>
      <c r="O9" s="1632"/>
      <c r="P9" s="2258"/>
      <c r="Q9" s="2258"/>
      <c r="R9" s="358"/>
      <c r="S9" s="1968"/>
      <c r="T9" s="301"/>
      <c r="U9" s="301"/>
      <c r="V9" s="326"/>
      <c r="W9" s="326"/>
      <c r="X9" s="326"/>
      <c r="Y9" s="329" t="str">
        <f>Z8&amp;"-"&amp;AB8</f>
        <v>-</v>
      </c>
      <c r="Z9" s="2267"/>
      <c r="AA9" s="2108"/>
      <c r="AB9" s="2267"/>
      <c r="AC9" s="2108"/>
      <c r="AD9" s="326"/>
      <c r="AE9" s="326"/>
      <c r="AF9" s="326"/>
      <c r="AG9" s="329" t="str">
        <f>AH8&amp;"-"&amp;AJ8</f>
        <v>-</v>
      </c>
      <c r="AH9" s="2267"/>
      <c r="AI9" s="2108"/>
      <c r="AJ9" s="2267"/>
      <c r="AK9" s="2108"/>
      <c r="AL9" s="326"/>
      <c r="AM9" s="2255"/>
      <c r="AO9" s="1625"/>
      <c r="AP9" s="1625" t="str">
        <f>IF(T9="","",T9)</f>
        <v/>
      </c>
      <c r="AQ9" s="1625"/>
      <c r="AR9" s="1625"/>
      <c r="AS9" s="1632">
        <v>0</v>
      </c>
    </row>
    <row customHeight="1" ht="15" hidden="1">
      <c r="A10" s="1268"/>
      <c r="B10" s="1268"/>
      <c r="C10" s="1268"/>
      <c r="D10" s="1268"/>
      <c r="E10" s="2291"/>
      <c r="F10" s="2291"/>
      <c r="G10" s="2291"/>
      <c r="H10" s="2291"/>
      <c r="I10" s="2102"/>
      <c r="J10" s="2128"/>
      <c r="K10" s="1268"/>
      <c r="L10" s="1311"/>
      <c r="M10" s="1636"/>
      <c r="N10" s="1632"/>
      <c r="P10" s="2258"/>
      <c r="Q10" s="2258"/>
      <c r="R10" s="357"/>
      <c r="S10" s="1279"/>
      <c r="T10" s="289" t="s">
        <v>541</v>
      </c>
      <c r="U10" s="601"/>
      <c r="V10" s="601"/>
      <c r="W10" s="601"/>
      <c r="X10" s="601"/>
      <c r="Y10" s="601"/>
      <c r="Z10" s="601"/>
      <c r="AA10" s="601"/>
      <c r="AB10" s="601"/>
      <c r="AC10" s="601"/>
      <c r="AD10" s="601"/>
      <c r="AE10" s="601"/>
      <c r="AF10" s="601"/>
      <c r="AG10" s="601"/>
      <c r="AH10" s="601"/>
      <c r="AI10" s="601"/>
      <c r="AJ10" s="601"/>
      <c r="AK10" s="601"/>
      <c r="AL10" s="325"/>
      <c r="AM10" s="2256"/>
      <c r="AO10" s="1625"/>
      <c r="AP10" s="1625" t="str">
        <f>IF(T10="","",T10)</f>
        <v>Добавить вид теплоносителя (параметры теплоносителя)</v>
      </c>
      <c r="AQ10" s="1625"/>
      <c r="AR10" s="1625"/>
      <c r="AS10" s="1632">
        <v>0</v>
      </c>
    </row>
    <row customHeight="1" ht="15" hidden="1">
      <c r="A11" s="1268"/>
      <c r="B11" s="1268"/>
      <c r="C11" s="1268"/>
      <c r="D11" s="1268"/>
      <c r="E11" s="2291"/>
      <c r="F11" s="2291"/>
      <c r="G11" s="2291"/>
      <c r="H11" s="2291"/>
      <c r="I11" s="2128"/>
      <c r="J11" s="1268"/>
      <c r="K11" s="1268"/>
      <c r="L11" s="1311"/>
      <c r="M11" s="1636"/>
      <c r="P11" s="2258"/>
      <c r="Q11" s="1955"/>
      <c r="R11" s="357"/>
      <c r="S11" s="1279"/>
      <c r="T11" s="288" t="s">
        <v>542</v>
      </c>
      <c r="U11" s="601"/>
      <c r="V11" s="601"/>
      <c r="W11" s="601"/>
      <c r="X11" s="601"/>
      <c r="Y11" s="601"/>
      <c r="Z11" s="601"/>
      <c r="AA11" s="601"/>
      <c r="AB11" s="601"/>
      <c r="AC11" s="367"/>
      <c r="AD11" s="601"/>
      <c r="AE11" s="601"/>
      <c r="AF11" s="601"/>
      <c r="AG11" s="601"/>
      <c r="AH11" s="601"/>
      <c r="AI11" s="601"/>
      <c r="AJ11" s="601"/>
      <c r="AK11" s="367"/>
      <c r="AL11" s="601"/>
      <c r="AM11" s="304"/>
      <c r="AO11" s="1625"/>
      <c r="AP11" s="1625" t="str">
        <f>IF(T11="","",T11)</f>
        <v>Добавить группу потребителей</v>
      </c>
      <c r="AQ11" s="1625"/>
      <c r="AR11" s="1625"/>
      <c r="AS11" s="1632">
        <v>0</v>
      </c>
    </row>
    <row customHeight="1" ht="14.25" hidden="1">
      <c r="A12" s="1268"/>
      <c r="B12" s="1268"/>
      <c r="C12" s="1268"/>
      <c r="D12" s="1268"/>
      <c r="E12" s="2291"/>
      <c r="F12" s="2291"/>
      <c r="G12" s="2291"/>
      <c r="H12" s="2290"/>
      <c r="I12" s="1268"/>
      <c r="J12" s="1268"/>
      <c r="K12" s="1268"/>
      <c r="L12" s="1311"/>
      <c r="M12" s="1611"/>
      <c r="N12" s="1611"/>
      <c r="O12" s="1636"/>
      <c r="P12" s="361"/>
      <c r="Q12" s="376"/>
      <c r="R12" s="356"/>
      <c r="S12" s="1279"/>
      <c r="T12" s="366" t="s">
        <v>543</v>
      </c>
      <c r="U12" s="601"/>
      <c r="V12" s="601"/>
      <c r="W12" s="601"/>
      <c r="X12" s="601"/>
      <c r="Y12" s="601"/>
      <c r="Z12" s="601"/>
      <c r="AA12" s="601"/>
      <c r="AB12" s="601"/>
      <c r="AC12" s="367"/>
      <c r="AD12" s="601"/>
      <c r="AE12" s="601"/>
      <c r="AF12" s="601"/>
      <c r="AG12" s="601"/>
      <c r="AH12" s="601"/>
      <c r="AI12" s="601"/>
      <c r="AJ12" s="601"/>
      <c r="AK12" s="367"/>
      <c r="AL12" s="601"/>
      <c r="AM12" s="304"/>
      <c r="AO12" s="1625"/>
      <c r="AP12" s="1625" t="str">
        <f>IF(T12="","",T12)</f>
        <v>Добавить схему подключения</v>
      </c>
      <c r="AQ12" s="1625"/>
      <c r="AR12" s="1625"/>
      <c r="AS12" s="1632">
        <v>0</v>
      </c>
    </row>
    <row s="1643" customFormat="1" customHeight="1" ht="0.75" hidden="1">
      <c r="A13" s="1975"/>
      <c r="B13" s="1975"/>
      <c r="C13" s="1975"/>
      <c r="D13" s="1975"/>
      <c r="E13" s="2291"/>
      <c r="F13" s="2291"/>
      <c r="G13" s="2290"/>
      <c r="H13" s="1975"/>
      <c r="I13" s="1975"/>
      <c r="J13" s="1975"/>
      <c r="K13" s="1975"/>
      <c r="L13" s="1381"/>
      <c r="M13" s="1611"/>
      <c r="N13" s="1611"/>
      <c r="O13" s="1636"/>
      <c r="P13" s="1317"/>
      <c r="Q13" s="1318"/>
      <c r="R13" s="1317"/>
      <c r="S13" s="1319"/>
      <c r="T13" s="1320" t="s">
        <v>177</v>
      </c>
      <c r="U13" s="1321"/>
      <c r="V13" s="1321"/>
      <c r="W13" s="1321"/>
      <c r="X13" s="1321"/>
      <c r="Y13" s="1321"/>
      <c r="Z13" s="1321"/>
      <c r="AA13" s="1321"/>
      <c r="AB13" s="1321"/>
      <c r="AC13" s="1321"/>
      <c r="AD13" s="1321"/>
      <c r="AE13" s="1321"/>
      <c r="AF13" s="1321"/>
      <c r="AG13" s="1321"/>
      <c r="AH13" s="1321"/>
      <c r="AI13" s="1321"/>
      <c r="AJ13" s="1321"/>
      <c r="AK13" s="1321"/>
      <c r="AL13" s="1321"/>
      <c r="AM13" s="1321"/>
      <c r="AO13" s="1252"/>
      <c r="AP13" s="1252" t="str">
        <f>IF(T13="","",T13)</f>
        <v>Добавить источник для дифференциации</v>
      </c>
      <c r="AQ13" s="1252"/>
      <c r="AR13" s="1252"/>
      <c r="AS13" s="1643">
        <v>0</v>
      </c>
    </row>
    <row s="1643" customFormat="1" customHeight="1" ht="0.75" hidden="1">
      <c r="A14" s="1975"/>
      <c r="B14" s="1975"/>
      <c r="C14" s="1975"/>
      <c r="D14" s="1975"/>
      <c r="E14" s="2291"/>
      <c r="F14" s="2290"/>
      <c r="G14" s="1975"/>
      <c r="H14" s="1975"/>
      <c r="I14" s="1975"/>
      <c r="J14" s="1975"/>
      <c r="K14" s="1975"/>
      <c r="L14" s="1381"/>
      <c r="M14" s="1976"/>
      <c r="N14" s="1976"/>
      <c r="O14" s="1636"/>
      <c r="P14" s="1317"/>
      <c r="Q14" s="1318"/>
      <c r="R14" s="1317"/>
      <c r="S14" s="1323"/>
      <c r="T14" s="1324" t="s">
        <v>178</v>
      </c>
      <c r="U14" s="1325"/>
      <c r="V14" s="1325"/>
      <c r="W14" s="1325"/>
      <c r="X14" s="1325"/>
      <c r="Y14" s="1325"/>
      <c r="Z14" s="1325"/>
      <c r="AA14" s="1325"/>
      <c r="AB14" s="1325"/>
      <c r="AC14" s="1325"/>
      <c r="AD14" s="1325"/>
      <c r="AE14" s="1325"/>
      <c r="AF14" s="1325"/>
      <c r="AG14" s="1325"/>
      <c r="AH14" s="1325"/>
      <c r="AI14" s="1325"/>
      <c r="AJ14" s="1325"/>
      <c r="AK14" s="1325"/>
      <c r="AL14" s="1325"/>
      <c r="AM14" s="1325"/>
      <c r="AO14" s="1252"/>
      <c r="AP14" s="1252" t="str">
        <f>IF(T14="","",T14)</f>
        <v>Добавить централизованную систему для дифференциации</v>
      </c>
      <c r="AQ14" s="1252"/>
      <c r="AR14" s="1252"/>
      <c r="AS14" s="1643">
        <v>0</v>
      </c>
    </row>
    <row s="1643" customFormat="1" customHeight="1" ht="0.75" hidden="1">
      <c r="A15" s="1975"/>
      <c r="B15" s="1975"/>
      <c r="C15" s="1975"/>
      <c r="D15" s="1975"/>
      <c r="E15" s="2290"/>
      <c r="F15" s="1975"/>
      <c r="G15" s="1975"/>
      <c r="H15" s="1975"/>
      <c r="I15" s="1975"/>
      <c r="J15" s="1975"/>
      <c r="K15" s="1975"/>
      <c r="L15" s="1381"/>
      <c r="M15" s="1976"/>
      <c r="N15" s="1976"/>
      <c r="O15" s="1636"/>
      <c r="P15" s="1317"/>
      <c r="Q15" s="1318"/>
      <c r="R15" s="1317"/>
      <c r="S15" s="1323"/>
      <c r="T15" s="1326" t="s">
        <v>183</v>
      </c>
      <c r="U15" s="1325"/>
      <c r="V15" s="1325"/>
      <c r="W15" s="1325"/>
      <c r="X15" s="1325"/>
      <c r="Y15" s="1325"/>
      <c r="Z15" s="1325"/>
      <c r="AA15" s="1325"/>
      <c r="AB15" s="1325"/>
      <c r="AC15" s="1325"/>
      <c r="AD15" s="1325"/>
      <c r="AE15" s="1325"/>
      <c r="AF15" s="1325"/>
      <c r="AG15" s="1325"/>
      <c r="AH15" s="1325"/>
      <c r="AI15" s="1325"/>
      <c r="AJ15" s="1325"/>
      <c r="AK15" s="1325"/>
      <c r="AL15" s="1325"/>
      <c r="AM15" s="1325"/>
      <c r="AO15" s="1252"/>
      <c r="AP15" s="1252" t="str">
        <f>IF(T15="","",T15)</f>
        <v>Добавить территорию для дифференциации</v>
      </c>
      <c r="AQ15" s="1252"/>
      <c r="AR15" s="1252"/>
      <c r="AS15" s="1643">
        <v>0</v>
      </c>
    </row>
    <row customHeight="1" ht="14.25" hidden="1">
      <c r="AS16" s="1632">
        <v>0</v>
      </c>
    </row>
    <row customHeight="1" ht="14.25" hidden="1">
      <c r="AD17" s="1361"/>
      <c r="AE17" s="1361"/>
      <c r="AF17" s="1361"/>
      <c r="AG17" s="1362"/>
      <c r="AH17" s="2268"/>
      <c r="AI17" s="2269" t="s">
        <v>65</v>
      </c>
      <c r="AJ17" s="2268"/>
      <c r="AK17" s="2269" t="s">
        <v>65</v>
      </c>
      <c r="AS17" s="1632">
        <v>0</v>
      </c>
    </row>
    <row customHeight="1" ht="14.25" hidden="1">
      <c r="AD18" s="1361"/>
      <c r="AE18" s="1361"/>
      <c r="AF18" s="1361"/>
      <c r="AG18" s="329" t="str">
        <f>AH17&amp;"-"&amp;AJ17</f>
        <v>-</v>
      </c>
      <c r="AH18" s="2269"/>
      <c r="AI18" s="2269"/>
      <c r="AJ18" s="2269"/>
      <c r="AK18" s="2269"/>
      <c r="AS18" s="1632">
        <v>0</v>
      </c>
    </row>
    <row customHeight="1" ht="14.25" hidden="1">
      <c r="AS19" s="1632">
        <v>0</v>
      </c>
    </row>
    <row s="1367" customFormat="1" customHeight="1" ht="14.25" hidden="1">
      <c r="A20" s="1632"/>
      <c r="B20" s="1632"/>
      <c r="C20" s="1632"/>
      <c r="D20" s="1632"/>
      <c r="E20" s="1632"/>
      <c r="F20" s="1632"/>
      <c r="G20" s="1632"/>
      <c r="H20" s="1632"/>
      <c r="I20" s="1632"/>
      <c r="J20" s="1632"/>
      <c r="K20" s="1632"/>
      <c r="L20" s="1940"/>
      <c r="M20" s="1966"/>
      <c r="N20" s="1966"/>
      <c r="O20" s="1346" t="s">
        <v>544</v>
      </c>
      <c r="P20" s="1363"/>
      <c r="Q20" s="1372"/>
      <c r="R20" s="1372"/>
      <c r="S20" s="730"/>
      <c r="Z20" s="1368"/>
      <c r="AB20" s="1368"/>
      <c r="AH20" s="1368"/>
      <c r="AJ20" s="1368"/>
      <c r="AN20" s="1637"/>
      <c r="AO20" s="1637"/>
      <c r="AP20" s="1637"/>
      <c r="AQ20" s="1637"/>
      <c r="AR20" s="1637"/>
      <c r="AS20" s="1367">
        <v>0</v>
      </c>
    </row>
    <row s="1367" customFormat="1" customHeight="1" ht="14.25" hidden="1">
      <c r="A21" s="1632"/>
      <c r="B21" s="1632"/>
      <c r="C21" s="1632"/>
      <c r="D21" s="1632"/>
      <c r="E21" s="1632"/>
      <c r="F21" s="1632"/>
      <c r="G21" s="1632"/>
      <c r="H21" s="1632"/>
      <c r="I21" s="1632"/>
      <c r="J21" s="1632"/>
      <c r="K21" s="1632"/>
      <c r="L21" s="1940"/>
      <c r="M21" s="1966"/>
      <c r="N21" s="1966"/>
      <c r="O21" s="1966"/>
      <c r="P21" s="1363"/>
      <c r="Q21" s="1372"/>
      <c r="R21" s="1372"/>
      <c r="S21" s="730"/>
      <c r="AN21" s="1637"/>
      <c r="AO21" s="1637"/>
      <c r="AP21" s="1637"/>
      <c r="AQ21" s="1637"/>
      <c r="AR21" s="1637"/>
      <c r="AS21" s="1367">
        <v>0</v>
      </c>
    </row>
    <row s="1367" customFormat="1" customHeight="1" ht="14.25" hidden="1">
      <c r="A22" s="1632"/>
      <c r="B22" s="1632"/>
      <c r="C22" s="1632"/>
      <c r="D22" s="1632"/>
      <c r="E22" s="1632"/>
      <c r="F22" s="1632"/>
      <c r="G22" s="1632"/>
      <c r="H22" s="1632"/>
      <c r="I22" s="1632"/>
      <c r="J22" s="1632"/>
      <c r="K22" s="1632"/>
      <c r="L22" s="1940"/>
      <c r="M22" s="1966"/>
      <c r="N22" s="1966"/>
      <c r="O22" s="1311" t="s">
        <v>545</v>
      </c>
      <c r="P22" s="1363"/>
      <c r="Q22" s="1372"/>
      <c r="R22" s="1372"/>
      <c r="S22" s="730"/>
      <c r="T22" s="1367" t="s">
        <v>546</v>
      </c>
      <c r="AA22" s="596" t="s">
        <v>547</v>
      </c>
      <c r="AC22" s="596" t="s">
        <v>548</v>
      </c>
      <c r="AD22" s="1367" t="s">
        <v>546</v>
      </c>
      <c r="AI22" s="596" t="s">
        <v>549</v>
      </c>
      <c r="AK22" s="596" t="s">
        <v>548</v>
      </c>
      <c r="AN22" s="1637"/>
      <c r="AO22" s="1637"/>
      <c r="AP22" s="1637"/>
      <c r="AQ22" s="1637"/>
      <c r="AR22" s="1637"/>
      <c r="AS22" s="1367">
        <v>0</v>
      </c>
    </row>
    <row customHeight="1" ht="14.25" hidden="1">
      <c r="O23" s="1311"/>
      <c r="AS23" s="1632">
        <v>0</v>
      </c>
    </row>
    <row customHeight="1" ht="14.25" hidden="1">
      <c r="O24" s="1311"/>
      <c r="AS24" s="1632">
        <v>0</v>
      </c>
    </row>
    <row customHeight="1" ht="14.699999999999998">
      <c r="Q25" s="377"/>
      <c r="R25" s="377"/>
      <c r="S25" s="1276"/>
      <c r="T25" s="458"/>
      <c r="U25" s="458"/>
      <c r="V25" s="1636"/>
      <c r="W25" s="1636"/>
      <c r="X25" s="1636"/>
      <c r="Y25" s="1636"/>
      <c r="Z25" s="1636"/>
      <c r="AA25" s="1636"/>
      <c r="AB25" s="1636"/>
      <c r="AC25" s="1636"/>
      <c r="AD25" s="1636"/>
      <c r="AE25" s="1636"/>
      <c r="AF25" s="1636"/>
      <c r="AG25" s="1636"/>
      <c r="AH25" s="1636"/>
      <c r="AI25" s="1636"/>
      <c r="AJ25" s="1636"/>
      <c r="AK25" s="1636"/>
      <c r="AS25" s="1632">
        <v>14</v>
      </c>
    </row>
    <row customHeight="1" ht="14.699999999999998">
      <c r="Q26" s="377"/>
      <c r="R26" s="377"/>
      <c r="S26" s="2249" t="str">
        <f>IF(TEMPLATE_GROUP="P",PT_P_FORM_HEAT_4_NAME_FORM,PT_R_FORM_HEAT_21_NAME_FORM)</f>
        <v>Форма 3. Информация об установленных тарифах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об установленных тарифах на тепловую энергию (мощность), поставляемую теплоснабжающими организациями потребителям, другим теплоснабжающим организациям, об установленной плате за услуги по поддержанию резервной тепловой мощности при отсутствии потребления тепловой энергии</v>
      </c>
      <c r="T26" s="2249"/>
      <c r="U26" s="2249"/>
      <c r="V26" s="2249"/>
      <c r="W26" s="2249"/>
      <c r="X26" s="2249"/>
      <c r="Y26" s="2249"/>
      <c r="Z26" s="2249"/>
      <c r="AA26" s="2249"/>
      <c r="AB26" s="2249"/>
      <c r="AC26" s="2249"/>
      <c r="AD26" s="2249"/>
      <c r="AE26" s="2249"/>
      <c r="AF26" s="2249"/>
      <c r="AG26" s="2249"/>
      <c r="AH26" s="2249"/>
      <c r="AI26" s="2249"/>
      <c r="AJ26" s="2249"/>
      <c r="AK26" s="1244"/>
      <c r="AS26" s="1632">
        <v>14</v>
      </c>
    </row>
    <row customHeight="1" ht="14.699999999999998">
      <c r="Q27" s="377"/>
      <c r="R27" s="377"/>
      <c r="S27" s="2250" t="str">
        <f>IF(org=0,"Не определено",org)</f>
        <v>ПАО "ТГК-1" (филиал "Кольский")</v>
      </c>
      <c r="T27" s="2250"/>
      <c r="U27" s="2250"/>
      <c r="V27" s="2250"/>
      <c r="W27" s="2250"/>
      <c r="X27" s="2250"/>
      <c r="Y27" s="2250"/>
      <c r="Z27" s="2250"/>
      <c r="AA27" s="2250"/>
      <c r="AB27" s="2250"/>
      <c r="AC27" s="2250"/>
      <c r="AD27" s="2250"/>
      <c r="AE27" s="2250"/>
      <c r="AF27" s="2250"/>
      <c r="AG27" s="2250"/>
      <c r="AH27" s="2250"/>
      <c r="AI27" s="2250"/>
      <c r="AJ27" s="2250"/>
      <c r="AK27" s="1244"/>
      <c r="AS27" s="1632">
        <v>14</v>
      </c>
    </row>
    <row customHeight="1" ht="14.25" hidden="1">
      <c r="Q28" s="377"/>
      <c r="R28" s="377"/>
      <c r="S28" s="1276"/>
      <c r="T28" s="458"/>
      <c r="U28" s="458"/>
      <c r="V28" s="323"/>
      <c r="W28" s="323"/>
      <c r="X28" s="323"/>
      <c r="Y28" s="323"/>
      <c r="Z28" s="323"/>
      <c r="AA28" s="323"/>
      <c r="AB28" s="323"/>
      <c r="AC28" s="323"/>
      <c r="AD28" s="323"/>
      <c r="AE28" s="323"/>
      <c r="AF28" s="323"/>
      <c r="AG28" s="323"/>
      <c r="AH28" s="323"/>
      <c r="AI28" s="323"/>
      <c r="AJ28" s="323"/>
      <c r="AK28" s="323"/>
      <c r="AL28" s="1636"/>
      <c r="AS28" s="1632">
        <v>0</v>
      </c>
    </row>
    <row s="1854" customFormat="1" customHeight="1" ht="25.5" hidden="1">
      <c r="A29" s="1249"/>
      <c r="B29" s="1249"/>
      <c r="C29" s="1249"/>
      <c r="D29" s="1249"/>
      <c r="E29" s="1249"/>
      <c r="F29" s="1249"/>
      <c r="G29" s="1249"/>
      <c r="H29" s="1249"/>
      <c r="I29" s="1249"/>
      <c r="J29" s="1249"/>
      <c r="K29" s="1249"/>
      <c r="L29" s="1381"/>
      <c r="M29" s="1249"/>
      <c r="N29" s="1249"/>
      <c r="O29" s="1249"/>
      <c r="S29" s="2251" t="s">
        <v>42</v>
      </c>
      <c r="T29" s="2251"/>
      <c r="U29" s="1373"/>
      <c r="V29" s="2252" t="str">
        <f>IF(TITLE_NAME_OR_PR_CHANGE="",IF(TITLE_NAME_OR_PR="","",TITLE_NAME_OR_PR),TITLE_NAME_OR_PR_CHANGE)</f>
        <v>Комитет по тарифному регулированию Мурманской области</v>
      </c>
      <c r="W29" s="2252"/>
      <c r="X29" s="2252"/>
      <c r="Y29" s="2252"/>
      <c r="Z29" s="2252"/>
      <c r="AA29" s="2252"/>
      <c r="AB29" s="2252"/>
      <c r="AC29" s="1636"/>
      <c r="AD29" s="2252" t="str">
        <f>IF(TITLE_NAME_OR_PR_CHANGE="",IF(TITLE_NAME_OR_PR="","",TITLE_NAME_OR_PR),TITLE_NAME_OR_PR_CHANGE)</f>
        <v>Комитет по тарифному регулированию Мурманской области</v>
      </c>
      <c r="AE29" s="2252"/>
      <c r="AF29" s="2252"/>
      <c r="AG29" s="2252"/>
      <c r="AH29" s="2252"/>
      <c r="AI29" s="2252"/>
      <c r="AJ29" s="2252"/>
      <c r="AK29" s="1636"/>
      <c r="AL29" s="1636"/>
      <c r="AM29" s="281"/>
      <c r="AN29" s="369"/>
      <c r="AO29" s="369"/>
      <c r="AP29" s="369"/>
      <c r="AQ29" s="369"/>
      <c r="AR29" s="369"/>
      <c r="AS29" s="419">
        <v>0</v>
      </c>
    </row>
    <row s="1854" customFormat="1" customHeight="1" ht="18.75" hidden="1">
      <c r="A30" s="1249"/>
      <c r="B30" s="1249"/>
      <c r="C30" s="1249"/>
      <c r="D30" s="1249"/>
      <c r="E30" s="1249"/>
      <c r="F30" s="1249"/>
      <c r="G30" s="1249"/>
      <c r="H30" s="1249"/>
      <c r="I30" s="1249"/>
      <c r="J30" s="1249"/>
      <c r="K30" s="1249"/>
      <c r="L30" s="1381"/>
      <c r="M30" s="1249"/>
      <c r="N30" s="1249"/>
      <c r="O30" s="1249"/>
      <c r="S30" s="2251" t="s">
        <v>550</v>
      </c>
      <c r="T30" s="2251"/>
      <c r="U30" s="1373"/>
      <c r="V30" s="2265" t="str">
        <f>IF(TITLE_DATE_PR_CHANGE="",IF(TITLE_DATE_PR="","",TITLE_DATE_PR),TITLE_DATE_PR_CHANGE)</f>
        <v>46010</v>
      </c>
      <c r="W30" s="2265"/>
      <c r="X30" s="2265"/>
      <c r="Y30" s="2265"/>
      <c r="Z30" s="2265"/>
      <c r="AA30" s="2265"/>
      <c r="AB30" s="2265"/>
      <c r="AC30" s="1636"/>
      <c r="AD30" s="2265" t="str">
        <f>IF(TITLE_DATE_PR_CHANGE="",IF(TITLE_DATE_PR="","",TITLE_DATE_PR),TITLE_DATE_PR_CHANGE)</f>
        <v>46010</v>
      </c>
      <c r="AE30" s="2265"/>
      <c r="AF30" s="2265"/>
      <c r="AG30" s="2265"/>
      <c r="AH30" s="2265"/>
      <c r="AI30" s="2265"/>
      <c r="AJ30" s="2265"/>
      <c r="AK30" s="1636"/>
      <c r="AL30" s="1636"/>
      <c r="AM30" s="281"/>
      <c r="AN30" s="369"/>
      <c r="AO30" s="369"/>
      <c r="AP30" s="369"/>
      <c r="AQ30" s="369"/>
      <c r="AR30" s="369"/>
      <c r="AS30" s="419">
        <v>0</v>
      </c>
    </row>
    <row s="1854" customFormat="1" customHeight="1" ht="18.75" hidden="1">
      <c r="A31" s="1249"/>
      <c r="B31" s="1249"/>
      <c r="C31" s="1249"/>
      <c r="D31" s="1249"/>
      <c r="E31" s="1249"/>
      <c r="F31" s="1249"/>
      <c r="G31" s="1249"/>
      <c r="H31" s="1249"/>
      <c r="I31" s="1249"/>
      <c r="J31" s="1249"/>
      <c r="K31" s="1249"/>
      <c r="L31" s="1381"/>
      <c r="M31" s="1249"/>
      <c r="N31" s="1249"/>
      <c r="O31" s="1249"/>
      <c r="S31" s="2251" t="s">
        <v>551</v>
      </c>
      <c r="T31" s="2251"/>
      <c r="U31" s="1373"/>
      <c r="V31" s="2252" t="str">
        <f>IF(TITLE_NUMBER_PR_CHANGE="",IF(TITLE_NUMBER_PR="","",TITLE_NUMBER_PR),TITLE_NUMBER_PR_CHANGE)</f>
        <v>53/77; 53/49</v>
      </c>
      <c r="W31" s="2252"/>
      <c r="X31" s="2252"/>
      <c r="Y31" s="2252"/>
      <c r="Z31" s="2252"/>
      <c r="AA31" s="2252"/>
      <c r="AB31" s="2252"/>
      <c r="AC31" s="1636"/>
      <c r="AD31" s="2252" t="str">
        <f>IF(TITLE_NUMBER_PR_CHANGE="",IF(TITLE_NUMBER_PR="","",TITLE_NUMBER_PR),TITLE_NUMBER_PR_CHANGE)</f>
        <v>53/77; 53/49</v>
      </c>
      <c r="AE31" s="2252"/>
      <c r="AF31" s="2252"/>
      <c r="AG31" s="2252"/>
      <c r="AH31" s="2252"/>
      <c r="AI31" s="2252"/>
      <c r="AJ31" s="2252"/>
      <c r="AK31" s="1636"/>
      <c r="AL31" s="1636"/>
      <c r="AM31" s="281"/>
      <c r="AN31" s="369"/>
      <c r="AO31" s="369"/>
      <c r="AP31" s="369"/>
      <c r="AQ31" s="369"/>
      <c r="AR31" s="369"/>
      <c r="AS31" s="419">
        <v>0</v>
      </c>
    </row>
    <row s="1854" customFormat="1" customHeight="1" ht="18.75" hidden="1">
      <c r="A32" s="1249"/>
      <c r="B32" s="1249"/>
      <c r="C32" s="1249"/>
      <c r="D32" s="1249"/>
      <c r="E32" s="1249"/>
      <c r="F32" s="1249"/>
      <c r="G32" s="1249"/>
      <c r="H32" s="1249"/>
      <c r="I32" s="1249"/>
      <c r="J32" s="1249"/>
      <c r="K32" s="1249"/>
      <c r="L32" s="1381"/>
      <c r="M32" s="1249"/>
      <c r="N32" s="1249"/>
      <c r="O32" s="1249"/>
      <c r="S32" s="2251" t="s">
        <v>44</v>
      </c>
      <c r="T32" s="2251"/>
      <c r="U32" s="1373"/>
      <c r="V32" s="2252" t="str">
        <f>IF(TITLE_IST_PUB_CHANGE="",IF(TITLE_IST_PUB="","",TITLE_IST_PUB),TITLE_IST_PUB_CHANGE)</f>
        <v>Официальный электронный бюллетень Правительства Мурманской области</v>
      </c>
      <c r="W32" s="2252"/>
      <c r="X32" s="2252"/>
      <c r="Y32" s="2252"/>
      <c r="Z32" s="2252"/>
      <c r="AA32" s="2252"/>
      <c r="AB32" s="2252"/>
      <c r="AC32" s="1636"/>
      <c r="AD32" s="2252" t="str">
        <f>IF(TITLE_IST_PUB_CHANGE="",IF(TITLE_IST_PUB="","",TITLE_IST_PUB),TITLE_IST_PUB_CHANGE)</f>
        <v>Официальный электронный бюллетень Правительства Мурманской области</v>
      </c>
      <c r="AE32" s="2252"/>
      <c r="AF32" s="2252"/>
      <c r="AG32" s="2252"/>
      <c r="AH32" s="2252"/>
      <c r="AI32" s="2252"/>
      <c r="AJ32" s="2252"/>
      <c r="AK32" s="1636"/>
      <c r="AL32" s="1636"/>
      <c r="AM32" s="281"/>
      <c r="AN32" s="369"/>
      <c r="AO32" s="369"/>
      <c r="AP32" s="369"/>
      <c r="AQ32" s="369"/>
      <c r="AR32" s="369"/>
      <c r="AS32" s="419">
        <v>0</v>
      </c>
    </row>
    <row customHeight="1" ht="14.25" hidden="1">
      <c r="Q33" s="377"/>
      <c r="R33" s="377"/>
      <c r="S33" s="1276"/>
      <c r="T33" s="458"/>
      <c r="U33" s="458"/>
      <c r="V33" s="323"/>
      <c r="W33" s="323"/>
      <c r="X33" s="323"/>
      <c r="Y33" s="323"/>
      <c r="Z33" s="323"/>
      <c r="AA33" s="323"/>
      <c r="AB33" s="323"/>
      <c r="AC33" s="323"/>
      <c r="AD33" s="323"/>
      <c r="AE33" s="323"/>
      <c r="AF33" s="323"/>
      <c r="AG33" s="323"/>
      <c r="AH33" s="323"/>
      <c r="AI33" s="323"/>
      <c r="AJ33" s="323"/>
      <c r="AK33" s="323"/>
      <c r="AL33" s="1636"/>
      <c r="AS33" s="1632">
        <v>0</v>
      </c>
    </row>
    <row s="1854" customFormat="1" customHeight="1" ht="18.75" hidden="1">
      <c r="A34" s="1249"/>
      <c r="B34" s="1249"/>
      <c r="C34" s="1249"/>
      <c r="D34" s="1249"/>
      <c r="E34" s="1249"/>
      <c r="F34" s="1249"/>
      <c r="G34" s="1249"/>
      <c r="H34" s="1249"/>
      <c r="I34" s="1249"/>
      <c r="J34" s="1249"/>
      <c r="K34" s="1249"/>
      <c r="L34" s="1381"/>
      <c r="M34" s="1249"/>
      <c r="N34" s="1249"/>
      <c r="O34" s="1249"/>
      <c r="S34" s="2251" t="s">
        <v>552</v>
      </c>
      <c r="T34" s="2251"/>
      <c r="U34" s="1373"/>
      <c r="V34" s="2265" t="str">
        <f>IF(TITLE_DATE_PR_CHANGE="",IF(TITLE_DATE_PR="","",TITLE_DATE_PR),TITLE_DATE_PR_CHANGE)</f>
        <v>46010</v>
      </c>
      <c r="W34" s="2265"/>
      <c r="X34" s="2265"/>
      <c r="Y34" s="2265"/>
      <c r="Z34" s="2265"/>
      <c r="AA34" s="2265"/>
      <c r="AB34" s="2265"/>
      <c r="AC34" s="1636"/>
      <c r="AD34" s="2265" t="str">
        <f>IF(TITLE_DATE_PR_CHANGE="",IF(TITLE_DATE_PR="","",TITLE_DATE_PR),TITLE_DATE_PR_CHANGE)</f>
        <v>46010</v>
      </c>
      <c r="AE34" s="2265"/>
      <c r="AF34" s="2265"/>
      <c r="AG34" s="2265"/>
      <c r="AH34" s="2265"/>
      <c r="AI34" s="2265"/>
      <c r="AJ34" s="2265"/>
      <c r="AK34" s="1636"/>
      <c r="AL34" s="1636"/>
      <c r="AM34" s="281"/>
      <c r="AN34" s="369"/>
      <c r="AO34" s="369"/>
      <c r="AP34" s="369"/>
      <c r="AQ34" s="369"/>
      <c r="AR34" s="369"/>
      <c r="AS34" s="419">
        <v>0</v>
      </c>
    </row>
    <row s="1854" customFormat="1" customHeight="1" ht="18.75" hidden="1">
      <c r="A35" s="1249"/>
      <c r="B35" s="1249"/>
      <c r="C35" s="1249"/>
      <c r="D35" s="1249"/>
      <c r="E35" s="1249"/>
      <c r="F35" s="1249"/>
      <c r="G35" s="1249"/>
      <c r="H35" s="1249"/>
      <c r="I35" s="1249"/>
      <c r="J35" s="1249"/>
      <c r="K35" s="1249"/>
      <c r="L35" s="1381"/>
      <c r="M35" s="1249"/>
      <c r="N35" s="1249"/>
      <c r="O35" s="1249"/>
      <c r="S35" s="2251" t="s">
        <v>553</v>
      </c>
      <c r="T35" s="2251"/>
      <c r="U35" s="1373"/>
      <c r="V35" s="2252" t="str">
        <f>IF(TITLE_NUMBER_PR_CHANGE="",IF(TITLE_NUMBER_PR="","",TITLE_NUMBER_PR),TITLE_NUMBER_PR_CHANGE)</f>
        <v>53/77; 53/49</v>
      </c>
      <c r="W35" s="2252"/>
      <c r="X35" s="2252"/>
      <c r="Y35" s="2252"/>
      <c r="Z35" s="2252"/>
      <c r="AA35" s="2252"/>
      <c r="AB35" s="2252"/>
      <c r="AC35" s="1636"/>
      <c r="AD35" s="2252" t="str">
        <f>IF(TITLE_NUMBER_PR_CHANGE="",IF(TITLE_NUMBER_PR="","",TITLE_NUMBER_PR),TITLE_NUMBER_PR_CHANGE)</f>
        <v>53/77; 53/49</v>
      </c>
      <c r="AE35" s="2252"/>
      <c r="AF35" s="2252"/>
      <c r="AG35" s="2252"/>
      <c r="AH35" s="2252"/>
      <c r="AI35" s="2252"/>
      <c r="AJ35" s="2252"/>
      <c r="AK35" s="1636"/>
      <c r="AL35" s="1636"/>
      <c r="AM35" s="281"/>
      <c r="AN35" s="369"/>
      <c r="AO35" s="369"/>
      <c r="AP35" s="369"/>
      <c r="AQ35" s="369"/>
      <c r="AR35" s="369"/>
      <c r="AS35" s="419">
        <v>0</v>
      </c>
    </row>
    <row s="1854" customFormat="1" customHeight="1" ht="0">
      <c r="A36" s="1249"/>
      <c r="B36" s="1249"/>
      <c r="C36" s="1249"/>
      <c r="D36" s="1249"/>
      <c r="E36" s="1249"/>
      <c r="F36" s="1249"/>
      <c r="G36" s="1249"/>
      <c r="H36" s="1249"/>
      <c r="I36" s="1249"/>
      <c r="J36" s="1249"/>
      <c r="K36" s="1249"/>
      <c r="L36" s="1381"/>
      <c r="M36" s="1249"/>
      <c r="N36" s="1249"/>
      <c r="O36" s="1249"/>
      <c r="S36" s="1636"/>
      <c r="T36" s="1636"/>
      <c r="U36" s="1971"/>
      <c r="V36" s="1636"/>
      <c r="W36" s="1636"/>
      <c r="X36" s="1636"/>
      <c r="Y36" s="1636"/>
      <c r="Z36" s="1636"/>
      <c r="AA36" s="1636"/>
      <c r="AB36" s="1636"/>
      <c r="AC36" s="1643" t="s">
        <v>554</v>
      </c>
      <c r="AD36" s="1636"/>
      <c r="AE36" s="1636"/>
      <c r="AF36" s="1636"/>
      <c r="AG36" s="1636"/>
      <c r="AH36" s="1636"/>
      <c r="AI36" s="1636"/>
      <c r="AJ36" s="1636"/>
      <c r="AK36" s="1643" t="s">
        <v>554</v>
      </c>
      <c r="AN36" s="369"/>
      <c r="AO36" s="369"/>
      <c r="AP36" s="369"/>
      <c r="AQ36" s="369"/>
      <c r="AR36" s="369"/>
      <c r="AS36" s="419">
        <v>0</v>
      </c>
    </row>
    <row customHeight="1" ht="14.699999999999998">
      <c r="Q37" s="377"/>
      <c r="R37" s="377"/>
      <c r="S37" s="1276"/>
      <c r="T37" s="458"/>
      <c r="U37" s="1245"/>
      <c r="V37" s="2253"/>
      <c r="W37" s="2253"/>
      <c r="X37" s="2253"/>
      <c r="Y37" s="2253"/>
      <c r="Z37" s="2253"/>
      <c r="AA37" s="2253"/>
      <c r="AB37" s="2253"/>
      <c r="AC37" s="2253"/>
      <c r="AD37" s="2253"/>
      <c r="AE37" s="2253"/>
      <c r="AF37" s="2253"/>
      <c r="AG37" s="2253"/>
      <c r="AH37" s="2253"/>
      <c r="AI37" s="2253"/>
      <c r="AJ37" s="2253"/>
      <c r="AK37" s="2253"/>
      <c r="AS37" s="1632">
        <v>14</v>
      </c>
    </row>
    <row customHeight="1" ht="14.699999999999998">
      <c r="Q38" s="377"/>
      <c r="R38" s="377"/>
      <c r="S38" s="2128" t="s">
        <v>430</v>
      </c>
      <c r="T38" s="2128"/>
      <c r="U38" s="2128"/>
      <c r="V38" s="2128"/>
      <c r="W38" s="2128"/>
      <c r="X38" s="2128"/>
      <c r="Y38" s="2128"/>
      <c r="Z38" s="2128"/>
      <c r="AA38" s="2128"/>
      <c r="AB38" s="2128"/>
      <c r="AC38" s="2128"/>
      <c r="AD38" s="2128"/>
      <c r="AE38" s="2128"/>
      <c r="AF38" s="2128"/>
      <c r="AG38" s="2128"/>
      <c r="AH38" s="2128"/>
      <c r="AI38" s="2128"/>
      <c r="AJ38" s="2128"/>
      <c r="AK38" s="2128"/>
      <c r="AL38" s="2128"/>
      <c r="AM38" s="2128" t="s">
        <v>431</v>
      </c>
      <c r="AS38" s="1632">
        <v>14</v>
      </c>
    </row>
    <row customHeight="1" ht="14.699999999999998">
      <c r="Q39" s="377"/>
      <c r="R39" s="377"/>
      <c r="S39" s="2274" t="s">
        <v>92</v>
      </c>
      <c r="T39" s="2210" t="s">
        <v>555</v>
      </c>
      <c r="U39" s="338"/>
      <c r="V39" s="2275" t="s">
        <v>556</v>
      </c>
      <c r="W39" s="2276"/>
      <c r="X39" s="2276"/>
      <c r="Y39" s="2276"/>
      <c r="Z39" s="2276"/>
      <c r="AA39" s="2276"/>
      <c r="AB39" s="2277"/>
      <c r="AC39" s="2278" t="s">
        <v>557</v>
      </c>
      <c r="AD39" s="2275" t="s">
        <v>556</v>
      </c>
      <c r="AE39" s="2276"/>
      <c r="AF39" s="2276"/>
      <c r="AG39" s="2276"/>
      <c r="AH39" s="2276"/>
      <c r="AI39" s="2276"/>
      <c r="AJ39" s="2277"/>
      <c r="AK39" s="2278" t="s">
        <v>558</v>
      </c>
      <c r="AL39" s="2281" t="s">
        <v>559</v>
      </c>
      <c r="AM39" s="2128"/>
      <c r="AS39" s="1632">
        <v>14</v>
      </c>
    </row>
    <row customHeight="1" ht="35.699999999999996">
      <c r="Q40" s="377"/>
      <c r="R40" s="377"/>
      <c r="S40" s="2274"/>
      <c r="T40" s="2210"/>
      <c r="U40" s="1032"/>
      <c r="V40" s="2261" t="s">
        <v>560</v>
      </c>
      <c r="W40" s="2284" t="s">
        <v>561</v>
      </c>
      <c r="X40" s="2263" t="s">
        <v>562</v>
      </c>
      <c r="Y40" s="2264"/>
      <c r="Z40" s="2263" t="s">
        <v>579</v>
      </c>
      <c r="AA40" s="2270"/>
      <c r="AB40" s="2264"/>
      <c r="AC40" s="2279"/>
      <c r="AD40" s="2261" t="s">
        <v>560</v>
      </c>
      <c r="AE40" s="2284" t="s">
        <v>561</v>
      </c>
      <c r="AF40" s="2263" t="s">
        <v>562</v>
      </c>
      <c r="AG40" s="2264"/>
      <c r="AH40" s="2263" t="s">
        <v>563</v>
      </c>
      <c r="AI40" s="2270"/>
      <c r="AJ40" s="2264"/>
      <c r="AK40" s="2279"/>
      <c r="AL40" s="2282"/>
      <c r="AM40" s="2128"/>
      <c r="AS40" s="1632">
        <v>34</v>
      </c>
    </row>
    <row customHeight="1" ht="35.699999999999996">
      <c r="A41" s="1267"/>
      <c r="B41" s="1267" t="s">
        <v>148</v>
      </c>
      <c r="C41" s="1267" t="s">
        <v>149</v>
      </c>
      <c r="D41" s="1267" t="s">
        <v>150</v>
      </c>
      <c r="E41" s="1311" t="s">
        <v>564</v>
      </c>
      <c r="F41" s="1311" t="s">
        <v>565</v>
      </c>
      <c r="G41" s="1311" t="s">
        <v>566</v>
      </c>
      <c r="H41" s="1311" t="s">
        <v>567</v>
      </c>
      <c r="I41" s="1311" t="s">
        <v>568</v>
      </c>
      <c r="J41" s="1311" t="s">
        <v>569</v>
      </c>
      <c r="K41" s="1311" t="s">
        <v>570</v>
      </c>
      <c r="L41" s="1311" t="s">
        <v>545</v>
      </c>
      <c r="Q41" s="377"/>
      <c r="R41" s="377"/>
      <c r="S41" s="2274"/>
      <c r="T41" s="2210"/>
      <c r="U41" s="303"/>
      <c r="V41" s="2262"/>
      <c r="W41" s="2285"/>
      <c r="X41" s="1939" t="s">
        <v>571</v>
      </c>
      <c r="Y41" s="1939" t="s">
        <v>572</v>
      </c>
      <c r="Z41" s="1939" t="s">
        <v>573</v>
      </c>
      <c r="AA41" s="2271" t="s">
        <v>574</v>
      </c>
      <c r="AB41" s="2272"/>
      <c r="AC41" s="2280"/>
      <c r="AD41" s="2262"/>
      <c r="AE41" s="2285"/>
      <c r="AF41" s="1939" t="s">
        <v>571</v>
      </c>
      <c r="AG41" s="1939" t="s">
        <v>572</v>
      </c>
      <c r="AH41" s="1939" t="s">
        <v>573</v>
      </c>
      <c r="AI41" s="2271" t="s">
        <v>574</v>
      </c>
      <c r="AJ41" s="2272"/>
      <c r="AK41" s="2280"/>
      <c r="AL41" s="2283"/>
      <c r="AM41" s="2128"/>
      <c r="AS41" s="1632">
        <v>34</v>
      </c>
    </row>
    <row s="1642" customFormat="1" customHeight="1" ht="11.25" hidden="1">
      <c r="A42" s="1267"/>
      <c r="B42" s="1267"/>
      <c r="C42" s="1267"/>
      <c r="D42" s="1267"/>
      <c r="E42" s="1267"/>
      <c r="F42" s="1267"/>
      <c r="G42" s="1267"/>
      <c r="H42" s="1267"/>
      <c r="I42" s="1267"/>
      <c r="J42" s="1267"/>
      <c r="K42" s="1267"/>
      <c r="L42" s="1311"/>
      <c r="M42" s="1966"/>
      <c r="N42" s="1966"/>
      <c r="O42" s="1966"/>
      <c r="P42" s="1247"/>
      <c r="Q42" s="1248"/>
      <c r="R42" s="1255">
        <v>1</v>
      </c>
      <c r="S42" s="1278" t="s">
        <v>123</v>
      </c>
      <c r="T42" s="1256" t="s">
        <v>107</v>
      </c>
      <c r="U42" s="1246" t="str">
        <f>OFFSET(U42,0,-1)</f>
        <v>2</v>
      </c>
      <c r="V42" s="1957">
        <f>OFFSET(V42,0,-1)+1</f>
        <v>3</v>
      </c>
      <c r="W42" s="1957"/>
      <c r="X42" s="1957">
        <f>OFFSET(X42,0,-1)+1</f>
        <v>1</v>
      </c>
      <c r="Y42" s="1957">
        <f>OFFSET(Y42,0,-1)+1</f>
        <v>2</v>
      </c>
      <c r="Z42" s="1957">
        <f>OFFSET(Z42,0,-1)+1</f>
        <v>3</v>
      </c>
      <c r="AA42" s="2273">
        <f>OFFSET(AA42,0,-1)+1</f>
        <v>4</v>
      </c>
      <c r="AB42" s="2273"/>
      <c r="AC42" s="1957">
        <f>OFFSET(AC42,0,-2)+1</f>
        <v>5</v>
      </c>
      <c r="AD42" s="1957">
        <f>OFFSET(AD42,0,-1)+1</f>
        <v>6</v>
      </c>
      <c r="AE42" s="1957"/>
      <c r="AF42" s="1957">
        <f>OFFSET(AF42,0,-1)+1</f>
        <v>1</v>
      </c>
      <c r="AG42" s="1957">
        <f>OFFSET(AG42,0,-1)+1</f>
        <v>2</v>
      </c>
      <c r="AH42" s="1957">
        <f>OFFSET(AH42,0,-1)+1</f>
        <v>3</v>
      </c>
      <c r="AI42" s="2273">
        <f>OFFSET(AI42,0,-1)+1</f>
        <v>4</v>
      </c>
      <c r="AJ42" s="2273"/>
      <c r="AK42" s="1957">
        <f>OFFSET(AK42,0,-2)+1</f>
        <v>5</v>
      </c>
      <c r="AL42" s="1246">
        <f>OFFSET(AL42,0,-1)</f>
        <v>5</v>
      </c>
      <c r="AM42" s="1957">
        <f>OFFSET(AM42,0,-1)+1</f>
        <v>6</v>
      </c>
      <c r="AN42" s="1637"/>
      <c r="AO42" s="1637"/>
      <c r="AP42" s="1637"/>
      <c r="AQ42" s="1637"/>
      <c r="AR42" s="1637"/>
      <c r="AS42" s="1642">
        <v>0</v>
      </c>
    </row>
    <row customHeight="1" ht="22.049999999999997">
      <c r="A43" s="1268" t="s">
        <v>342</v>
      </c>
      <c r="B43" s="1268"/>
      <c r="C43" s="1268"/>
      <c r="D43" s="1268"/>
      <c r="E43" s="2290">
        <v>1</v>
      </c>
      <c r="F43" s="1268"/>
      <c r="G43" s="1268"/>
      <c r="H43" s="1268"/>
      <c r="I43" s="1268"/>
      <c r="J43" s="1268"/>
      <c r="K43" s="1268"/>
      <c r="L43" s="1311"/>
      <c r="M43" s="1611"/>
      <c r="N43" s="1611"/>
      <c r="O43" s="1611"/>
      <c r="P43" s="1591"/>
      <c r="Q43" s="361"/>
      <c r="R43" s="356"/>
      <c r="S43" s="1959">
        <f>INDEX(PT_DIFFERENTIATION_NUM_NTAR,MATCH(A43,PT_DIFFERENTIATION_NTAR_ID,0))</f>
        <v>0</v>
      </c>
      <c r="T43" s="1526" t="s">
        <v>136</v>
      </c>
      <c r="U43" s="301"/>
      <c r="V43" s="2243"/>
      <c r="W43" s="2244"/>
      <c r="X43" s="2244"/>
      <c r="Y43" s="2244"/>
      <c r="Z43" s="2244"/>
      <c r="AA43" s="2244"/>
      <c r="AB43" s="2244"/>
      <c r="AC43" s="2245"/>
      <c r="AD43" s="2243" t="str">
        <f>INDEX(PT_DIFFERENTIATION_NTAR,MATCH(A43,PT_DIFFERENTIATION_NTAR_ID,0))</f>
        <v/>
      </c>
      <c r="AE43" s="2244"/>
      <c r="AF43" s="2244"/>
      <c r="AG43" s="2244"/>
      <c r="AH43" s="2244"/>
      <c r="AI43" s="2244"/>
      <c r="AJ43" s="2244"/>
      <c r="AK43" s="2244"/>
      <c r="AL43" s="2245"/>
      <c r="AM43" s="1259"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цены на тепловую энергию (мощность), включая правила индексации предельного уровня цены на тепловую энергию (мощность), 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определяемого в соответствии с указанными 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 (тарифа), источник официального опубликования решения об установлении цены (тарифа) в сфере теплоснабжения.</v>
      </c>
      <c r="AO43" s="1625"/>
      <c r="AP43" s="1625" t="str">
        <f>IF(T43="","",T43)</f>
        <v>Наименование тарифа</v>
      </c>
      <c r="AQ43" s="1625"/>
      <c r="AR43" s="1625"/>
      <c r="AS43" s="1632">
        <v>21</v>
      </c>
    </row>
    <row customHeight="1" ht="22.049999999999997">
      <c r="A44" s="1268" t="s">
        <v>342</v>
      </c>
      <c r="B44" s="1268" t="s">
        <v>343</v>
      </c>
      <c r="C44" s="1268"/>
      <c r="D44" s="1268"/>
      <c r="E44" s="2291"/>
      <c r="F44" s="2290">
        <v>1</v>
      </c>
      <c r="G44" s="1268"/>
      <c r="H44" s="1268"/>
      <c r="I44" s="1268"/>
      <c r="J44" s="1268"/>
      <c r="K44" s="1268"/>
      <c r="L44" s="1311"/>
      <c r="M44" s="1611"/>
      <c r="N44" s="1611"/>
      <c r="O44" s="1611"/>
      <c r="P44" s="1941"/>
      <c r="Q44" s="353"/>
      <c r="R44" s="354"/>
      <c r="S44" s="1959" t="str">
        <f>INDEX(PT_DIFFERENTIATION_NUM_TER,MATCH(B44,PT_DIFFERENTIATION_TER_ID,0))</f>
        <v>.</v>
      </c>
      <c r="T44" s="1523" t="s">
        <v>527</v>
      </c>
      <c r="U44" s="301"/>
      <c r="V44" s="2243"/>
      <c r="W44" s="2244"/>
      <c r="X44" s="2244"/>
      <c r="Y44" s="2244"/>
      <c r="Z44" s="2244"/>
      <c r="AA44" s="2244"/>
      <c r="AB44" s="2244"/>
      <c r="AC44" s="2245"/>
      <c r="AD44" s="2243" t="str">
        <f>INDEX(PT_DIFFERENTIATION_TER,MATCH(B44,PT_DIFFERENTIATION_TER_ID,0))</f>
        <v/>
      </c>
      <c r="AE44" s="2244"/>
      <c r="AF44" s="2244"/>
      <c r="AG44" s="2244"/>
      <c r="AH44" s="2244"/>
      <c r="AI44" s="2244"/>
      <c r="AJ44" s="2244"/>
      <c r="AK44" s="2244"/>
      <c r="AL44" s="2245"/>
      <c r="AM44" s="1259" t="s">
        <v>528</v>
      </c>
      <c r="AO44" s="1625"/>
      <c r="AP44" s="1625" t="str">
        <f>IF(T44="","",T44)</f>
        <v>Территория действия тарифа</v>
      </c>
      <c r="AQ44" s="1625"/>
      <c r="AR44" s="1625"/>
      <c r="AS44" s="1632">
        <v>21</v>
      </c>
    </row>
    <row customHeight="1" ht="24">
      <c r="A45" s="1268" t="s">
        <v>342</v>
      </c>
      <c r="B45" s="1268" t="s">
        <v>343</v>
      </c>
      <c r="C45" s="1268" t="s">
        <v>344</v>
      </c>
      <c r="D45" s="1268"/>
      <c r="E45" s="2291"/>
      <c r="F45" s="2291"/>
      <c r="G45" s="2290">
        <v>1</v>
      </c>
      <c r="H45" s="1268"/>
      <c r="I45" s="1268"/>
      <c r="J45" s="1268"/>
      <c r="K45" s="1268"/>
      <c r="L45" s="1311"/>
      <c r="M45" s="1611"/>
      <c r="N45" s="1611"/>
      <c r="O45" s="1611"/>
      <c r="P45" s="355"/>
      <c r="Q45" s="353"/>
      <c r="R45" s="354"/>
      <c r="S45" s="1959" t="str">
        <f>INDEX(PT_DIFFERENTIATION_NUM_CS,MATCH(C45,PT_DIFFERENTIATION_CS_ID,0))</f>
        <v>..</v>
      </c>
      <c r="T45" s="310" t="s">
        <v>529</v>
      </c>
      <c r="U45" s="301"/>
      <c r="V45" s="2243"/>
      <c r="W45" s="2244"/>
      <c r="X45" s="2244"/>
      <c r="Y45" s="2244"/>
      <c r="Z45" s="2244"/>
      <c r="AA45" s="2244"/>
      <c r="AB45" s="2244"/>
      <c r="AC45" s="2245"/>
      <c r="AD45" s="2243" t="str">
        <f>INDEX(PT_DIFFERENTIATION_CS,MATCH(C45,PT_DIFFERENTIATION_CS_ID,0))</f>
        <v/>
      </c>
      <c r="AE45" s="2244"/>
      <c r="AF45" s="2244"/>
      <c r="AG45" s="2244"/>
      <c r="AH45" s="2244"/>
      <c r="AI45" s="2244"/>
      <c r="AJ45" s="2244"/>
      <c r="AK45" s="2244"/>
      <c r="AL45" s="2245"/>
      <c r="AM45" s="1259" t="s">
        <v>530</v>
      </c>
      <c r="AO45" s="1625"/>
      <c r="AP45" s="1625" t="str">
        <f>IF(T45="","",T45)</f>
        <v>Наименование системы теплоснабжения </v>
      </c>
      <c r="AQ45" s="1625"/>
      <c r="AR45" s="1625"/>
      <c r="AS45" s="1632">
        <v>23</v>
      </c>
    </row>
    <row customHeight="1" ht="22.049999999999997">
      <c r="A46" s="1268" t="s">
        <v>342</v>
      </c>
      <c r="B46" s="1268" t="s">
        <v>343</v>
      </c>
      <c r="C46" s="1268" t="s">
        <v>344</v>
      </c>
      <c r="D46" s="1268" t="s">
        <v>345</v>
      </c>
      <c r="E46" s="2291"/>
      <c r="F46" s="2291"/>
      <c r="G46" s="2291"/>
      <c r="H46" s="2290">
        <v>1</v>
      </c>
      <c r="I46" s="1268"/>
      <c r="J46" s="1268"/>
      <c r="K46" s="1268"/>
      <c r="L46" s="1311"/>
      <c r="M46" s="1611"/>
      <c r="N46" s="1611"/>
      <c r="O46" s="1611"/>
      <c r="P46" s="355"/>
      <c r="Q46" s="353"/>
      <c r="R46" s="354"/>
      <c r="S46" s="1959" t="str">
        <f>INDEX(PT_DIFFERENTIATION_NUM_IST_TE,MATCH(D46,PT_DIFFERENTIATION_IST_TE_ID,0))</f>
        <v>...</v>
      </c>
      <c r="T46" s="311" t="s">
        <v>531</v>
      </c>
      <c r="U46" s="301"/>
      <c r="V46" s="2243"/>
      <c r="W46" s="2244"/>
      <c r="X46" s="2244"/>
      <c r="Y46" s="2244"/>
      <c r="Z46" s="2244"/>
      <c r="AA46" s="2244"/>
      <c r="AB46" s="2244"/>
      <c r="AC46" s="2245"/>
      <c r="AD46" s="2243" t="str">
        <f>INDEX(PT_DIFFERENTIATION_IST_TE,MATCH(D46,PT_DIFFERENTIATION_IST_TE_ID,0))</f>
        <v/>
      </c>
      <c r="AE46" s="2244"/>
      <c r="AF46" s="2244"/>
      <c r="AG46" s="2244"/>
      <c r="AH46" s="2244"/>
      <c r="AI46" s="2244"/>
      <c r="AJ46" s="2244"/>
      <c r="AK46" s="2244"/>
      <c r="AL46" s="2245"/>
      <c r="AM46" s="1259" t="s">
        <v>532</v>
      </c>
      <c r="AO46" s="1625"/>
      <c r="AP46" s="1625" t="str">
        <f>IF(T46="","",T46)</f>
        <v>Источник тепловой энергии  </v>
      </c>
      <c r="AQ46" s="1625"/>
      <c r="AR46" s="1625"/>
      <c r="AS46" s="1632">
        <v>21</v>
      </c>
    </row>
    <row customHeight="1" ht="49.5">
      <c r="A47" s="1268" t="s">
        <v>342</v>
      </c>
      <c r="B47" s="1268" t="s">
        <v>343</v>
      </c>
      <c r="C47" s="1268" t="s">
        <v>344</v>
      </c>
      <c r="D47" s="1268" t="s">
        <v>345</v>
      </c>
      <c r="E47" s="2291"/>
      <c r="F47" s="2291"/>
      <c r="G47" s="2291"/>
      <c r="H47" s="2291"/>
      <c r="I47" s="2128" t="str">
        <f>S46&amp;".1"</f>
        <v>....1</v>
      </c>
      <c r="J47" s="1268"/>
      <c r="K47" s="1268"/>
      <c r="L47" s="1311" t="s">
        <v>533</v>
      </c>
      <c r="P47" s="2258">
        <v>1</v>
      </c>
      <c r="Q47" s="1955"/>
      <c r="R47" s="357"/>
      <c r="S47" s="1959" t="str">
        <f>$I47</f>
        <v>....1</v>
      </c>
      <c r="T47" s="286" t="s">
        <v>534</v>
      </c>
      <c r="U47" s="301"/>
      <c r="V47" s="2246"/>
      <c r="W47" s="2247"/>
      <c r="X47" s="2247"/>
      <c r="Y47" s="2247"/>
      <c r="Z47" s="2247"/>
      <c r="AA47" s="2247"/>
      <c r="AB47" s="2247"/>
      <c r="AC47" s="2248"/>
      <c r="AD47" s="2246"/>
      <c r="AE47" s="2247"/>
      <c r="AF47" s="2247"/>
      <c r="AG47" s="2247"/>
      <c r="AH47" s="2247"/>
      <c r="AI47" s="2247"/>
      <c r="AJ47" s="2247"/>
      <c r="AK47" s="2247"/>
      <c r="AL47" s="2248"/>
      <c r="AM47" s="1259" t="s">
        <v>535</v>
      </c>
      <c r="AO47" s="1625"/>
      <c r="AP47" s="1625" t="str">
        <f>IF(T47="","",T47)</f>
        <v>Схема подключения теплопотребляющей установки к коллектору источника тепловой энергии</v>
      </c>
      <c r="AQ47" s="1625"/>
      <c r="AR47" s="1625"/>
      <c r="AS47" s="1632">
        <v>47</v>
      </c>
    </row>
    <row customHeight="1" ht="22.049999999999997">
      <c r="A48" s="1268" t="s">
        <v>342</v>
      </c>
      <c r="B48" s="1268" t="s">
        <v>343</v>
      </c>
      <c r="C48" s="1268" t="s">
        <v>344</v>
      </c>
      <c r="D48" s="1268" t="s">
        <v>345</v>
      </c>
      <c r="E48" s="2291"/>
      <c r="F48" s="2291"/>
      <c r="G48" s="2291"/>
      <c r="H48" s="2291"/>
      <c r="I48" s="2102"/>
      <c r="J48" s="2128" t="str">
        <f>I47&amp;".1"</f>
        <v>....1.1</v>
      </c>
      <c r="K48" s="1268"/>
      <c r="L48" s="1311" t="s">
        <v>536</v>
      </c>
      <c r="P48" s="2258"/>
      <c r="Q48" s="2258">
        <v>1</v>
      </c>
      <c r="R48" s="358"/>
      <c r="S48" s="1959" t="str">
        <f>$J48</f>
        <v>....1.1</v>
      </c>
      <c r="T48" s="287" t="s">
        <v>537</v>
      </c>
      <c r="U48" s="301"/>
      <c r="V48" s="2246"/>
      <c r="W48" s="2247"/>
      <c r="X48" s="2247"/>
      <c r="Y48" s="2247"/>
      <c r="Z48" s="2247"/>
      <c r="AA48" s="2247"/>
      <c r="AB48" s="2247"/>
      <c r="AC48" s="2248"/>
      <c r="AD48" s="2246"/>
      <c r="AE48" s="2247"/>
      <c r="AF48" s="2247"/>
      <c r="AG48" s="2247"/>
      <c r="AH48" s="2247"/>
      <c r="AI48" s="2247"/>
      <c r="AJ48" s="2247"/>
      <c r="AK48" s="2247"/>
      <c r="AL48" s="2248"/>
      <c r="AM48" s="1259" t="s">
        <v>538</v>
      </c>
      <c r="AO48" s="1625"/>
      <c r="AP48" s="1625" t="str">
        <f>IF(T48="","",T48)</f>
        <v>Группа потребителей</v>
      </c>
      <c r="AQ48" s="1625"/>
      <c r="AR48" s="1625"/>
      <c r="AS48" s="1632">
        <v>21</v>
      </c>
    </row>
    <row customHeight="1" ht="22.049999999999997">
      <c r="A49" s="1268" t="s">
        <v>342</v>
      </c>
      <c r="B49" s="1268" t="s">
        <v>343</v>
      </c>
      <c r="C49" s="1268" t="s">
        <v>344</v>
      </c>
      <c r="D49" s="1268" t="s">
        <v>345</v>
      </c>
      <c r="E49" s="2291"/>
      <c r="F49" s="2291"/>
      <c r="G49" s="2291"/>
      <c r="H49" s="2291"/>
      <c r="I49" s="2102"/>
      <c r="J49" s="2102"/>
      <c r="K49" s="2128" t="str">
        <f>J48&amp;".1"</f>
        <v>....1.1.1</v>
      </c>
      <c r="L49" s="1311" t="s">
        <v>539</v>
      </c>
      <c r="P49" s="2258"/>
      <c r="Q49" s="2258"/>
      <c r="R49" s="358">
        <v>1</v>
      </c>
      <c r="S49" s="1959" t="str">
        <f>$K49</f>
        <v>....1.1.1</v>
      </c>
      <c r="T49" s="1348"/>
      <c r="U49" s="301"/>
      <c r="V49" s="752"/>
      <c r="W49" s="326"/>
      <c r="X49" s="752"/>
      <c r="Y49" s="1258"/>
      <c r="Z49" s="2266"/>
      <c r="AA49" s="2108" t="s">
        <v>65</v>
      </c>
      <c r="AB49" s="2266"/>
      <c r="AC49" s="2108" t="s">
        <v>65</v>
      </c>
      <c r="AD49" s="752"/>
      <c r="AE49" s="326"/>
      <c r="AF49" s="752"/>
      <c r="AG49" s="1258"/>
      <c r="AH49" s="2266"/>
      <c r="AI49" s="2108" t="s">
        <v>65</v>
      </c>
      <c r="AJ49" s="2288"/>
      <c r="AK49" s="2108" t="s">
        <v>65</v>
      </c>
      <c r="AL49" s="1349"/>
      <c r="AM49" s="2254" t="s">
        <v>540</v>
      </c>
      <c r="AN49" s="1637">
        <f>STRCHECKDATE(V50:AL50)</f>
      </c>
      <c r="AO49" s="1625"/>
      <c r="AP49" s="1625" t="str">
        <f>IF(T49="","",T49)</f>
        <v/>
      </c>
      <c r="AQ49" s="1625"/>
      <c r="AR49" s="1625"/>
      <c r="AS49" s="1632">
        <v>21</v>
      </c>
    </row>
    <row customHeight="1" ht="1.05">
      <c r="A50" s="1268" t="s">
        <v>342</v>
      </c>
      <c r="B50" s="1268" t="s">
        <v>343</v>
      </c>
      <c r="C50" s="1268" t="s">
        <v>344</v>
      </c>
      <c r="D50" s="1268" t="s">
        <v>345</v>
      </c>
      <c r="E50" s="2291"/>
      <c r="F50" s="2291"/>
      <c r="G50" s="2291"/>
      <c r="H50" s="2291"/>
      <c r="I50" s="2102"/>
      <c r="J50" s="2102"/>
      <c r="K50" s="2128"/>
      <c r="L50" s="1311"/>
      <c r="P50" s="2258"/>
      <c r="Q50" s="2258"/>
      <c r="R50" s="358"/>
      <c r="S50" s="1968"/>
      <c r="T50" s="301"/>
      <c r="U50" s="301"/>
      <c r="V50" s="326"/>
      <c r="W50" s="326"/>
      <c r="X50" s="326"/>
      <c r="Y50" s="329" t="str">
        <f>Z49&amp;"-"&amp;AB49</f>
        <v>-</v>
      </c>
      <c r="Z50" s="2267"/>
      <c r="AA50" s="2108"/>
      <c r="AB50" s="2267"/>
      <c r="AC50" s="2108"/>
      <c r="AD50" s="326"/>
      <c r="AE50" s="326"/>
      <c r="AF50" s="326"/>
      <c r="AG50" s="329" t="str">
        <f>AH49&amp;"-"&amp;AJ49</f>
        <v>-</v>
      </c>
      <c r="AH50" s="2267"/>
      <c r="AI50" s="2108"/>
      <c r="AJ50" s="2289"/>
      <c r="AK50" s="2108"/>
      <c r="AL50" s="1350"/>
      <c r="AM50" s="2255"/>
      <c r="AO50" s="1625"/>
      <c r="AP50" s="1625" t="str">
        <f>IF(T50="","",T50)</f>
        <v/>
      </c>
      <c r="AQ50" s="1625"/>
      <c r="AR50" s="1625"/>
      <c r="AS50" s="1632">
        <v>1</v>
      </c>
    </row>
    <row customHeight="1" ht="11.549999999999999">
      <c r="A51" s="1268" t="s">
        <v>342</v>
      </c>
      <c r="B51" s="1268" t="s">
        <v>343</v>
      </c>
      <c r="C51" s="1268" t="s">
        <v>344</v>
      </c>
      <c r="D51" s="1268" t="s">
        <v>345</v>
      </c>
      <c r="E51" s="2291"/>
      <c r="F51" s="2291"/>
      <c r="G51" s="2291"/>
      <c r="H51" s="2291"/>
      <c r="I51" s="2102"/>
      <c r="J51" s="2128"/>
      <c r="K51" s="1268"/>
      <c r="L51" s="1311"/>
      <c r="P51" s="2258"/>
      <c r="Q51" s="2258"/>
      <c r="R51" s="357"/>
      <c r="S51" s="1279"/>
      <c r="T51" s="289" t="s">
        <v>541</v>
      </c>
      <c r="U51" s="601"/>
      <c r="V51" s="601"/>
      <c r="W51" s="601"/>
      <c r="X51" s="601"/>
      <c r="Y51" s="601"/>
      <c r="Z51" s="601"/>
      <c r="AA51" s="601"/>
      <c r="AB51" s="601"/>
      <c r="AC51" s="601"/>
      <c r="AD51" s="601"/>
      <c r="AE51" s="601"/>
      <c r="AF51" s="601"/>
      <c r="AG51" s="601"/>
      <c r="AH51" s="601"/>
      <c r="AI51" s="601"/>
      <c r="AJ51" s="601"/>
      <c r="AK51" s="601"/>
      <c r="AL51" s="325"/>
      <c r="AM51" s="2256"/>
      <c r="AO51" s="1625"/>
      <c r="AP51" s="1625" t="str">
        <f>IF(T51="","",T51)</f>
        <v>Добавить вид теплоносителя (параметры теплоносителя)</v>
      </c>
      <c r="AQ51" s="1625"/>
      <c r="AR51" s="1625"/>
      <c r="AS51" s="1632">
        <v>11</v>
      </c>
    </row>
    <row customHeight="1" ht="11.549999999999999">
      <c r="A52" s="1268" t="s">
        <v>342</v>
      </c>
      <c r="B52" s="1268" t="s">
        <v>343</v>
      </c>
      <c r="C52" s="1268" t="s">
        <v>344</v>
      </c>
      <c r="D52" s="1268" t="s">
        <v>345</v>
      </c>
      <c r="E52" s="2291"/>
      <c r="F52" s="2291"/>
      <c r="G52" s="2291"/>
      <c r="H52" s="2291"/>
      <c r="I52" s="2128"/>
      <c r="J52" s="1268"/>
      <c r="K52" s="1268"/>
      <c r="L52" s="1311"/>
      <c r="P52" s="2258"/>
      <c r="Q52" s="1955"/>
      <c r="R52" s="357"/>
      <c r="S52" s="1279"/>
      <c r="T52" s="288" t="s">
        <v>542</v>
      </c>
      <c r="U52" s="601"/>
      <c r="V52" s="601"/>
      <c r="W52" s="601"/>
      <c r="X52" s="601"/>
      <c r="Y52" s="601"/>
      <c r="Z52" s="601"/>
      <c r="AA52" s="601"/>
      <c r="AB52" s="601"/>
      <c r="AC52" s="367"/>
      <c r="AD52" s="601"/>
      <c r="AE52" s="601"/>
      <c r="AF52" s="601"/>
      <c r="AG52" s="601"/>
      <c r="AH52" s="601"/>
      <c r="AI52" s="601"/>
      <c r="AJ52" s="601"/>
      <c r="AK52" s="367"/>
      <c r="AL52" s="601"/>
      <c r="AM52" s="304"/>
      <c r="AO52" s="1625"/>
      <c r="AP52" s="1625" t="str">
        <f>IF(T52="","",T52)</f>
        <v>Добавить группу потребителей</v>
      </c>
      <c r="AQ52" s="1625"/>
      <c r="AR52" s="1625"/>
      <c r="AS52" s="1632">
        <v>11</v>
      </c>
    </row>
    <row customHeight="1" ht="14.699999999999998">
      <c r="A53" s="1268" t="s">
        <v>342</v>
      </c>
      <c r="B53" s="1268" t="s">
        <v>343</v>
      </c>
      <c r="C53" s="1268" t="s">
        <v>344</v>
      </c>
      <c r="D53" s="1268" t="s">
        <v>345</v>
      </c>
      <c r="E53" s="2291"/>
      <c r="F53" s="2291"/>
      <c r="G53" s="2291"/>
      <c r="H53" s="2290"/>
      <c r="I53" s="1268"/>
      <c r="J53" s="1268"/>
      <c r="K53" s="1268"/>
      <c r="L53" s="1311"/>
      <c r="M53" s="1611"/>
      <c r="N53" s="1611"/>
      <c r="O53" s="1636"/>
      <c r="P53" s="361"/>
      <c r="Q53" s="376"/>
      <c r="R53" s="356"/>
      <c r="S53" s="1279"/>
      <c r="T53" s="366" t="s">
        <v>543</v>
      </c>
      <c r="U53" s="601"/>
      <c r="V53" s="601"/>
      <c r="W53" s="601"/>
      <c r="X53" s="601"/>
      <c r="Y53" s="601"/>
      <c r="Z53" s="601"/>
      <c r="AA53" s="601"/>
      <c r="AB53" s="601"/>
      <c r="AC53" s="367"/>
      <c r="AD53" s="601"/>
      <c r="AE53" s="601"/>
      <c r="AF53" s="601"/>
      <c r="AG53" s="601"/>
      <c r="AH53" s="601"/>
      <c r="AI53" s="601"/>
      <c r="AJ53" s="601"/>
      <c r="AK53" s="367"/>
      <c r="AL53" s="601"/>
      <c r="AM53" s="304"/>
      <c r="AO53" s="1625"/>
      <c r="AP53" s="1625" t="str">
        <f>IF(T53="","",T53)</f>
        <v>Добавить схему подключения</v>
      </c>
      <c r="AQ53" s="1625"/>
      <c r="AR53" s="1625"/>
      <c r="AS53" s="1632">
        <v>14</v>
      </c>
    </row>
    <row s="1643" customFormat="1" customHeight="1" ht="1.05">
      <c r="A54" s="1268" t="s">
        <v>342</v>
      </c>
      <c r="B54" s="1268" t="s">
        <v>343</v>
      </c>
      <c r="C54" s="1268" t="s">
        <v>344</v>
      </c>
      <c r="D54" s="1975"/>
      <c r="E54" s="2291"/>
      <c r="F54" s="2291"/>
      <c r="G54" s="2290"/>
      <c r="H54" s="1975"/>
      <c r="I54" s="1975"/>
      <c r="J54" s="1975"/>
      <c r="K54" s="1975"/>
      <c r="L54" s="1381"/>
      <c r="M54" s="1611"/>
      <c r="N54" s="1611"/>
      <c r="O54" s="1636"/>
      <c r="P54" s="1317"/>
      <c r="Q54" s="1318"/>
      <c r="R54" s="1317"/>
      <c r="S54" s="1323"/>
      <c r="T54" s="1326" t="s">
        <v>177</v>
      </c>
      <c r="U54" s="1325"/>
      <c r="V54" s="1325"/>
      <c r="W54" s="1325"/>
      <c r="X54" s="1325"/>
      <c r="Y54" s="1325"/>
      <c r="Z54" s="1325"/>
      <c r="AA54" s="1325"/>
      <c r="AB54" s="1325"/>
      <c r="AC54" s="1325"/>
      <c r="AD54" s="1325"/>
      <c r="AE54" s="1325"/>
      <c r="AF54" s="1325"/>
      <c r="AG54" s="1325"/>
      <c r="AH54" s="1325"/>
      <c r="AI54" s="1325"/>
      <c r="AJ54" s="1325"/>
      <c r="AK54" s="1325"/>
      <c r="AL54" s="1325"/>
      <c r="AM54" s="1325"/>
      <c r="AO54" s="1252"/>
      <c r="AP54" s="1252" t="str">
        <f>IF(T54="","",T54)</f>
        <v>Добавить источник для дифференциации</v>
      </c>
      <c r="AQ54" s="1252"/>
      <c r="AR54" s="1252"/>
      <c r="AS54" s="1643">
        <v>1</v>
      </c>
    </row>
    <row s="1643" customFormat="1" customHeight="1" ht="1.05">
      <c r="A55" s="1268" t="s">
        <v>342</v>
      </c>
      <c r="B55" s="1268" t="s">
        <v>343</v>
      </c>
      <c r="C55" s="1975"/>
      <c r="D55" s="1975"/>
      <c r="E55" s="2291"/>
      <c r="F55" s="2290"/>
      <c r="G55" s="1975"/>
      <c r="H55" s="1975"/>
      <c r="I55" s="1975"/>
      <c r="J55" s="1975"/>
      <c r="K55" s="1975"/>
      <c r="L55" s="1381"/>
      <c r="M55" s="1976"/>
      <c r="N55" s="1976"/>
      <c r="O55" s="1636"/>
      <c r="P55" s="1317"/>
      <c r="Q55" s="1318"/>
      <c r="R55" s="1317"/>
      <c r="S55" s="1323"/>
      <c r="T55" s="1326" t="s">
        <v>178</v>
      </c>
      <c r="U55" s="1325"/>
      <c r="V55" s="1325"/>
      <c r="W55" s="1325"/>
      <c r="X55" s="1325"/>
      <c r="Y55" s="1325"/>
      <c r="Z55" s="1325"/>
      <c r="AA55" s="1325"/>
      <c r="AB55" s="1325"/>
      <c r="AC55" s="1325"/>
      <c r="AD55" s="1325"/>
      <c r="AE55" s="1325"/>
      <c r="AF55" s="1325"/>
      <c r="AG55" s="1325"/>
      <c r="AH55" s="1325"/>
      <c r="AI55" s="1325"/>
      <c r="AJ55" s="1325"/>
      <c r="AK55" s="1325"/>
      <c r="AL55" s="1325"/>
      <c r="AM55" s="1325"/>
      <c r="AO55" s="1252"/>
      <c r="AP55" s="1252" t="str">
        <f>IF(T55="","",T55)</f>
        <v>Добавить централизованную систему для дифференциации</v>
      </c>
      <c r="AQ55" s="1252"/>
      <c r="AR55" s="1252"/>
      <c r="AS55" s="1643">
        <v>1</v>
      </c>
    </row>
    <row s="1643" customFormat="1" customHeight="1" ht="1.05">
      <c r="A56" s="1268" t="s">
        <v>342</v>
      </c>
      <c r="B56" s="1268"/>
      <c r="C56" s="1268"/>
      <c r="D56" s="1268"/>
      <c r="E56" s="2290"/>
      <c r="F56" s="1268"/>
      <c r="G56" s="1268"/>
      <c r="H56" s="1268"/>
      <c r="I56" s="1268"/>
      <c r="J56" s="1268"/>
      <c r="K56" s="1268"/>
      <c r="L56" s="1311"/>
      <c r="M56" s="1976"/>
      <c r="N56" s="1976"/>
      <c r="O56" s="1636"/>
      <c r="P56" s="381"/>
      <c r="Q56" s="1345"/>
      <c r="R56" s="381"/>
      <c r="S56" s="1323"/>
      <c r="T56" s="1326" t="s">
        <v>183</v>
      </c>
      <c r="U56" s="1325"/>
      <c r="V56" s="1325"/>
      <c r="W56" s="1325"/>
      <c r="X56" s="1325"/>
      <c r="Y56" s="1325"/>
      <c r="Z56" s="1325"/>
      <c r="AA56" s="1325"/>
      <c r="AB56" s="1325"/>
      <c r="AC56" s="1325"/>
      <c r="AD56" s="1325"/>
      <c r="AE56" s="1325"/>
      <c r="AF56" s="1325"/>
      <c r="AG56" s="1325"/>
      <c r="AH56" s="1325"/>
      <c r="AI56" s="1325"/>
      <c r="AJ56" s="1325"/>
      <c r="AK56" s="1325"/>
      <c r="AL56" s="1325"/>
      <c r="AM56" s="1325"/>
      <c r="AO56" s="1625"/>
      <c r="AP56" s="1625" t="str">
        <f>IF(T56="","",T56)</f>
        <v>Добавить территорию для дифференциации</v>
      </c>
      <c r="AQ56" s="1625"/>
      <c r="AR56" s="1625"/>
      <c r="AS56" s="1637">
        <v>1</v>
      </c>
    </row>
    <row s="1643" customFormat="1" customHeight="1" ht="1.05">
      <c r="A57" s="1975"/>
      <c r="B57" s="1975"/>
      <c r="C57" s="1975"/>
      <c r="D57" s="1975"/>
      <c r="E57" s="1268"/>
      <c r="F57" s="1975"/>
      <c r="G57" s="1975"/>
      <c r="H57" s="1975"/>
      <c r="I57" s="1975"/>
      <c r="J57" s="1975"/>
      <c r="K57" s="1975"/>
      <c r="L57" s="1381"/>
      <c r="M57" s="1976"/>
      <c r="N57" s="1976"/>
      <c r="O57" s="1636"/>
      <c r="P57" s="1317"/>
      <c r="Q57" s="1318"/>
      <c r="R57" s="1317"/>
      <c r="S57" s="1323"/>
      <c r="T57" s="1326" t="s">
        <v>222</v>
      </c>
      <c r="U57" s="1325"/>
      <c r="V57" s="1325"/>
      <c r="W57" s="1325"/>
      <c r="X57" s="1325"/>
      <c r="Y57" s="1325"/>
      <c r="Z57" s="1325"/>
      <c r="AA57" s="1325"/>
      <c r="AB57" s="1325"/>
      <c r="AC57" s="1325"/>
      <c r="AD57" s="1325"/>
      <c r="AE57" s="1325"/>
      <c r="AF57" s="1325"/>
      <c r="AG57" s="1325"/>
      <c r="AH57" s="1325"/>
      <c r="AI57" s="1325"/>
      <c r="AJ57" s="1325"/>
      <c r="AK57" s="1325"/>
      <c r="AL57" s="1325"/>
      <c r="AM57" s="1325"/>
      <c r="AO57" s="1252"/>
      <c r="AP57" s="1252" t="str">
        <f>IF(T57="","",T57)</f>
        <v>Добавить наименование тарифа</v>
      </c>
      <c r="AQ57" s="1252"/>
      <c r="AR57" s="1252"/>
      <c r="AS57" s="1643">
        <v>1</v>
      </c>
    </row>
    <row customHeight="1" ht="11.549999999999999">
      <c r="M58" s="1632"/>
      <c r="N58" s="1632"/>
      <c r="O58" s="1636"/>
      <c r="P58" s="1632"/>
      <c r="Q58" s="1632"/>
      <c r="R58" s="1632"/>
      <c r="S58" s="1632"/>
      <c r="AN58" s="1632"/>
      <c r="AO58" s="1632"/>
      <c r="AP58" s="1632"/>
      <c r="AQ58" s="1632"/>
      <c r="AR58" s="1632"/>
      <c r="AS58" s="1632">
        <v>11</v>
      </c>
    </row>
    <row customHeight="1" ht="28.5">
      <c r="O59" s="1636"/>
      <c r="S59" s="1254"/>
      <c r="T59" s="2286"/>
      <c r="U59" s="2286"/>
      <c r="V59" s="2286"/>
      <c r="W59" s="2286"/>
      <c r="X59" s="2286"/>
      <c r="Y59" s="2286"/>
      <c r="Z59" s="2286"/>
      <c r="AA59" s="2286"/>
      <c r="AB59" s="2286"/>
      <c r="AC59" s="2286"/>
      <c r="AD59" s="2286"/>
      <c r="AE59" s="2286"/>
      <c r="AF59" s="2286"/>
      <c r="AG59" s="2286"/>
      <c r="AH59" s="2286"/>
      <c r="AI59" s="2286"/>
      <c r="AJ59" s="2286"/>
      <c r="AK59" s="2286"/>
      <c r="AL59" s="2286"/>
      <c r="AM59" s="2286"/>
      <c r="AS59" s="1632">
        <v>27</v>
      </c>
    </row>
    <row customHeight="1" ht="65.25">
      <c r="O60" s="1636"/>
      <c r="T60" s="2286"/>
      <c r="U60" s="2286"/>
      <c r="V60" s="2286"/>
      <c r="W60" s="2286"/>
      <c r="X60" s="2286"/>
      <c r="Y60" s="2286"/>
      <c r="Z60" s="2286"/>
      <c r="AA60" s="2286"/>
      <c r="AB60" s="2286"/>
      <c r="AC60" s="2286"/>
      <c r="AD60" s="2286"/>
      <c r="AE60" s="2286"/>
      <c r="AF60" s="2286"/>
      <c r="AG60" s="2286"/>
      <c r="AH60" s="2286"/>
      <c r="AI60" s="2286"/>
      <c r="AJ60" s="2286"/>
      <c r="AK60" s="2286"/>
      <c r="AL60" s="2286"/>
      <c r="AM60" s="2286"/>
      <c r="AS60" s="1632">
        <v>62</v>
      </c>
    </row>
    <row customHeight="1" ht="14.699999999999998">
      <c r="O61" s="1636"/>
      <c r="AS61" s="1632">
        <v>14</v>
      </c>
    </row>
    <row customHeight="1" ht="18.75">
      <c r="O62" s="1636"/>
      <c r="S62" s="1254"/>
      <c r="T62" s="2286"/>
      <c r="U62" s="2286"/>
      <c r="V62" s="2286"/>
      <c r="W62" s="2286"/>
      <c r="X62" s="2286"/>
      <c r="Y62" s="2286"/>
      <c r="Z62" s="2286"/>
      <c r="AA62" s="2286"/>
      <c r="AB62" s="2286"/>
      <c r="AC62" s="2286"/>
      <c r="AD62" s="2286"/>
      <c r="AE62" s="2286"/>
      <c r="AF62" s="2286"/>
      <c r="AG62" s="2286"/>
      <c r="AH62" s="2286"/>
      <c r="AI62" s="2286"/>
      <c r="AJ62" s="2286"/>
      <c r="AK62" s="2286"/>
      <c r="AL62" s="2286"/>
      <c r="AM62" s="2286"/>
      <c r="AS62" s="1632">
        <v>18</v>
      </c>
    </row>
    <row customHeight="1" ht="18.75">
      <c r="O63" s="1636"/>
      <c r="T63" s="2286"/>
      <c r="U63" s="2286"/>
      <c r="V63" s="2286"/>
      <c r="W63" s="2286"/>
      <c r="X63" s="2286"/>
      <c r="Y63" s="2286"/>
      <c r="Z63" s="2286"/>
      <c r="AA63" s="2286"/>
      <c r="AB63" s="2286"/>
      <c r="AC63" s="2286"/>
      <c r="AD63" s="2286"/>
      <c r="AE63" s="2286"/>
      <c r="AF63" s="2286"/>
      <c r="AG63" s="2286"/>
      <c r="AH63" s="2286"/>
      <c r="AI63" s="2286"/>
      <c r="AJ63" s="2286"/>
      <c r="AK63" s="2286"/>
      <c r="AL63" s="2286"/>
      <c r="AM63" s="2286"/>
      <c r="AS63" s="1632">
        <v>18</v>
      </c>
    </row>
    <row customHeight="1" ht="29.25">
      <c r="O64" s="1636"/>
      <c r="S64" s="1254"/>
      <c r="T64" s="2286"/>
      <c r="U64" s="2286"/>
      <c r="V64" s="2286"/>
      <c r="W64" s="2286"/>
      <c r="X64" s="2286"/>
      <c r="Y64" s="2286"/>
      <c r="Z64" s="2286"/>
      <c r="AA64" s="2286"/>
      <c r="AB64" s="2286"/>
      <c r="AC64" s="2286"/>
      <c r="AD64" s="2286"/>
      <c r="AE64" s="2286"/>
      <c r="AF64" s="2286"/>
      <c r="AG64" s="2286"/>
      <c r="AH64" s="2286"/>
      <c r="AI64" s="2286"/>
      <c r="AJ64" s="2286"/>
      <c r="AK64" s="2286"/>
      <c r="AL64" s="2286"/>
      <c r="AM64" s="2286"/>
      <c r="AS64" s="1632">
        <v>28</v>
      </c>
    </row>
    <row customHeight="1" ht="22.5" hidden="1">
      <c r="A65" s="1632" t="s">
        <v>86</v>
      </c>
      <c r="B65" s="1632">
        <v>0</v>
      </c>
      <c r="C65" s="1632">
        <v>0</v>
      </c>
      <c r="D65" s="1632">
        <v>0</v>
      </c>
      <c r="E65" s="1632">
        <v>0</v>
      </c>
      <c r="F65" s="1632">
        <v>0</v>
      </c>
      <c r="G65" s="1632">
        <v>0</v>
      </c>
      <c r="H65" s="1632">
        <v>0</v>
      </c>
      <c r="I65" s="1632">
        <v>0</v>
      </c>
      <c r="J65" s="1632">
        <v>0</v>
      </c>
      <c r="K65" s="1632">
        <v>0</v>
      </c>
      <c r="L65" s="1940">
        <v>0</v>
      </c>
      <c r="M65" s="1966">
        <v>0</v>
      </c>
      <c r="N65" s="1966">
        <v>0</v>
      </c>
      <c r="O65" s="1966">
        <v>0</v>
      </c>
      <c r="P65" s="1966">
        <v>3</v>
      </c>
      <c r="Q65" s="345">
        <v>3</v>
      </c>
      <c r="R65" s="345">
        <v>3</v>
      </c>
      <c r="S65" s="582">
        <v>12</v>
      </c>
      <c r="T65" s="1632">
        <v>31</v>
      </c>
      <c r="U65" s="1632">
        <v>0</v>
      </c>
      <c r="V65" s="1632">
        <v>0</v>
      </c>
      <c r="W65" s="1632">
        <v>0</v>
      </c>
      <c r="X65" s="1632">
        <v>0</v>
      </c>
      <c r="Y65" s="1632">
        <v>0</v>
      </c>
      <c r="Z65" s="1632">
        <v>0</v>
      </c>
      <c r="AA65" s="1632">
        <v>0</v>
      </c>
      <c r="AB65" s="1632">
        <v>0</v>
      </c>
      <c r="AC65" s="1632">
        <v>0</v>
      </c>
      <c r="AD65" s="1632">
        <v>24</v>
      </c>
      <c r="AE65" s="1632">
        <v>0</v>
      </c>
      <c r="AF65" s="1632">
        <v>24</v>
      </c>
      <c r="AG65" s="1632">
        <v>24</v>
      </c>
      <c r="AH65" s="1632">
        <v>11</v>
      </c>
      <c r="AI65" s="1632">
        <v>3</v>
      </c>
      <c r="AJ65" s="1632">
        <v>11</v>
      </c>
      <c r="AK65" s="1632">
        <v>0</v>
      </c>
      <c r="AL65" s="1632">
        <v>4</v>
      </c>
      <c r="AM65" s="1632">
        <v>115</v>
      </c>
      <c r="AN65" s="1637">
        <v>10</v>
      </c>
      <c r="AO65" s="1637">
        <v>10</v>
      </c>
      <c r="AP65" s="1637">
        <v>10</v>
      </c>
      <c r="AQ65" s="1637">
        <v>10</v>
      </c>
      <c r="AR65" s="1637">
        <v>10</v>
      </c>
      <c r="AS65" s="1632">
        <v>23</v>
      </c>
    </row>
  </sheetData>
  <sheetProtection sort="0" autoFilter="0" insertRows="0" insertColumns="1" deleteRows="0" deleteColumns="0"/>
  <mergeCells count="112">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 ref="J7:J10"/>
    <mergeCell ref="Q7:Q10"/>
    <mergeCell ref="V7:AC7"/>
    <mergeCell ref="AD7:AL7"/>
    <mergeCell ref="AK8:AK9"/>
    <mergeCell ref="AM8:AM10"/>
    <mergeCell ref="AH17:AH18"/>
    <mergeCell ref="AI17:AI18"/>
    <mergeCell ref="AJ17:AJ18"/>
    <mergeCell ref="AK17:AK18"/>
    <mergeCell ref="K8:K9"/>
    <mergeCell ref="Z8:Z9"/>
    <mergeCell ref="AA8:AA9"/>
    <mergeCell ref="AB8:AB9"/>
    <mergeCell ref="AC8:AC9"/>
    <mergeCell ref="AH8:AH9"/>
    <mergeCell ref="S26:AJ26"/>
    <mergeCell ref="S27:AJ27"/>
    <mergeCell ref="S29:T29"/>
    <mergeCell ref="V29:AB29"/>
    <mergeCell ref="AD29:AJ29"/>
    <mergeCell ref="S30:T30"/>
    <mergeCell ref="V30:AB30"/>
    <mergeCell ref="AD30:AJ30"/>
    <mergeCell ref="AI8:AI9"/>
    <mergeCell ref="AJ8:AJ9"/>
    <mergeCell ref="S34:T34"/>
    <mergeCell ref="V34:AB34"/>
    <mergeCell ref="AD34:AJ34"/>
    <mergeCell ref="S35:T35"/>
    <mergeCell ref="V35:AB35"/>
    <mergeCell ref="AD35:AJ35"/>
    <mergeCell ref="S31:T31"/>
    <mergeCell ref="V31:AB31"/>
    <mergeCell ref="AD31:AJ31"/>
    <mergeCell ref="S32:T32"/>
    <mergeCell ref="V32:AB32"/>
    <mergeCell ref="AD32:AJ32"/>
    <mergeCell ref="V37:AC37"/>
    <mergeCell ref="AD37:AK37"/>
    <mergeCell ref="S38:AL38"/>
    <mergeCell ref="AM38:AM41"/>
    <mergeCell ref="S39:S41"/>
    <mergeCell ref="T39:T41"/>
    <mergeCell ref="V39:AB39"/>
    <mergeCell ref="AC39:AC41"/>
    <mergeCell ref="AD39:AJ39"/>
    <mergeCell ref="AK39:AK41"/>
    <mergeCell ref="E43:E56"/>
    <mergeCell ref="V43:AC43"/>
    <mergeCell ref="AD43:AL43"/>
    <mergeCell ref="F44:F55"/>
    <mergeCell ref="V44:AC44"/>
    <mergeCell ref="AD44:AL44"/>
    <mergeCell ref="G45:G54"/>
    <mergeCell ref="AL39:AL41"/>
    <mergeCell ref="V40:V41"/>
    <mergeCell ref="W40:W41"/>
    <mergeCell ref="X40:Y40"/>
    <mergeCell ref="Z40:AB40"/>
    <mergeCell ref="AD40:AD41"/>
    <mergeCell ref="AE40:AE41"/>
    <mergeCell ref="AF40:AG40"/>
    <mergeCell ref="AH40:AJ40"/>
    <mergeCell ref="AA41:AB41"/>
    <mergeCell ref="H46:H53"/>
    <mergeCell ref="V46:AC46"/>
    <mergeCell ref="AD46:AL46"/>
    <mergeCell ref="I47:I52"/>
    <mergeCell ref="P47:P52"/>
    <mergeCell ref="V47:AC47"/>
    <mergeCell ref="AD47:AL47"/>
    <mergeCell ref="J48:J51"/>
    <mergeCell ref="AI41:AJ41"/>
    <mergeCell ref="AA42:AB42"/>
    <mergeCell ref="AI42:AJ42"/>
    <mergeCell ref="K49:K50"/>
    <mergeCell ref="Z49:Z50"/>
    <mergeCell ref="AA49:AA50"/>
    <mergeCell ref="AB49:AB50"/>
    <mergeCell ref="AC49:AC50"/>
    <mergeCell ref="AH49:AH50"/>
    <mergeCell ref="AI49:AI50"/>
    <mergeCell ref="V45:AC45"/>
    <mergeCell ref="AD45:AL45"/>
    <mergeCell ref="T63:AM63"/>
    <mergeCell ref="T64:AM64"/>
    <mergeCell ref="AJ49:AJ50"/>
    <mergeCell ref="AK49:AK50"/>
    <mergeCell ref="AM49:AM51"/>
    <mergeCell ref="T59:AM59"/>
    <mergeCell ref="T60:AM60"/>
    <mergeCell ref="T62:AM62"/>
    <mergeCell ref="Q48:Q51"/>
    <mergeCell ref="V48:AC48"/>
    <mergeCell ref="AD48:AL48"/>
  </mergeCells>
  <dataValidations count="8">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4B228F9-6497-9565-6D5F-973162741E88}" mc:Ignorable="x14ac xr xr2 xr3">
  <sheetPr>
    <tabColor theme="6" tint="0.4"/>
  </sheetPr>
  <dimension ref="A1:AS89"/>
  <sheetViews>
    <sheetView showGridLines="0" zoomScale="90" workbookViewId="0">
      <pane xSplit="29" ySplit="42" topLeftCell="AD64" activePane="bottomRight" state="frozen"/>
      <selection pane="bottomLeft" activeCell="A43" sqref="A43"/>
      <selection pane="topRight" activeCell="AD1" sqref="AD1"/>
      <selection pane="bottomRight" activeCell="AE49" sqref="AE49"/>
    </sheetView>
  </sheetViews>
  <sheetFormatPr defaultColWidth="10.57421875" customHeight="1" defaultRowHeight="14.25"/>
  <cols>
    <col min="1" max="1" style="1367" width="10.57421875" hidden="1"/>
    <col min="2" max="2" style="1367" width="11.00390625" hidden="1" customWidth="1"/>
    <col min="3" max="3" style="1367" width="10.57421875" hidden="1"/>
    <col min="4" max="4" style="1367" width="11.8515625" hidden="1" customWidth="1"/>
    <col min="5" max="5" style="1367" width="10.00390625" hidden="1" customWidth="1"/>
    <col min="6" max="6" style="1367" width="8.7109375" hidden="1" customWidth="1"/>
    <col min="7" max="7" style="1367" width="7.57421875" hidden="1" customWidth="1"/>
    <col min="8" max="8" style="1367" width="11.421875" hidden="1" customWidth="1"/>
    <col min="9" max="9" style="1367" width="12.00390625" hidden="1" customWidth="1"/>
    <col min="10" max="10" style="1367" width="9.8515625" hidden="1" customWidth="1"/>
    <col min="11" max="11" style="1367" width="11.421875" hidden="1" customWidth="1"/>
    <col min="12" max="12" style="2608" width="19.140625" hidden="1" customWidth="1"/>
    <col min="13" max="14" style="1777" width="12.28125" hidden="1" customWidth="1"/>
    <col min="15" max="15" style="1777" width="23.421875" hidden="1" customWidth="1"/>
    <col min="16" max="16" style="2398" width="3.00390625" customWidth="1"/>
    <col min="17" max="18" style="345" width="3.00390625" customWidth="1"/>
    <col min="19" max="19" style="2408" width="12.00390625" customWidth="1"/>
    <col min="20" max="20" style="1636" width="31.00390625" customWidth="1"/>
    <col min="21" max="21" style="1636" width="0.7109375" hidden="1" customWidth="1"/>
    <col min="22" max="22" style="1636" width="1.7109375" hidden="1" customWidth="1"/>
    <col min="23" max="23" style="1636" width="24.7109375" hidden="1" customWidth="1"/>
    <col min="24" max="25" style="1636" width="0.140625" hidden="1" customWidth="1"/>
    <col min="26" max="26" style="1636" width="11.7109375" hidden="1" customWidth="1"/>
    <col min="27" max="27" style="1636" width="3.7109375" hidden="1" customWidth="1"/>
    <col min="28" max="28" style="1636" width="11.7109375" hidden="1" customWidth="1"/>
    <col min="29" max="29" style="1636" width="8.57421875" hidden="1" customWidth="1"/>
    <col min="30" max="30" style="1636" width="0.140625" customWidth="1"/>
    <col min="31" max="31" style="1636" width="24.00390625" customWidth="1"/>
    <col min="32" max="33" style="1636" width="0.140625" customWidth="1"/>
    <col min="34" max="34" style="1636" width="11.00390625" customWidth="1"/>
    <col min="35" max="35" style="1636" width="3.7109375" customWidth="1"/>
    <col min="36" max="36" style="1636" width="11.00390625" customWidth="1"/>
    <col min="37" max="37" style="1636" width="8.57421875" hidden="1" customWidth="1"/>
    <col min="38" max="38" style="1636" width="4.00390625" customWidth="1"/>
    <col min="39" max="39" style="1636" width="115.00390625" customWidth="1"/>
    <col min="40" max="44" style="1643" width="10.00390625" customWidth="1"/>
    <col min="45" max="45" style="1636" width="10.57421875" hidden="1"/>
  </cols>
  <sheetData>
    <row customHeight="1" ht="22.5" hidden="1">
      <c r="Y1" s="328"/>
      <c r="Z1" s="328"/>
      <c r="AG1" s="328"/>
      <c r="AH1" s="328"/>
      <c r="AS1" s="1156" t="s">
        <v>14</v>
      </c>
    </row>
    <row customHeight="1" ht="21" hidden="1">
      <c r="A2" s="1364"/>
      <c r="B2" s="1364"/>
      <c r="C2" s="1364"/>
      <c r="D2" s="1364"/>
      <c r="E2" s="2259">
        <v>1</v>
      </c>
      <c r="F2" s="1364"/>
      <c r="G2" s="1364"/>
      <c r="H2" s="1364"/>
      <c r="I2" s="1364"/>
      <c r="J2" s="1364"/>
      <c r="K2" s="1364"/>
      <c r="L2" s="1365"/>
      <c r="M2" s="1366"/>
      <c r="N2" s="1366"/>
      <c r="O2" s="1366"/>
      <c r="P2" s="362"/>
      <c r="Q2" s="361"/>
      <c r="R2" s="356"/>
      <c r="S2" s="1337">
        <f>INDEX(PT_DIFFERENTIATION_NUM_NTAR,MATCH(A2,PT_DIFFERENTIATION_NTAR_ID,0))</f>
      </c>
      <c r="T2" s="299" t="s">
        <v>136</v>
      </c>
      <c r="U2" s="301"/>
      <c r="V2" s="2243"/>
      <c r="W2" s="2244"/>
      <c r="X2" s="2244"/>
      <c r="Y2" s="2244"/>
      <c r="Z2" s="2244"/>
      <c r="AA2" s="2244"/>
      <c r="AB2" s="2244"/>
      <c r="AC2" s="2245"/>
      <c r="AD2" s="2243">
        <f>INDEX(PT_DIFFERENTIATION_NTAR,MATCH(A2,PT_DIFFERENTIATION_NTAR_ID,0))</f>
      </c>
      <c r="AE2" s="2244"/>
      <c r="AF2" s="2244"/>
      <c r="AG2" s="2244"/>
      <c r="AH2" s="2244"/>
      <c r="AI2" s="2244"/>
      <c r="AJ2" s="2244"/>
      <c r="AK2" s="2244"/>
      <c r="AL2" s="2245"/>
      <c r="AM2" s="1259" t="s">
        <v>526</v>
      </c>
      <c r="AO2" s="501"/>
      <c r="AP2" s="501" t="str">
        <f>IF(T2="","",T2)</f>
        <v>Наименование тарифа</v>
      </c>
      <c r="AQ2" s="501"/>
      <c r="AR2" s="501"/>
      <c r="AS2" s="1156">
        <v>0</v>
      </c>
    </row>
    <row customHeight="1" ht="21" hidden="1">
      <c r="A3" s="1364"/>
      <c r="B3" s="1364"/>
      <c r="C3" s="1364"/>
      <c r="D3" s="1364"/>
      <c r="E3" s="2260"/>
      <c r="F3" s="2259">
        <v>1</v>
      </c>
      <c r="G3" s="1364"/>
      <c r="H3" s="1364"/>
      <c r="I3" s="1364"/>
      <c r="J3" s="1364"/>
      <c r="K3" s="1364"/>
      <c r="L3" s="1365"/>
      <c r="M3" s="1366"/>
      <c r="N3" s="1366"/>
      <c r="O3" s="1366"/>
      <c r="P3" s="1333"/>
      <c r="Q3" s="353"/>
      <c r="R3" s="354"/>
      <c r="S3" s="1337">
        <f>INDEX(PT_DIFFERENTIATION_NUM_TER,MATCH(B3,PT_DIFFERENTIATION_TER_ID,0))</f>
      </c>
      <c r="T3" s="309" t="s">
        <v>527</v>
      </c>
      <c r="U3" s="301"/>
      <c r="V3" s="2243"/>
      <c r="W3" s="2244"/>
      <c r="X3" s="2244"/>
      <c r="Y3" s="2244"/>
      <c r="Z3" s="2244"/>
      <c r="AA3" s="2244"/>
      <c r="AB3" s="2244"/>
      <c r="AC3" s="2245"/>
      <c r="AD3" s="2243">
        <f>INDEX(PT_DIFFERENTIATION_TER,MATCH(B3,PT_DIFFERENTIATION_TER_ID,0))</f>
      </c>
      <c r="AE3" s="2244"/>
      <c r="AF3" s="2244"/>
      <c r="AG3" s="2244"/>
      <c r="AH3" s="2244"/>
      <c r="AI3" s="2244"/>
      <c r="AJ3" s="2244"/>
      <c r="AK3" s="2244"/>
      <c r="AL3" s="2245"/>
      <c r="AM3" s="1259" t="s">
        <v>528</v>
      </c>
      <c r="AO3" s="501"/>
      <c r="AP3" s="501" t="str">
        <f>IF(T3="","",T3)</f>
        <v>Территория действия тарифа</v>
      </c>
      <c r="AQ3" s="501"/>
      <c r="AR3" s="501"/>
      <c r="AS3" s="1156">
        <v>0</v>
      </c>
    </row>
    <row customHeight="1" ht="23.25" hidden="1">
      <c r="A4" s="1364"/>
      <c r="B4" s="1364"/>
      <c r="C4" s="1364"/>
      <c r="D4" s="1364"/>
      <c r="E4" s="2260"/>
      <c r="F4" s="2260"/>
      <c r="G4" s="2259">
        <v>1</v>
      </c>
      <c r="H4" s="1364"/>
      <c r="I4" s="1364"/>
      <c r="J4" s="1364"/>
      <c r="K4" s="1364"/>
      <c r="L4" s="1365"/>
      <c r="M4" s="1366"/>
      <c r="N4" s="1366"/>
      <c r="O4" s="1366"/>
      <c r="P4" s="355"/>
      <c r="Q4" s="353"/>
      <c r="R4" s="354"/>
      <c r="S4" s="1337">
        <f>INDEX(PT_DIFFERENTIATION_NUM_CS,MATCH(C4,PT_DIFFERENTIATION_CS_ID,0))</f>
      </c>
      <c r="T4" s="310" t="s">
        <v>529</v>
      </c>
      <c r="U4" s="301"/>
      <c r="V4" s="2243"/>
      <c r="W4" s="2244"/>
      <c r="X4" s="2244"/>
      <c r="Y4" s="2244"/>
      <c r="Z4" s="2244"/>
      <c r="AA4" s="2244"/>
      <c r="AB4" s="2244"/>
      <c r="AC4" s="2245"/>
      <c r="AD4" s="2243">
        <f>INDEX(PT_DIFFERENTIATION_CS,MATCH(C4,PT_DIFFERENTIATION_CS_ID,0))</f>
      </c>
      <c r="AE4" s="2244"/>
      <c r="AF4" s="2244"/>
      <c r="AG4" s="2244"/>
      <c r="AH4" s="2244"/>
      <c r="AI4" s="2244"/>
      <c r="AJ4" s="2244"/>
      <c r="AK4" s="2244"/>
      <c r="AL4" s="2245"/>
      <c r="AM4" s="1259" t="s">
        <v>530</v>
      </c>
      <c r="AO4" s="501"/>
      <c r="AP4" s="501" t="str">
        <f>IF(T4="","",T4)</f>
        <v>Наименование системы теплоснабжения </v>
      </c>
      <c r="AQ4" s="501"/>
      <c r="AR4" s="501"/>
      <c r="AS4" s="1156">
        <v>0</v>
      </c>
    </row>
    <row customHeight="1" ht="21" hidden="1">
      <c r="A5" s="1364"/>
      <c r="B5" s="1364"/>
      <c r="C5" s="1364"/>
      <c r="D5" s="1364"/>
      <c r="E5" s="2260"/>
      <c r="F5" s="2260"/>
      <c r="G5" s="2260"/>
      <c r="H5" s="2259">
        <v>1</v>
      </c>
      <c r="I5" s="1364"/>
      <c r="J5" s="1364"/>
      <c r="K5" s="1364"/>
      <c r="L5" s="1365"/>
      <c r="M5" s="1366"/>
      <c r="N5" s="1366"/>
      <c r="O5" s="1366"/>
      <c r="P5" s="355"/>
      <c r="Q5" s="353"/>
      <c r="R5" s="354"/>
      <c r="S5" s="1337">
        <f>INDEX(PT_DIFFERENTIATION_NUM_IST_TE,MATCH(D5,PT_DIFFERENTIATION_IST_TE_ID,0))</f>
      </c>
      <c r="T5" s="311" t="s">
        <v>531</v>
      </c>
      <c r="U5" s="301"/>
      <c r="V5" s="2243"/>
      <c r="W5" s="2244"/>
      <c r="X5" s="2244"/>
      <c r="Y5" s="2244"/>
      <c r="Z5" s="2244"/>
      <c r="AA5" s="2244"/>
      <c r="AB5" s="2244"/>
      <c r="AC5" s="2245"/>
      <c r="AD5" s="2243">
        <f>INDEX(PT_DIFFERENTIATION_IST_TE,MATCH(D5,PT_DIFFERENTIATION_IST_TE_ID,0))</f>
      </c>
      <c r="AE5" s="2244"/>
      <c r="AF5" s="2244"/>
      <c r="AG5" s="2244"/>
      <c r="AH5" s="2244"/>
      <c r="AI5" s="2244"/>
      <c r="AJ5" s="2244"/>
      <c r="AK5" s="2244"/>
      <c r="AL5" s="2245"/>
      <c r="AM5" s="1259" t="s">
        <v>532</v>
      </c>
      <c r="AO5" s="501"/>
      <c r="AP5" s="501" t="str">
        <f>IF(T5="","",T5)</f>
        <v>Источник тепловой энергии  </v>
      </c>
      <c r="AQ5" s="501"/>
      <c r="AR5" s="501"/>
      <c r="AS5" s="1156">
        <v>0</v>
      </c>
    </row>
    <row customHeight="1" ht="47.25" hidden="1">
      <c r="A6" s="1364"/>
      <c r="B6" s="1364"/>
      <c r="C6" s="1364"/>
      <c r="D6" s="1364"/>
      <c r="E6" s="2260"/>
      <c r="F6" s="2260"/>
      <c r="G6" s="2260"/>
      <c r="H6" s="2260"/>
      <c r="I6" s="2257">
        <f>S5&amp;".1"</f>
      </c>
      <c r="J6" s="1364"/>
      <c r="K6" s="1364"/>
      <c r="L6" s="1365" t="s">
        <v>533</v>
      </c>
      <c r="M6" s="538"/>
      <c r="P6" s="2258">
        <v>1</v>
      </c>
      <c r="Q6" s="1332"/>
      <c r="R6" s="357"/>
      <c r="S6" s="1337">
        <f>$I6</f>
      </c>
      <c r="T6" s="286" t="s">
        <v>534</v>
      </c>
      <c r="U6" s="301"/>
      <c r="V6" s="2246"/>
      <c r="W6" s="2247"/>
      <c r="X6" s="2247"/>
      <c r="Y6" s="2247"/>
      <c r="Z6" s="2247"/>
      <c r="AA6" s="2247"/>
      <c r="AB6" s="2247"/>
      <c r="AC6" s="2248"/>
      <c r="AD6" s="2246"/>
      <c r="AE6" s="2247"/>
      <c r="AF6" s="2247"/>
      <c r="AG6" s="2247"/>
      <c r="AH6" s="2247"/>
      <c r="AI6" s="2247"/>
      <c r="AJ6" s="2247"/>
      <c r="AK6" s="2247"/>
      <c r="AL6" s="2248"/>
      <c r="AM6" s="1259" t="s">
        <v>535</v>
      </c>
      <c r="AO6" s="501"/>
      <c r="AP6" s="501" t="str">
        <f>IF(T6="","",T6)</f>
        <v>Схема подключения теплопотребляющей установки к коллектору источника тепловой энергии</v>
      </c>
      <c r="AQ6" s="501"/>
      <c r="AR6" s="501"/>
      <c r="AS6" s="1156">
        <v>0</v>
      </c>
    </row>
    <row customHeight="1" ht="21" hidden="1">
      <c r="A7" s="1364"/>
      <c r="B7" s="1364"/>
      <c r="C7" s="1364"/>
      <c r="D7" s="1364"/>
      <c r="E7" s="2260"/>
      <c r="F7" s="2260"/>
      <c r="G7" s="2260"/>
      <c r="H7" s="2260"/>
      <c r="I7" s="2287"/>
      <c r="J7" s="2257">
        <f>I6&amp;".1"</f>
      </c>
      <c r="K7" s="1364"/>
      <c r="L7" s="1365" t="s">
        <v>536</v>
      </c>
      <c r="M7" s="538"/>
      <c r="N7" s="1367"/>
      <c r="P7" s="2258"/>
      <c r="Q7" s="2258">
        <v>1</v>
      </c>
      <c r="R7" s="358"/>
      <c r="S7" s="1337">
        <f>$J7</f>
      </c>
      <c r="T7" s="287" t="s">
        <v>537</v>
      </c>
      <c r="U7" s="301"/>
      <c r="V7" s="2246"/>
      <c r="W7" s="2247"/>
      <c r="X7" s="2247"/>
      <c r="Y7" s="2247"/>
      <c r="Z7" s="2247"/>
      <c r="AA7" s="2247"/>
      <c r="AB7" s="2247"/>
      <c r="AC7" s="2248"/>
      <c r="AD7" s="2246"/>
      <c r="AE7" s="2247"/>
      <c r="AF7" s="2247"/>
      <c r="AG7" s="2247"/>
      <c r="AH7" s="2247"/>
      <c r="AI7" s="2247"/>
      <c r="AJ7" s="2247"/>
      <c r="AK7" s="2247"/>
      <c r="AL7" s="2248"/>
      <c r="AM7" s="1259" t="s">
        <v>538</v>
      </c>
      <c r="AO7" s="501"/>
      <c r="AP7" s="501" t="str">
        <f>IF(T7="","",T7)</f>
        <v>Группа потребителей</v>
      </c>
      <c r="AQ7" s="501"/>
      <c r="AR7" s="501"/>
      <c r="AS7" s="1156">
        <v>0</v>
      </c>
    </row>
    <row customHeight="1" ht="21" hidden="1">
      <c r="A8" s="1364"/>
      <c r="B8" s="1364"/>
      <c r="C8" s="1364"/>
      <c r="D8" s="1364"/>
      <c r="E8" s="2260"/>
      <c r="F8" s="2260"/>
      <c r="G8" s="2260"/>
      <c r="H8" s="2260"/>
      <c r="I8" s="2287"/>
      <c r="J8" s="2287"/>
      <c r="K8" s="2257">
        <f>J7&amp;".1"</f>
      </c>
      <c r="L8" s="1365" t="s">
        <v>539</v>
      </c>
      <c r="M8" s="538"/>
      <c r="N8" s="1367"/>
      <c r="O8" s="1367"/>
      <c r="P8" s="2258"/>
      <c r="Q8" s="2258"/>
      <c r="R8" s="358">
        <v>1</v>
      </c>
      <c r="S8" s="1337">
        <f>$K8</f>
      </c>
      <c r="T8" s="1348"/>
      <c r="U8" s="301"/>
      <c r="V8" s="326"/>
      <c r="W8" s="752"/>
      <c r="X8" s="326"/>
      <c r="Y8" s="385"/>
      <c r="Z8" s="2266"/>
      <c r="AA8" s="2108" t="s">
        <v>65</v>
      </c>
      <c r="AB8" s="2266"/>
      <c r="AC8" s="2108" t="s">
        <v>65</v>
      </c>
      <c r="AD8" s="326"/>
      <c r="AE8" s="752"/>
      <c r="AF8" s="326"/>
      <c r="AG8" s="385"/>
      <c r="AH8" s="2266"/>
      <c r="AI8" s="2108" t="s">
        <v>65</v>
      </c>
      <c r="AJ8" s="2266"/>
      <c r="AK8" s="2108" t="s">
        <v>65</v>
      </c>
      <c r="AL8" s="326"/>
      <c r="AM8" s="2254" t="s">
        <v>540</v>
      </c>
      <c r="AN8" s="512">
        <f>STRCHECKDATE(V9:AL9)</f>
      </c>
      <c r="AO8" s="501"/>
      <c r="AP8" s="501" t="str">
        <f>IF(T8="","",T8)</f>
        <v/>
      </c>
      <c r="AQ8" s="501"/>
      <c r="AR8" s="501"/>
      <c r="AS8" s="1156">
        <v>0</v>
      </c>
    </row>
    <row customHeight="1" ht="0.75" hidden="1">
      <c r="A9" s="1364"/>
      <c r="B9" s="1364"/>
      <c r="C9" s="1364"/>
      <c r="D9" s="1364"/>
      <c r="E9" s="2260"/>
      <c r="F9" s="2260"/>
      <c r="G9" s="2260"/>
      <c r="H9" s="2260"/>
      <c r="I9" s="2287"/>
      <c r="J9" s="2287"/>
      <c r="K9" s="2257"/>
      <c r="L9" s="1365"/>
      <c r="M9" s="538"/>
      <c r="N9" s="1367"/>
      <c r="O9" s="1367"/>
      <c r="P9" s="2258"/>
      <c r="Q9" s="2258"/>
      <c r="R9" s="358"/>
      <c r="S9" s="1343"/>
      <c r="T9" s="301"/>
      <c r="U9" s="301"/>
      <c r="V9" s="326"/>
      <c r="W9" s="326"/>
      <c r="X9" s="326"/>
      <c r="Y9" s="329" t="str">
        <f>Z8&amp;"-"&amp;AB8</f>
        <v>-</v>
      </c>
      <c r="Z9" s="2267"/>
      <c r="AA9" s="2108"/>
      <c r="AB9" s="2267"/>
      <c r="AC9" s="2108"/>
      <c r="AD9" s="326"/>
      <c r="AE9" s="326"/>
      <c r="AF9" s="326"/>
      <c r="AG9" s="329" t="str">
        <f>AH8&amp;"-"&amp;AJ8</f>
        <v>-</v>
      </c>
      <c r="AH9" s="2267"/>
      <c r="AI9" s="2108"/>
      <c r="AJ9" s="2267"/>
      <c r="AK9" s="2108"/>
      <c r="AL9" s="326"/>
      <c r="AM9" s="2255"/>
      <c r="AO9" s="501"/>
      <c r="AP9" s="501" t="str">
        <f>IF(T9="","",T9)</f>
        <v/>
      </c>
      <c r="AQ9" s="501"/>
      <c r="AR9" s="501"/>
      <c r="AS9" s="1156">
        <v>0</v>
      </c>
    </row>
    <row customHeight="1" ht="15" hidden="1">
      <c r="A10" s="1364"/>
      <c r="B10" s="1364"/>
      <c r="C10" s="1364"/>
      <c r="D10" s="1364"/>
      <c r="E10" s="2260"/>
      <c r="F10" s="2260"/>
      <c r="G10" s="2260"/>
      <c r="H10" s="2260"/>
      <c r="I10" s="2287"/>
      <c r="J10" s="2257"/>
      <c r="K10" s="1364"/>
      <c r="L10" s="1365"/>
      <c r="M10" s="538"/>
      <c r="N10" s="1367"/>
      <c r="P10" s="2258"/>
      <c r="Q10" s="2258"/>
      <c r="R10" s="357"/>
      <c r="S10" s="1279"/>
      <c r="T10" s="289" t="s">
        <v>541</v>
      </c>
      <c r="U10" s="368"/>
      <c r="V10" s="368"/>
      <c r="W10" s="368"/>
      <c r="X10" s="368"/>
      <c r="Y10" s="368"/>
      <c r="Z10" s="368"/>
      <c r="AA10" s="368"/>
      <c r="AB10" s="368"/>
      <c r="AC10" s="368"/>
      <c r="AD10" s="368"/>
      <c r="AE10" s="368"/>
      <c r="AF10" s="368"/>
      <c r="AG10" s="368"/>
      <c r="AH10" s="368"/>
      <c r="AI10" s="368"/>
      <c r="AJ10" s="368"/>
      <c r="AK10" s="368"/>
      <c r="AL10" s="325"/>
      <c r="AM10" s="2256"/>
      <c r="AO10" s="501"/>
      <c r="AP10" s="501" t="str">
        <f>IF(T10="","",T10)</f>
        <v>Добавить вид теплоносителя (параметры теплоносителя)</v>
      </c>
      <c r="AQ10" s="501"/>
      <c r="AR10" s="501"/>
      <c r="AS10" s="1156">
        <v>0</v>
      </c>
    </row>
    <row customHeight="1" ht="15" hidden="1">
      <c r="A11" s="1364"/>
      <c r="B11" s="1364"/>
      <c r="C11" s="1364"/>
      <c r="D11" s="1364"/>
      <c r="E11" s="2260"/>
      <c r="F11" s="2260"/>
      <c r="G11" s="2260"/>
      <c r="H11" s="2260"/>
      <c r="I11" s="2257"/>
      <c r="J11" s="1364"/>
      <c r="K11" s="1364"/>
      <c r="L11" s="1365"/>
      <c r="M11" s="538"/>
      <c r="P11" s="2258"/>
      <c r="Q11" s="1332"/>
      <c r="R11" s="357"/>
      <c r="S11" s="1279"/>
      <c r="T11" s="288" t="s">
        <v>542</v>
      </c>
      <c r="U11" s="368"/>
      <c r="V11" s="368"/>
      <c r="W11" s="368"/>
      <c r="X11" s="368"/>
      <c r="Y11" s="368"/>
      <c r="Z11" s="368"/>
      <c r="AA11" s="368"/>
      <c r="AB11" s="368"/>
      <c r="AC11" s="367"/>
      <c r="AD11" s="368"/>
      <c r="AE11" s="368"/>
      <c r="AF11" s="368"/>
      <c r="AG11" s="368"/>
      <c r="AH11" s="368"/>
      <c r="AI11" s="368"/>
      <c r="AJ11" s="368"/>
      <c r="AK11" s="367"/>
      <c r="AL11" s="368"/>
      <c r="AM11" s="304"/>
      <c r="AO11" s="501"/>
      <c r="AP11" s="501" t="str">
        <f>IF(T11="","",T11)</f>
        <v>Добавить группу потребителей</v>
      </c>
      <c r="AQ11" s="501"/>
      <c r="AR11" s="501"/>
      <c r="AS11" s="1156">
        <v>0</v>
      </c>
    </row>
    <row customHeight="1" ht="14.25" hidden="1">
      <c r="A12" s="1364"/>
      <c r="B12" s="1364"/>
      <c r="C12" s="1364"/>
      <c r="D12" s="1364"/>
      <c r="E12" s="2260"/>
      <c r="F12" s="2260"/>
      <c r="G12" s="2260"/>
      <c r="H12" s="2259"/>
      <c r="I12" s="1364"/>
      <c r="J12" s="1364"/>
      <c r="K12" s="1364"/>
      <c r="L12" s="1365"/>
      <c r="M12" s="1366"/>
      <c r="N12" s="1366"/>
      <c r="O12" s="538"/>
      <c r="P12" s="361"/>
      <c r="Q12" s="376"/>
      <c r="R12" s="356"/>
      <c r="S12" s="1279"/>
      <c r="T12" s="366" t="s">
        <v>543</v>
      </c>
      <c r="U12" s="368"/>
      <c r="V12" s="368"/>
      <c r="W12" s="368"/>
      <c r="X12" s="368"/>
      <c r="Y12" s="368"/>
      <c r="Z12" s="368"/>
      <c r="AA12" s="368"/>
      <c r="AB12" s="368"/>
      <c r="AC12" s="367"/>
      <c r="AD12" s="368"/>
      <c r="AE12" s="368"/>
      <c r="AF12" s="368"/>
      <c r="AG12" s="368"/>
      <c r="AH12" s="368"/>
      <c r="AI12" s="368"/>
      <c r="AJ12" s="368"/>
      <c r="AK12" s="367"/>
      <c r="AL12" s="368"/>
      <c r="AM12" s="304"/>
      <c r="AO12" s="501"/>
      <c r="AP12" s="501" t="str">
        <f>IF(T12="","",T12)</f>
        <v>Добавить схему подключения</v>
      </c>
      <c r="AQ12" s="501"/>
      <c r="AR12" s="501"/>
      <c r="AS12" s="1156">
        <v>0</v>
      </c>
    </row>
    <row s="1643" customFormat="1" customHeight="1" ht="0.75" hidden="1">
      <c r="A13" s="1315"/>
      <c r="B13" s="1315"/>
      <c r="C13" s="1315"/>
      <c r="D13" s="1315"/>
      <c r="E13" s="2260"/>
      <c r="F13" s="2260"/>
      <c r="G13" s="2259"/>
      <c r="H13" s="1315"/>
      <c r="I13" s="1315"/>
      <c r="J13" s="1315"/>
      <c r="K13" s="1315"/>
      <c r="L13" s="1340"/>
      <c r="M13" s="1316"/>
      <c r="N13" s="1316"/>
      <c r="P13" s="1317"/>
      <c r="Q13" s="1318"/>
      <c r="R13" s="1317"/>
      <c r="S13" s="1319"/>
      <c r="T13" s="1320" t="s">
        <v>177</v>
      </c>
      <c r="U13" s="1321"/>
      <c r="V13" s="1321"/>
      <c r="W13" s="1321"/>
      <c r="X13" s="1321"/>
      <c r="Y13" s="1321"/>
      <c r="Z13" s="1321"/>
      <c r="AA13" s="1321"/>
      <c r="AB13" s="1321"/>
      <c r="AC13" s="1321"/>
      <c r="AD13" s="1321"/>
      <c r="AE13" s="1321"/>
      <c r="AF13" s="1321"/>
      <c r="AG13" s="1321"/>
      <c r="AH13" s="1321"/>
      <c r="AI13" s="1321"/>
      <c r="AJ13" s="1321"/>
      <c r="AK13" s="1321"/>
      <c r="AL13" s="1321"/>
      <c r="AM13" s="1321"/>
      <c r="AO13" s="790"/>
      <c r="AP13" s="790" t="str">
        <f>IF(T13="","",T13)</f>
        <v>Добавить источник для дифференциации</v>
      </c>
      <c r="AQ13" s="790"/>
      <c r="AR13" s="790"/>
      <c r="AS13" s="519">
        <v>0</v>
      </c>
    </row>
    <row s="1643" customFormat="1" customHeight="1" ht="0.75" hidden="1">
      <c r="A14" s="1315"/>
      <c r="B14" s="1315"/>
      <c r="C14" s="1315"/>
      <c r="D14" s="1315"/>
      <c r="E14" s="2260"/>
      <c r="F14" s="2259"/>
      <c r="G14" s="1315"/>
      <c r="H14" s="1315"/>
      <c r="I14" s="1315"/>
      <c r="J14" s="1315"/>
      <c r="K14" s="1315"/>
      <c r="L14" s="1340"/>
      <c r="M14" s="1322"/>
      <c r="N14" s="1322"/>
      <c r="P14" s="1317"/>
      <c r="Q14" s="1318"/>
      <c r="R14" s="1317"/>
      <c r="S14" s="1323"/>
      <c r="T14" s="1324" t="s">
        <v>178</v>
      </c>
      <c r="U14" s="1325"/>
      <c r="V14" s="1325"/>
      <c r="W14" s="1325"/>
      <c r="X14" s="1325"/>
      <c r="Y14" s="1325"/>
      <c r="Z14" s="1325"/>
      <c r="AA14" s="1325"/>
      <c r="AB14" s="1325"/>
      <c r="AC14" s="1325"/>
      <c r="AD14" s="1325"/>
      <c r="AE14" s="1325"/>
      <c r="AF14" s="1325"/>
      <c r="AG14" s="1325"/>
      <c r="AH14" s="1325"/>
      <c r="AI14" s="1325"/>
      <c r="AJ14" s="1325"/>
      <c r="AK14" s="1325"/>
      <c r="AL14" s="1325"/>
      <c r="AM14" s="1325"/>
      <c r="AO14" s="790"/>
      <c r="AP14" s="790" t="str">
        <f>IF(T14="","",T14)</f>
        <v>Добавить централизованную систему для дифференциации</v>
      </c>
      <c r="AQ14" s="790"/>
      <c r="AR14" s="790"/>
      <c r="AS14" s="519">
        <v>0</v>
      </c>
    </row>
    <row s="1643" customFormat="1" customHeight="1" ht="0.75" hidden="1">
      <c r="A15" s="1315"/>
      <c r="B15" s="1315"/>
      <c r="C15" s="1315"/>
      <c r="D15" s="1315"/>
      <c r="E15" s="2259"/>
      <c r="F15" s="1315"/>
      <c r="G15" s="1315"/>
      <c r="H15" s="1315"/>
      <c r="I15" s="1315"/>
      <c r="J15" s="1315"/>
      <c r="K15" s="1315"/>
      <c r="L15" s="1340"/>
      <c r="M15" s="1322"/>
      <c r="N15" s="1322"/>
      <c r="P15" s="1317"/>
      <c r="Q15" s="1318"/>
      <c r="R15" s="1317"/>
      <c r="S15" s="1323"/>
      <c r="T15" s="1326" t="s">
        <v>183</v>
      </c>
      <c r="U15" s="1325"/>
      <c r="V15" s="1325"/>
      <c r="W15" s="1325"/>
      <c r="X15" s="1325"/>
      <c r="Y15" s="1325"/>
      <c r="Z15" s="1325"/>
      <c r="AA15" s="1325"/>
      <c r="AB15" s="1325"/>
      <c r="AC15" s="1325"/>
      <c r="AD15" s="1325"/>
      <c r="AE15" s="1325"/>
      <c r="AF15" s="1325"/>
      <c r="AG15" s="1325"/>
      <c r="AH15" s="1325"/>
      <c r="AI15" s="1325"/>
      <c r="AJ15" s="1325"/>
      <c r="AK15" s="1325"/>
      <c r="AL15" s="1325"/>
      <c r="AM15" s="1325"/>
      <c r="AO15" s="790"/>
      <c r="AP15" s="790" t="str">
        <f>IF(T15="","",T15)</f>
        <v>Добавить территорию для дифференциации</v>
      </c>
      <c r="AQ15" s="790"/>
      <c r="AR15" s="790"/>
      <c r="AS15" s="519">
        <v>0</v>
      </c>
    </row>
    <row customHeight="1" ht="14.25" hidden="1">
      <c r="AC16" s="328"/>
      <c r="AK16" s="328"/>
      <c r="AS16" s="1156">
        <v>0</v>
      </c>
    </row>
    <row customHeight="1" ht="14.25" hidden="1">
      <c r="AD17" s="1361"/>
      <c r="AE17" s="1361"/>
      <c r="AF17" s="1361"/>
      <c r="AG17" s="1362"/>
      <c r="AH17" s="2268"/>
      <c r="AI17" s="2269" t="s">
        <v>65</v>
      </c>
      <c r="AJ17" s="2268"/>
      <c r="AK17" s="2269" t="s">
        <v>65</v>
      </c>
      <c r="AS17" s="1156">
        <v>0</v>
      </c>
    </row>
    <row customHeight="1" ht="14.25" hidden="1">
      <c r="AD18" s="1361"/>
      <c r="AE18" s="1361"/>
      <c r="AF18" s="1361"/>
      <c r="AG18" s="329" t="str">
        <f>AH17&amp;"-"&amp;AJ17</f>
        <v>-</v>
      </c>
      <c r="AH18" s="2269"/>
      <c r="AI18" s="2269"/>
      <c r="AJ18" s="2269"/>
      <c r="AK18" s="2269"/>
      <c r="AS18" s="1156">
        <v>0</v>
      </c>
    </row>
    <row customHeight="1" ht="14.25" hidden="1">
      <c r="AK19" s="328"/>
      <c r="AS19" s="1156">
        <v>0</v>
      </c>
    </row>
    <row s="1367" customFormat="1" customHeight="1" ht="22.5" hidden="1">
      <c r="L20" s="1330"/>
      <c r="M20" s="1363"/>
      <c r="N20" s="1363"/>
      <c r="O20" s="1368" t="s">
        <v>544</v>
      </c>
      <c r="P20" s="1363"/>
      <c r="Q20" s="1372"/>
      <c r="R20" s="1372"/>
      <c r="S20" s="730"/>
      <c r="Z20" s="1368"/>
      <c r="AB20" s="1368"/>
      <c r="AC20" s="1367"/>
      <c r="AH20" s="1368"/>
      <c r="AJ20" s="1368"/>
      <c r="AK20" s="1367"/>
      <c r="AN20" s="512"/>
      <c r="AO20" s="512"/>
      <c r="AP20" s="512"/>
      <c r="AQ20" s="512"/>
      <c r="AR20" s="512"/>
      <c r="AS20" s="1161">
        <v>0</v>
      </c>
    </row>
    <row s="1367" customFormat="1" customHeight="1" ht="14.25" hidden="1">
      <c r="L21" s="1330"/>
      <c r="M21" s="1363"/>
      <c r="N21" s="1363"/>
      <c r="O21" s="1363"/>
      <c r="P21" s="1363"/>
      <c r="Q21" s="1372"/>
      <c r="R21" s="1372"/>
      <c r="S21" s="730"/>
      <c r="AC21" s="1367"/>
      <c r="AK21" s="1367"/>
      <c r="AN21" s="512"/>
      <c r="AO21" s="512"/>
      <c r="AP21" s="512"/>
      <c r="AQ21" s="512"/>
      <c r="AR21" s="512"/>
      <c r="AS21" s="1161">
        <v>0</v>
      </c>
    </row>
    <row s="1367" customFormat="1" customHeight="1" ht="33.75" hidden="1">
      <c r="L22" s="1330"/>
      <c r="M22" s="1363"/>
      <c r="N22" s="1363"/>
      <c r="O22" s="1365" t="s">
        <v>545</v>
      </c>
      <c r="P22" s="1363"/>
      <c r="Q22" s="1372"/>
      <c r="R22" s="1372"/>
      <c r="S22" s="730"/>
      <c r="T22" s="1161" t="s">
        <v>546</v>
      </c>
      <c r="AA22" s="187" t="s">
        <v>547</v>
      </c>
      <c r="AC22" s="187" t="s">
        <v>548</v>
      </c>
      <c r="AD22" s="1161" t="s">
        <v>546</v>
      </c>
      <c r="AI22" s="187" t="s">
        <v>549</v>
      </c>
      <c r="AK22" s="187" t="s">
        <v>548</v>
      </c>
      <c r="AN22" s="512"/>
      <c r="AO22" s="512"/>
      <c r="AP22" s="512"/>
      <c r="AQ22" s="512"/>
      <c r="AR22" s="512"/>
      <c r="AS22" s="1161">
        <v>0</v>
      </c>
    </row>
    <row customHeight="1" ht="14.25" hidden="1">
      <c r="O23" s="1365"/>
      <c r="AS23" s="1156">
        <v>0</v>
      </c>
    </row>
    <row customHeight="1" ht="14.25" hidden="1">
      <c r="O24" s="1365"/>
      <c r="AS24" s="1156">
        <v>0</v>
      </c>
    </row>
    <row customHeight="1" ht="14.699999999999998">
      <c r="Q25" s="377"/>
      <c r="R25" s="377"/>
      <c r="S25" s="1276"/>
      <c r="T25" s="364"/>
      <c r="U25" s="364"/>
      <c r="V25" s="510"/>
      <c r="W25" s="510"/>
      <c r="X25" s="510"/>
      <c r="Y25" s="510"/>
      <c r="Z25" s="510"/>
      <c r="AA25" s="510"/>
      <c r="AB25" s="510"/>
      <c r="AC25" s="510"/>
      <c r="AD25" s="510"/>
      <c r="AE25" s="510"/>
      <c r="AF25" s="510"/>
      <c r="AG25" s="510"/>
      <c r="AH25" s="510"/>
      <c r="AI25" s="510"/>
      <c r="AJ25" s="510"/>
      <c r="AK25" s="510"/>
      <c r="AS25" s="1156">
        <v>14</v>
      </c>
    </row>
    <row customHeight="1" ht="29.25">
      <c r="Q26" s="377"/>
      <c r="R26" s="377"/>
      <c r="S26" s="2249" t="str">
        <f>IF(TEMPLATE_GROUP="P",PT_P_FORM_HEAT_4_NAME_FORM,PT_R_FORM_HEAT_21_NAME_FORM)</f>
        <v>Форма 3. Информация об установленных тарифах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об установленных тарифах на тепловую энергию (мощность), поставляемую теплоснабжающими организациями потребителям, другим теплоснабжающим организациям, об установленной плате за услуги по поддержанию резервной тепловой мощности при отсутствии потребления тепловой энергии</v>
      </c>
      <c r="T26" s="2249"/>
      <c r="U26" s="2249"/>
      <c r="V26" s="2249"/>
      <c r="W26" s="2249"/>
      <c r="X26" s="2249"/>
      <c r="Y26" s="2249"/>
      <c r="Z26" s="2249"/>
      <c r="AA26" s="2249"/>
      <c r="AB26" s="2249"/>
      <c r="AC26" s="2249"/>
      <c r="AD26" s="2249"/>
      <c r="AE26" s="2249"/>
      <c r="AF26" s="2249"/>
      <c r="AG26" s="2249"/>
      <c r="AH26" s="2249"/>
      <c r="AI26" s="2249"/>
      <c r="AJ26" s="2249"/>
      <c r="AK26" s="1244"/>
      <c r="AS26" s="1156">
        <v>28</v>
      </c>
    </row>
    <row customHeight="1" ht="14.699999999999998">
      <c r="Q27" s="377"/>
      <c r="R27" s="377"/>
      <c r="S27" s="2250" t="str">
        <f>IF(org=0,"Не определено",org)</f>
        <v>ПАО "ТГК-1" (филиал "Кольский")</v>
      </c>
      <c r="T27" s="2250"/>
      <c r="U27" s="2250"/>
      <c r="V27" s="2250"/>
      <c r="W27" s="2250"/>
      <c r="X27" s="2250"/>
      <c r="Y27" s="2250"/>
      <c r="Z27" s="2250"/>
      <c r="AA27" s="2250"/>
      <c r="AB27" s="2250"/>
      <c r="AC27" s="2250"/>
      <c r="AD27" s="2250"/>
      <c r="AE27" s="2250"/>
      <c r="AF27" s="2250"/>
      <c r="AG27" s="2250"/>
      <c r="AH27" s="2250"/>
      <c r="AI27" s="2250"/>
      <c r="AJ27" s="2250"/>
      <c r="AK27" s="1244"/>
      <c r="AS27" s="1156">
        <v>14</v>
      </c>
    </row>
    <row customHeight="1" ht="14.25">
      <c r="Q28" s="377"/>
      <c r="R28" s="377"/>
      <c r="S28" s="1276"/>
      <c r="T28" s="364"/>
      <c r="U28" s="364"/>
      <c r="V28" s="323"/>
      <c r="W28" s="323"/>
      <c r="X28" s="323"/>
      <c r="Y28" s="323"/>
      <c r="Z28" s="323"/>
      <c r="AA28" s="323"/>
      <c r="AB28" s="323"/>
      <c r="AC28" s="323"/>
      <c r="AD28" s="323"/>
      <c r="AE28" s="323"/>
      <c r="AF28" s="323"/>
      <c r="AG28" s="323"/>
      <c r="AH28" s="323"/>
      <c r="AI28" s="323"/>
      <c r="AJ28" s="323"/>
      <c r="AK28" s="323"/>
      <c r="AL28" s="510"/>
      <c r="AS28" s="1156">
        <v>0</v>
      </c>
    </row>
    <row s="1854" customFormat="1" customHeight="1" ht="25.5">
      <c r="A29" s="1369"/>
      <c r="B29" s="1369"/>
      <c r="C29" s="1369"/>
      <c r="D29" s="1369"/>
      <c r="E29" s="1369"/>
      <c r="F29" s="1369"/>
      <c r="G29" s="1369"/>
      <c r="H29" s="1369"/>
      <c r="I29" s="1369"/>
      <c r="J29" s="1369"/>
      <c r="K29" s="1369"/>
      <c r="L29" s="1370"/>
      <c r="M29" s="1369"/>
      <c r="N29" s="1369"/>
      <c r="O29" s="1369"/>
      <c r="S29" s="2251" t="s">
        <v>42</v>
      </c>
      <c r="T29" s="2251"/>
      <c r="U29" s="1373"/>
      <c r="V29" s="2252" t="str">
        <f>IF(TITLE_NAME_OR_PR_CHANGE="",IF(TITLE_NAME_OR_PR="","",TITLE_NAME_OR_PR),TITLE_NAME_OR_PR_CHANGE)</f>
        <v>Комитет по тарифному регулированию Мурманской области</v>
      </c>
      <c r="W29" s="2252"/>
      <c r="X29" s="2252"/>
      <c r="Y29" s="2252"/>
      <c r="Z29" s="2252"/>
      <c r="AA29" s="2252"/>
      <c r="AB29" s="2252"/>
      <c r="AC29" s="327"/>
      <c r="AD29" s="2252" t="str">
        <f>IF(TITLE_NAME_OR_PR_CHANGE="",IF(TITLE_NAME_OR_PR="","",TITLE_NAME_OR_PR),TITLE_NAME_OR_PR_CHANGE)</f>
        <v>Комитет по тарифному регулированию Мурманской области</v>
      </c>
      <c r="AE29" s="2252"/>
      <c r="AF29" s="2252"/>
      <c r="AG29" s="2252"/>
      <c r="AH29" s="2252"/>
      <c r="AI29" s="2252"/>
      <c r="AJ29" s="2252"/>
      <c r="AK29" s="327"/>
      <c r="AL29" s="327"/>
      <c r="AM29" s="281"/>
      <c r="AN29" s="369"/>
      <c r="AO29" s="369"/>
      <c r="AP29" s="369"/>
      <c r="AQ29" s="369"/>
      <c r="AR29" s="369"/>
      <c r="AS29" s="419">
        <v>0</v>
      </c>
    </row>
    <row s="1854" customFormat="1" customHeight="1" ht="18.75">
      <c r="A30" s="1369"/>
      <c r="B30" s="1369"/>
      <c r="C30" s="1369"/>
      <c r="D30" s="1369"/>
      <c r="E30" s="1369"/>
      <c r="F30" s="1369"/>
      <c r="G30" s="1369"/>
      <c r="H30" s="1369"/>
      <c r="I30" s="1369"/>
      <c r="J30" s="1369"/>
      <c r="K30" s="1369"/>
      <c r="L30" s="1370"/>
      <c r="M30" s="1369"/>
      <c r="N30" s="1369"/>
      <c r="O30" s="1369"/>
      <c r="S30" s="2251" t="s">
        <v>550</v>
      </c>
      <c r="T30" s="2251"/>
      <c r="U30" s="1373"/>
      <c r="V30" s="2265" t="str">
        <f>IF(TITLE_DATE_PR_CHANGE="",IF(TITLE_DATE_PR="","",TITLE_DATE_PR),TITLE_DATE_PR_CHANGE)</f>
        <v>46010</v>
      </c>
      <c r="W30" s="2265"/>
      <c r="X30" s="2265"/>
      <c r="Y30" s="2265"/>
      <c r="Z30" s="2265"/>
      <c r="AA30" s="2265"/>
      <c r="AB30" s="2265"/>
      <c r="AC30" s="327"/>
      <c r="AD30" s="2265" t="str">
        <f>IF(TITLE_DATE_PR_CHANGE="",IF(TITLE_DATE_PR="","",TITLE_DATE_PR),TITLE_DATE_PR_CHANGE)</f>
        <v>46010</v>
      </c>
      <c r="AE30" s="2265"/>
      <c r="AF30" s="2265"/>
      <c r="AG30" s="2265"/>
      <c r="AH30" s="2265"/>
      <c r="AI30" s="2265"/>
      <c r="AJ30" s="2265"/>
      <c r="AK30" s="327"/>
      <c r="AL30" s="327"/>
      <c r="AM30" s="281"/>
      <c r="AN30" s="369"/>
      <c r="AO30" s="369"/>
      <c r="AP30" s="369"/>
      <c r="AQ30" s="369"/>
      <c r="AR30" s="369"/>
      <c r="AS30" s="419">
        <v>0</v>
      </c>
    </row>
    <row s="1854" customFormat="1" customHeight="1" ht="18.75">
      <c r="A31" s="1369"/>
      <c r="B31" s="1369"/>
      <c r="C31" s="1369"/>
      <c r="D31" s="1369"/>
      <c r="E31" s="1369"/>
      <c r="F31" s="1369"/>
      <c r="G31" s="1369"/>
      <c r="H31" s="1369"/>
      <c r="I31" s="1369"/>
      <c r="J31" s="1369"/>
      <c r="K31" s="1369"/>
      <c r="L31" s="1370"/>
      <c r="M31" s="1369"/>
      <c r="N31" s="1369"/>
      <c r="O31" s="1369"/>
      <c r="S31" s="2251" t="s">
        <v>551</v>
      </c>
      <c r="T31" s="2251"/>
      <c r="U31" s="1373"/>
      <c r="V31" s="2252" t="str">
        <f>IF(TITLE_NUMBER_PR_CHANGE="",IF(TITLE_NUMBER_PR="","",TITLE_NUMBER_PR),TITLE_NUMBER_PR_CHANGE)</f>
        <v>53/77; 53/49</v>
      </c>
      <c r="W31" s="2252"/>
      <c r="X31" s="2252"/>
      <c r="Y31" s="2252"/>
      <c r="Z31" s="2252"/>
      <c r="AA31" s="2252"/>
      <c r="AB31" s="2252"/>
      <c r="AC31" s="327"/>
      <c r="AD31" s="2252" t="str">
        <f>IF(TITLE_NUMBER_PR_CHANGE="",IF(TITLE_NUMBER_PR="","",TITLE_NUMBER_PR),TITLE_NUMBER_PR_CHANGE)</f>
        <v>53/77; 53/49</v>
      </c>
      <c r="AE31" s="2252"/>
      <c r="AF31" s="2252"/>
      <c r="AG31" s="2252"/>
      <c r="AH31" s="2252"/>
      <c r="AI31" s="2252"/>
      <c r="AJ31" s="2252"/>
      <c r="AK31" s="327"/>
      <c r="AL31" s="327"/>
      <c r="AM31" s="281"/>
      <c r="AN31" s="369"/>
      <c r="AO31" s="369"/>
      <c r="AP31" s="369"/>
      <c r="AQ31" s="369"/>
      <c r="AR31" s="369"/>
      <c r="AS31" s="419">
        <v>0</v>
      </c>
    </row>
    <row s="1854" customFormat="1" customHeight="1" ht="18.75">
      <c r="A32" s="1369"/>
      <c r="B32" s="1369"/>
      <c r="C32" s="1369"/>
      <c r="D32" s="1369"/>
      <c r="E32" s="1369"/>
      <c r="F32" s="1369"/>
      <c r="G32" s="1369"/>
      <c r="H32" s="1369"/>
      <c r="I32" s="1369"/>
      <c r="J32" s="1369"/>
      <c r="K32" s="1369"/>
      <c r="L32" s="1370"/>
      <c r="M32" s="1369"/>
      <c r="N32" s="1369"/>
      <c r="O32" s="1369"/>
      <c r="S32" s="2251" t="s">
        <v>44</v>
      </c>
      <c r="T32" s="2251"/>
      <c r="U32" s="1373"/>
      <c r="V32" s="2252" t="str">
        <f>IF(TITLE_IST_PUB_CHANGE="",IF(TITLE_IST_PUB="","",TITLE_IST_PUB),TITLE_IST_PUB_CHANGE)</f>
        <v>Официальный электронный бюллетень Правительства Мурманской области</v>
      </c>
      <c r="W32" s="2252"/>
      <c r="X32" s="2252"/>
      <c r="Y32" s="2252"/>
      <c r="Z32" s="2252"/>
      <c r="AA32" s="2252"/>
      <c r="AB32" s="2252"/>
      <c r="AC32" s="327"/>
      <c r="AD32" s="2252" t="str">
        <f>IF(TITLE_IST_PUB_CHANGE="",IF(TITLE_IST_PUB="","",TITLE_IST_PUB),TITLE_IST_PUB_CHANGE)</f>
        <v>Официальный электронный бюллетень Правительства Мурманской области</v>
      </c>
      <c r="AE32" s="2252"/>
      <c r="AF32" s="2252"/>
      <c r="AG32" s="2252"/>
      <c r="AH32" s="2252"/>
      <c r="AI32" s="2252"/>
      <c r="AJ32" s="2252"/>
      <c r="AK32" s="327"/>
      <c r="AL32" s="327"/>
      <c r="AM32" s="281"/>
      <c r="AN32" s="369"/>
      <c r="AO32" s="369"/>
      <c r="AP32" s="369"/>
      <c r="AQ32" s="369"/>
      <c r="AR32" s="369"/>
      <c r="AS32" s="419">
        <v>0</v>
      </c>
    </row>
    <row customHeight="1" ht="14.25" hidden="1">
      <c r="Q33" s="377"/>
      <c r="R33" s="377"/>
      <c r="S33" s="1276"/>
      <c r="T33" s="364"/>
      <c r="U33" s="364"/>
      <c r="V33" s="323"/>
      <c r="W33" s="323"/>
      <c r="X33" s="323"/>
      <c r="Y33" s="323"/>
      <c r="Z33" s="323"/>
      <c r="AA33" s="323"/>
      <c r="AB33" s="323"/>
      <c r="AC33" s="323"/>
      <c r="AD33" s="323"/>
      <c r="AE33" s="323"/>
      <c r="AF33" s="323"/>
      <c r="AG33" s="323"/>
      <c r="AH33" s="323"/>
      <c r="AI33" s="323"/>
      <c r="AJ33" s="323"/>
      <c r="AK33" s="323"/>
      <c r="AL33" s="510"/>
      <c r="AS33" s="1156">
        <v>0</v>
      </c>
    </row>
    <row s="1854" customFormat="1" customHeight="1" ht="18.75" hidden="1">
      <c r="A34" s="1369"/>
      <c r="B34" s="1369"/>
      <c r="C34" s="1369"/>
      <c r="D34" s="1369"/>
      <c r="E34" s="1369"/>
      <c r="F34" s="1369"/>
      <c r="G34" s="1369"/>
      <c r="H34" s="1369"/>
      <c r="I34" s="1369"/>
      <c r="J34" s="1369"/>
      <c r="K34" s="1369"/>
      <c r="L34" s="1370"/>
      <c r="M34" s="1369"/>
      <c r="N34" s="1369"/>
      <c r="O34" s="1369"/>
      <c r="S34" s="2251" t="s">
        <v>552</v>
      </c>
      <c r="T34" s="2251"/>
      <c r="U34" s="1373"/>
      <c r="V34" s="2265" t="str">
        <f>IF(TITLE_DATE_PR_CHANGE="",IF(TITLE_DATE_PR="","",TITLE_DATE_PR),TITLE_DATE_PR_CHANGE)</f>
        <v>46010</v>
      </c>
      <c r="W34" s="2265"/>
      <c r="X34" s="2265"/>
      <c r="Y34" s="2265"/>
      <c r="Z34" s="2265"/>
      <c r="AA34" s="2265"/>
      <c r="AB34" s="2265"/>
      <c r="AC34" s="327"/>
      <c r="AD34" s="2265" t="str">
        <f>IF(TITLE_DATE_PR_CHANGE="",IF(TITLE_DATE_PR="","",TITLE_DATE_PR),TITLE_DATE_PR_CHANGE)</f>
        <v>46010</v>
      </c>
      <c r="AE34" s="2265"/>
      <c r="AF34" s="2265"/>
      <c r="AG34" s="2265"/>
      <c r="AH34" s="2265"/>
      <c r="AI34" s="2265"/>
      <c r="AJ34" s="2265"/>
      <c r="AK34" s="327"/>
      <c r="AL34" s="327"/>
      <c r="AM34" s="281"/>
      <c r="AN34" s="369"/>
      <c r="AO34" s="369"/>
      <c r="AP34" s="369"/>
      <c r="AQ34" s="369"/>
      <c r="AR34" s="369"/>
      <c r="AS34" s="419">
        <v>0</v>
      </c>
    </row>
    <row s="1854" customFormat="1" customHeight="1" ht="18.75" hidden="1">
      <c r="A35" s="1369"/>
      <c r="B35" s="1369"/>
      <c r="C35" s="1369"/>
      <c r="D35" s="1369"/>
      <c r="E35" s="1369"/>
      <c r="F35" s="1369"/>
      <c r="G35" s="1369"/>
      <c r="H35" s="1369"/>
      <c r="I35" s="1369"/>
      <c r="J35" s="1369"/>
      <c r="K35" s="1369"/>
      <c r="L35" s="1370"/>
      <c r="M35" s="1369"/>
      <c r="N35" s="1369"/>
      <c r="O35" s="1369"/>
      <c r="S35" s="2251" t="s">
        <v>553</v>
      </c>
      <c r="T35" s="2251"/>
      <c r="U35" s="1373"/>
      <c r="V35" s="2252" t="str">
        <f>IF(TITLE_NUMBER_PR_CHANGE="",IF(TITLE_NUMBER_PR="","",TITLE_NUMBER_PR),TITLE_NUMBER_PR_CHANGE)</f>
        <v>53/77; 53/49</v>
      </c>
      <c r="W35" s="2252"/>
      <c r="X35" s="2252"/>
      <c r="Y35" s="2252"/>
      <c r="Z35" s="2252"/>
      <c r="AA35" s="2252"/>
      <c r="AB35" s="2252"/>
      <c r="AC35" s="327"/>
      <c r="AD35" s="2252" t="str">
        <f>IF(TITLE_NUMBER_PR_CHANGE="",IF(TITLE_NUMBER_PR="","",TITLE_NUMBER_PR),TITLE_NUMBER_PR_CHANGE)</f>
        <v>53/77; 53/49</v>
      </c>
      <c r="AE35" s="2252"/>
      <c r="AF35" s="2252"/>
      <c r="AG35" s="2252"/>
      <c r="AH35" s="2252"/>
      <c r="AI35" s="2252"/>
      <c r="AJ35" s="2252"/>
      <c r="AK35" s="327"/>
      <c r="AL35" s="327"/>
      <c r="AM35" s="281"/>
      <c r="AN35" s="369"/>
      <c r="AO35" s="369"/>
      <c r="AP35" s="369"/>
      <c r="AQ35" s="369"/>
      <c r="AR35" s="369"/>
      <c r="AS35" s="419">
        <v>0</v>
      </c>
    </row>
    <row s="1854" customFormat="1" customHeight="1" ht="0">
      <c r="A36" s="1369"/>
      <c r="B36" s="1369"/>
      <c r="C36" s="1369"/>
      <c r="D36" s="1369"/>
      <c r="E36" s="1369"/>
      <c r="F36" s="1369"/>
      <c r="G36" s="1369"/>
      <c r="H36" s="1369"/>
      <c r="I36" s="1369"/>
      <c r="J36" s="1369"/>
      <c r="K36" s="1369"/>
      <c r="L36" s="1370"/>
      <c r="M36" s="1369"/>
      <c r="N36" s="1369"/>
      <c r="O36" s="1369"/>
      <c r="S36" s="324"/>
      <c r="T36" s="324"/>
      <c r="U36" s="1341"/>
      <c r="V36" s="327"/>
      <c r="W36" s="327"/>
      <c r="X36" s="327"/>
      <c r="Y36" s="327"/>
      <c r="Z36" s="327"/>
      <c r="AA36" s="327"/>
      <c r="AB36" s="327"/>
      <c r="AC36" s="279" t="s">
        <v>554</v>
      </c>
      <c r="AD36" s="327"/>
      <c r="AE36" s="327"/>
      <c r="AF36" s="327"/>
      <c r="AG36" s="327"/>
      <c r="AH36" s="327"/>
      <c r="AI36" s="327"/>
      <c r="AJ36" s="327"/>
      <c r="AK36" s="279" t="s">
        <v>554</v>
      </c>
      <c r="AN36" s="369"/>
      <c r="AO36" s="369"/>
      <c r="AP36" s="369"/>
      <c r="AQ36" s="369"/>
      <c r="AR36" s="369"/>
      <c r="AS36" s="419">
        <v>0</v>
      </c>
    </row>
    <row customHeight="1" ht="14.699999999999998">
      <c r="Q37" s="377"/>
      <c r="R37" s="377"/>
      <c r="S37" s="1276"/>
      <c r="T37" s="364"/>
      <c r="U37" s="1245"/>
      <c r="V37" s="2253"/>
      <c r="W37" s="2253"/>
      <c r="X37" s="2253"/>
      <c r="Y37" s="2253"/>
      <c r="Z37" s="2253"/>
      <c r="AA37" s="2253"/>
      <c r="AB37" s="2253"/>
      <c r="AC37" s="2253"/>
      <c r="AD37" s="2253"/>
      <c r="AE37" s="2253"/>
      <c r="AF37" s="2253"/>
      <c r="AG37" s="2253"/>
      <c r="AH37" s="2253"/>
      <c r="AI37" s="2253"/>
      <c r="AJ37" s="2253"/>
      <c r="AK37" s="2253"/>
      <c r="AS37" s="1156">
        <v>14</v>
      </c>
    </row>
    <row customHeight="1" ht="14.699999999999998">
      <c r="Q38" s="377"/>
      <c r="R38" s="377"/>
      <c r="S38" s="2128" t="s">
        <v>430</v>
      </c>
      <c r="T38" s="2128"/>
      <c r="U38" s="2128"/>
      <c r="V38" s="2128"/>
      <c r="W38" s="2128"/>
      <c r="X38" s="2128"/>
      <c r="Y38" s="2128"/>
      <c r="Z38" s="2128"/>
      <c r="AA38" s="2128"/>
      <c r="AB38" s="2128"/>
      <c r="AC38" s="2128"/>
      <c r="AD38" s="2128"/>
      <c r="AE38" s="2128"/>
      <c r="AF38" s="2128"/>
      <c r="AG38" s="2128"/>
      <c r="AH38" s="2128"/>
      <c r="AI38" s="2128"/>
      <c r="AJ38" s="2128"/>
      <c r="AK38" s="2128"/>
      <c r="AL38" s="2128"/>
      <c r="AM38" s="2128" t="s">
        <v>431</v>
      </c>
      <c r="AS38" s="1156">
        <v>14</v>
      </c>
    </row>
    <row customHeight="1" ht="14.699999999999998">
      <c r="Q39" s="377"/>
      <c r="R39" s="377"/>
      <c r="S39" s="2274" t="s">
        <v>92</v>
      </c>
      <c r="T39" s="2210" t="s">
        <v>555</v>
      </c>
      <c r="U39" s="302"/>
      <c r="V39" s="2275" t="s">
        <v>556</v>
      </c>
      <c r="W39" s="2276"/>
      <c r="X39" s="2292"/>
      <c r="Y39" s="2292"/>
      <c r="Z39" s="2276"/>
      <c r="AA39" s="2276"/>
      <c r="AB39" s="2277"/>
      <c r="AC39" s="2278" t="s">
        <v>557</v>
      </c>
      <c r="AD39" s="2275" t="s">
        <v>556</v>
      </c>
      <c r="AE39" s="2276"/>
      <c r="AF39" s="2292"/>
      <c r="AG39" s="2292"/>
      <c r="AH39" s="2276"/>
      <c r="AI39" s="2276"/>
      <c r="AJ39" s="2277"/>
      <c r="AK39" s="2278" t="s">
        <v>558</v>
      </c>
      <c r="AL39" s="2281" t="s">
        <v>559</v>
      </c>
      <c r="AM39" s="2128"/>
      <c r="AS39" s="1156">
        <v>14</v>
      </c>
    </row>
    <row customHeight="1" ht="24">
      <c r="Q40" s="377"/>
      <c r="R40" s="377"/>
      <c r="S40" s="2274"/>
      <c r="T40" s="2210"/>
      <c r="U40" s="1032"/>
      <c r="V40" s="2293" t="s">
        <v>560</v>
      </c>
      <c r="W40" s="2295" t="s">
        <v>561</v>
      </c>
      <c r="X40" s="1377" t="s">
        <v>562</v>
      </c>
      <c r="Y40" s="1377"/>
      <c r="Z40" s="2270" t="s">
        <v>563</v>
      </c>
      <c r="AA40" s="2270"/>
      <c r="AB40" s="2264"/>
      <c r="AC40" s="2279"/>
      <c r="AD40" s="2293" t="s">
        <v>560</v>
      </c>
      <c r="AE40" s="2295" t="s">
        <v>561</v>
      </c>
      <c r="AF40" s="1377" t="s">
        <v>562</v>
      </c>
      <c r="AG40" s="1377"/>
      <c r="AH40" s="2270" t="s">
        <v>563</v>
      </c>
      <c r="AI40" s="2270"/>
      <c r="AJ40" s="2264"/>
      <c r="AK40" s="2279"/>
      <c r="AL40" s="2282"/>
      <c r="AM40" s="2128"/>
      <c r="AS40" s="1156">
        <v>23</v>
      </c>
    </row>
    <row s="1267" customFormat="1" customHeight="1" ht="24">
      <c r="A41" s="1371"/>
      <c r="B41" s="1371" t="s">
        <v>148</v>
      </c>
      <c r="C41" s="1371" t="s">
        <v>149</v>
      </c>
      <c r="D41" s="1371" t="s">
        <v>150</v>
      </c>
      <c r="E41" s="1365" t="s">
        <v>564</v>
      </c>
      <c r="F41" s="1365" t="s">
        <v>565</v>
      </c>
      <c r="G41" s="1365" t="s">
        <v>566</v>
      </c>
      <c r="H41" s="1365" t="s">
        <v>567</v>
      </c>
      <c r="I41" s="1365" t="s">
        <v>568</v>
      </c>
      <c r="J41" s="1365" t="s">
        <v>569</v>
      </c>
      <c r="K41" s="1365" t="s">
        <v>570</v>
      </c>
      <c r="L41" s="1365" t="s">
        <v>545</v>
      </c>
      <c r="M41" s="1363"/>
      <c r="N41" s="1363"/>
      <c r="O41" s="1363"/>
      <c r="P41" s="1329"/>
      <c r="Q41" s="377"/>
      <c r="R41" s="377"/>
      <c r="S41" s="2274"/>
      <c r="T41" s="2210"/>
      <c r="U41" s="303"/>
      <c r="V41" s="2294"/>
      <c r="W41" s="2296"/>
      <c r="X41" s="1374" t="s">
        <v>571</v>
      </c>
      <c r="Y41" s="1374" t="s">
        <v>572</v>
      </c>
      <c r="Z41" s="1335" t="s">
        <v>573</v>
      </c>
      <c r="AA41" s="2271" t="s">
        <v>574</v>
      </c>
      <c r="AB41" s="2272"/>
      <c r="AC41" s="2280"/>
      <c r="AD41" s="2294"/>
      <c r="AE41" s="2296"/>
      <c r="AF41" s="1374" t="s">
        <v>571</v>
      </c>
      <c r="AG41" s="1374" t="s">
        <v>572</v>
      </c>
      <c r="AH41" s="1335" t="s">
        <v>573</v>
      </c>
      <c r="AI41" s="2271" t="s">
        <v>574</v>
      </c>
      <c r="AJ41" s="2272"/>
      <c r="AK41" s="2280"/>
      <c r="AL41" s="2283"/>
      <c r="AM41" s="2128"/>
      <c r="AN41" s="512"/>
      <c r="AO41" s="501"/>
      <c r="AP41" s="501"/>
      <c r="AQ41" s="501"/>
      <c r="AR41" s="501"/>
      <c r="AS41" s="583">
        <v>23</v>
      </c>
    </row>
    <row s="1642" customFormat="1" customHeight="1" ht="11.25" hidden="1">
      <c r="A42" s="1371"/>
      <c r="B42" s="1371"/>
      <c r="C42" s="1371"/>
      <c r="D42" s="1371"/>
      <c r="E42" s="1371"/>
      <c r="F42" s="1371"/>
      <c r="G42" s="1371"/>
      <c r="H42" s="1371"/>
      <c r="I42" s="1371"/>
      <c r="J42" s="1371"/>
      <c r="K42" s="1371"/>
      <c r="L42" s="1365"/>
      <c r="M42" s="1363"/>
      <c r="N42" s="1363"/>
      <c r="O42" s="1363"/>
      <c r="P42" s="1247"/>
      <c r="Q42" s="1248"/>
      <c r="R42" s="1255">
        <v>1</v>
      </c>
      <c r="S42" s="1278" t="s">
        <v>123</v>
      </c>
      <c r="T42" s="1256" t="s">
        <v>107</v>
      </c>
      <c r="U42" s="1246" t="str">
        <f>OFFSET(U42,0,-1)</f>
        <v>2</v>
      </c>
      <c r="V42" s="1336">
        <f>OFFSET(V42,0,-1)+1</f>
        <v>3</v>
      </c>
      <c r="W42" s="1336"/>
      <c r="X42" s="1342">
        <f>OFFSET(X42,0,-1)+1</f>
        <v>1</v>
      </c>
      <c r="Y42" s="1342">
        <f>OFFSET(Y42,0,-1)+1</f>
        <v>2</v>
      </c>
      <c r="Z42" s="1336">
        <f>OFFSET(Z42,0,-1)+1</f>
        <v>3</v>
      </c>
      <c r="AA42" s="2273">
        <f>OFFSET(AA42,0,-1)+1</f>
        <v>4</v>
      </c>
      <c r="AB42" s="2273"/>
      <c r="AC42" s="1336">
        <f>OFFSET(AC42,0,-2)+1</f>
        <v>5</v>
      </c>
      <c r="AD42" s="1336">
        <f>OFFSET(AD42,0,-1)+1</f>
        <v>6</v>
      </c>
      <c r="AE42" s="1336"/>
      <c r="AF42" s="1342">
        <f>OFFSET(AF42,0,-1)+1</f>
        <v>1</v>
      </c>
      <c r="AG42" s="1342">
        <f>OFFSET(AG42,0,-1)+1</f>
        <v>2</v>
      </c>
      <c r="AH42" s="1336">
        <f>OFFSET(AH42,0,-1)+1</f>
        <v>3</v>
      </c>
      <c r="AI42" s="2273">
        <f>OFFSET(AI42,0,-1)+1</f>
        <v>4</v>
      </c>
      <c r="AJ42" s="2273"/>
      <c r="AK42" s="1336">
        <f>OFFSET(AK42,0,-2)+1</f>
        <v>5</v>
      </c>
      <c r="AL42" s="1246">
        <f>OFFSET(AL42,0,-1)</f>
        <v>5</v>
      </c>
      <c r="AM42" s="1336">
        <f>OFFSET(AM42,0,-1)+1</f>
        <v>6</v>
      </c>
      <c r="AN42" s="512"/>
      <c r="AO42" s="512"/>
      <c r="AP42" s="512"/>
      <c r="AQ42" s="512"/>
      <c r="AR42" s="512"/>
      <c r="AS42" s="497">
        <v>0</v>
      </c>
    </row>
    <row customHeight="1" ht="22.049999999999997">
      <c r="A43" s="1364" t="s">
        <v>318</v>
      </c>
      <c r="B43" s="1364"/>
      <c r="C43" s="1364"/>
      <c r="D43" s="1364"/>
      <c r="E43" s="2259">
        <v>1</v>
      </c>
      <c r="F43" s="1364"/>
      <c r="G43" s="1364"/>
      <c r="H43" s="1364"/>
      <c r="I43" s="1364"/>
      <c r="J43" s="1364"/>
      <c r="K43" s="1364"/>
      <c r="L43" s="1365"/>
      <c r="M43" s="1366"/>
      <c r="N43" s="1366"/>
      <c r="O43" s="1366"/>
      <c r="P43" s="362"/>
      <c r="Q43" s="361"/>
      <c r="R43" s="356"/>
      <c r="S43" s="1337">
        <f>INDEX(PT_DIFFERENTIATION_NUM_NTAR,MATCH(A43,PT_DIFFERENTIATION_NTAR_ID,0))</f>
        <v>1</v>
      </c>
      <c r="T43" s="299" t="s">
        <v>136</v>
      </c>
      <c r="U43" s="301"/>
      <c r="V43" s="2243"/>
      <c r="W43" s="2244"/>
      <c r="X43" s="2244"/>
      <c r="Y43" s="2244"/>
      <c r="Z43" s="2244"/>
      <c r="AA43" s="2244"/>
      <c r="AB43" s="2244"/>
      <c r="AC43" s="2245"/>
      <c r="AD43" s="2243" t="str">
        <f>INDEX(PT_DIFFERENTIATION_NTAR,MATCH(A43,PT_DIFFERENTIATION_NTAR_ID,0))</f>
        <v>Плата за услуги по поддержанию резервной тепловой мощности. </v>
      </c>
      <c r="AE43" s="2244"/>
      <c r="AF43" s="2244"/>
      <c r="AG43" s="2244"/>
      <c r="AH43" s="2244"/>
      <c r="AI43" s="2244"/>
      <c r="AJ43" s="2244"/>
      <c r="AK43" s="2244"/>
      <c r="AL43" s="2245"/>
      <c r="AM43" s="1259"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цены на тепловую энергию (мощность), включая правила индексации предельного уровня цены на тепловую энергию (мощность), 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определяемого в соответствии с указанными 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 (тарифа), источник официального опубликования решения об установлении цены (тарифа) в сфере теплоснабжения.</v>
      </c>
      <c r="AO43" s="501"/>
      <c r="AP43" s="501" t="str">
        <f>IF(T43="","",T43)</f>
        <v>Наименование тарифа</v>
      </c>
      <c r="AQ43" s="501"/>
      <c r="AR43" s="501"/>
      <c r="AS43" s="1156">
        <v>21</v>
      </c>
    </row>
    <row customHeight="1" ht="22.049999999999997">
      <c r="A44" s="1364" t="s">
        <v>318</v>
      </c>
      <c r="B44" s="1364" t="s">
        <v>319</v>
      </c>
      <c r="C44" s="1364"/>
      <c r="D44" s="1364"/>
      <c r="E44" s="2260"/>
      <c r="F44" s="2259">
        <v>1</v>
      </c>
      <c r="G44" s="1364"/>
      <c r="H44" s="1364"/>
      <c r="I44" s="1364"/>
      <c r="J44" s="1364"/>
      <c r="K44" s="1364"/>
      <c r="L44" s="1365"/>
      <c r="M44" s="1366"/>
      <c r="N44" s="1366"/>
      <c r="O44" s="1366"/>
      <c r="P44" s="1333"/>
      <c r="Q44" s="353"/>
      <c r="R44" s="354"/>
      <c r="S44" s="1337" t="str">
        <f>INDEX(PT_DIFFERENTIATION_NUM_TER,MATCH(B44,PT_DIFFERENTIATION_TER_ID,0))</f>
        <v>1.1</v>
      </c>
      <c r="T44" s="309" t="s">
        <v>527</v>
      </c>
      <c r="U44" s="301"/>
      <c r="V44" s="2243"/>
      <c r="W44" s="2244"/>
      <c r="X44" s="2244"/>
      <c r="Y44" s="2244"/>
      <c r="Z44" s="2244"/>
      <c r="AA44" s="2244"/>
      <c r="AB44" s="2244"/>
      <c r="AC44" s="2245"/>
      <c r="AD44" s="2243" t="str">
        <f>INDEX(PT_DIFFERENTIATION_TER,MATCH(B44,PT_DIFFERENTIATION_TER_ID,0))</f>
        <v>Территория 1</v>
      </c>
      <c r="AE44" s="2244"/>
      <c r="AF44" s="2244"/>
      <c r="AG44" s="2244"/>
      <c r="AH44" s="2244"/>
      <c r="AI44" s="2244"/>
      <c r="AJ44" s="2244"/>
      <c r="AK44" s="2244"/>
      <c r="AL44" s="2245"/>
      <c r="AM44" s="1259" t="s">
        <v>528</v>
      </c>
      <c r="AO44" s="501"/>
      <c r="AP44" s="501" t="str">
        <f>IF(T44="","",T44)</f>
        <v>Территория действия тарифа</v>
      </c>
      <c r="AQ44" s="501"/>
      <c r="AR44" s="501"/>
      <c r="AS44" s="1156">
        <v>21</v>
      </c>
    </row>
    <row customHeight="1" ht="24">
      <c r="A45" s="1364" t="s">
        <v>318</v>
      </c>
      <c r="B45" s="1364" t="s">
        <v>319</v>
      </c>
      <c r="C45" s="1364" t="s">
        <v>320</v>
      </c>
      <c r="D45" s="1364"/>
      <c r="E45" s="2260"/>
      <c r="F45" s="2260"/>
      <c r="G45" s="2259">
        <v>1</v>
      </c>
      <c r="H45" s="1364"/>
      <c r="I45" s="1364"/>
      <c r="J45" s="1364"/>
      <c r="K45" s="1364"/>
      <c r="L45" s="1365"/>
      <c r="M45" s="1366"/>
      <c r="N45" s="1366"/>
      <c r="O45" s="1366"/>
      <c r="P45" s="355"/>
      <c r="Q45" s="353"/>
      <c r="R45" s="354"/>
      <c r="S45" s="1337" t="str">
        <f>INDEX(PT_DIFFERENTIATION_NUM_CS,MATCH(C45,PT_DIFFERENTIATION_CS_ID,0))</f>
        <v>1.1.1</v>
      </c>
      <c r="T45" s="310" t="s">
        <v>529</v>
      </c>
      <c r="U45" s="301"/>
      <c r="V45" s="2243"/>
      <c r="W45" s="2244"/>
      <c r="X45" s="2244"/>
      <c r="Y45" s="2244"/>
      <c r="Z45" s="2244"/>
      <c r="AA45" s="2244"/>
      <c r="AB45" s="2244"/>
      <c r="AC45" s="2245"/>
      <c r="AD45" s="2243" t="str">
        <f>INDEX(PT_DIFFERENTIATION_CS,MATCH(C45,PT_DIFFERENTIATION_CS_ID,0))</f>
        <v>открытая система теплоснабжения г. Апатиты</v>
      </c>
      <c r="AE45" s="2244"/>
      <c r="AF45" s="2244"/>
      <c r="AG45" s="2244"/>
      <c r="AH45" s="2244"/>
      <c r="AI45" s="2244"/>
      <c r="AJ45" s="2244"/>
      <c r="AK45" s="2244"/>
      <c r="AL45" s="2245"/>
      <c r="AM45" s="1259" t="s">
        <v>530</v>
      </c>
      <c r="AO45" s="501"/>
      <c r="AP45" s="501" t="str">
        <f>IF(T45="","",T45)</f>
        <v>Наименование системы теплоснабжения </v>
      </c>
      <c r="AQ45" s="501"/>
      <c r="AR45" s="501"/>
      <c r="AS45" s="1156">
        <v>23</v>
      </c>
    </row>
    <row customHeight="1" ht="22.049999999999997">
      <c r="A46" s="1364" t="s">
        <v>318</v>
      </c>
      <c r="B46" s="1364" t="s">
        <v>319</v>
      </c>
      <c r="C46" s="1364" t="s">
        <v>320</v>
      </c>
      <c r="D46" s="1364" t="s">
        <v>321</v>
      </c>
      <c r="E46" s="2260"/>
      <c r="F46" s="2260"/>
      <c r="G46" s="2260"/>
      <c r="H46" s="2259">
        <v>1</v>
      </c>
      <c r="I46" s="1364"/>
      <c r="J46" s="1364"/>
      <c r="K46" s="1364"/>
      <c r="L46" s="1365"/>
      <c r="M46" s="1366"/>
      <c r="N46" s="1366"/>
      <c r="O46" s="1366"/>
      <c r="P46" s="355"/>
      <c r="Q46" s="353"/>
      <c r="R46" s="354"/>
      <c r="S46" s="1337" t="str">
        <f>INDEX(PT_DIFFERENTIATION_NUM_IST_TE,MATCH(D46,PT_DIFFERENTIATION_IST_TE_ID,0))</f>
        <v>1.1.1.1</v>
      </c>
      <c r="T46" s="311" t="s">
        <v>531</v>
      </c>
      <c r="U46" s="301"/>
      <c r="V46" s="2243"/>
      <c r="W46" s="2244"/>
      <c r="X46" s="2244"/>
      <c r="Y46" s="2244"/>
      <c r="Z46" s="2244"/>
      <c r="AA46" s="2244"/>
      <c r="AB46" s="2244"/>
      <c r="AC46" s="2245"/>
      <c r="AD46" s="2243" t="str">
        <f>INDEX(PT_DIFFERENTIATION_IST_TE,MATCH(D46,PT_DIFFERENTIATION_IST_TE_ID,0))</f>
        <v>Апатитская ТЭЦ</v>
      </c>
      <c r="AE46" s="2244"/>
      <c r="AF46" s="2244"/>
      <c r="AG46" s="2244"/>
      <c r="AH46" s="2244"/>
      <c r="AI46" s="2244"/>
      <c r="AJ46" s="2244"/>
      <c r="AK46" s="2244"/>
      <c r="AL46" s="2245"/>
      <c r="AM46" s="1259" t="s">
        <v>532</v>
      </c>
      <c r="AO46" s="501"/>
      <c r="AP46" s="501" t="str">
        <f>IF(T46="","",T46)</f>
        <v>Источник тепловой энергии  </v>
      </c>
      <c r="AQ46" s="501"/>
      <c r="AR46" s="501"/>
      <c r="AS46" s="1156">
        <v>21</v>
      </c>
    </row>
    <row customHeight="1" ht="49.5">
      <c r="A47" s="1364" t="s">
        <v>318</v>
      </c>
      <c r="B47" s="1364" t="s">
        <v>319</v>
      </c>
      <c r="C47" s="1364" t="s">
        <v>320</v>
      </c>
      <c r="D47" s="1364" t="s">
        <v>321</v>
      </c>
      <c r="E47" s="2260"/>
      <c r="F47" s="2260"/>
      <c r="G47" s="2260"/>
      <c r="H47" s="2260"/>
      <c r="I47" s="2257" t="str">
        <f>S46&amp;".1"</f>
        <v>1.1.1.1.1</v>
      </c>
      <c r="J47" s="1364"/>
      <c r="K47" s="1364"/>
      <c r="L47" s="1365" t="s">
        <v>533</v>
      </c>
      <c r="P47" s="2258">
        <v>1</v>
      </c>
      <c r="Q47" s="1332"/>
      <c r="R47" s="357"/>
      <c r="S47" s="1337" t="str">
        <f>$I47</f>
        <v>1.1.1.1.1</v>
      </c>
      <c r="T47" s="286" t="s">
        <v>534</v>
      </c>
      <c r="U47" s="301"/>
      <c r="V47" s="2246"/>
      <c r="W47" s="2247"/>
      <c r="X47" s="2247"/>
      <c r="Y47" s="2247"/>
      <c r="Z47" s="2247"/>
      <c r="AA47" s="2247"/>
      <c r="AB47" s="2247"/>
      <c r="AC47" s="2248"/>
      <c r="AD47" s="2246" t="s">
        <v>576</v>
      </c>
      <c r="AE47" s="2247"/>
      <c r="AF47" s="2247"/>
      <c r="AG47" s="2247"/>
      <c r="AH47" s="2247"/>
      <c r="AI47" s="2247"/>
      <c r="AJ47" s="2247"/>
      <c r="AK47" s="2247"/>
      <c r="AL47" s="2248"/>
      <c r="AM47" s="1259" t="s">
        <v>535</v>
      </c>
      <c r="AO47" s="501"/>
      <c r="AP47" s="501" t="str">
        <f>IF(T47="","",T47)</f>
        <v>Схема подключения теплопотребляющей установки к коллектору источника тепловой энергии</v>
      </c>
      <c r="AQ47" s="501"/>
      <c r="AR47" s="501"/>
      <c r="AS47" s="1156">
        <v>47</v>
      </c>
    </row>
    <row customHeight="1" ht="22.049999999999997">
      <c r="A48" s="1364" t="s">
        <v>318</v>
      </c>
      <c r="B48" s="1364" t="s">
        <v>319</v>
      </c>
      <c r="C48" s="1364" t="s">
        <v>320</v>
      </c>
      <c r="D48" s="1364" t="s">
        <v>321</v>
      </c>
      <c r="E48" s="2260"/>
      <c r="F48" s="2260"/>
      <c r="G48" s="2260"/>
      <c r="H48" s="2260"/>
      <c r="I48" s="2287"/>
      <c r="J48" s="2257" t="str">
        <f>I47&amp;".1"</f>
        <v>1.1.1.1.1.1</v>
      </c>
      <c r="K48" s="1364"/>
      <c r="L48" s="1365" t="s">
        <v>536</v>
      </c>
      <c r="P48" s="2258"/>
      <c r="Q48" s="2258">
        <v>1</v>
      </c>
      <c r="R48" s="358"/>
      <c r="S48" s="1337" t="str">
        <f>$J48</f>
        <v>1.1.1.1.1.1</v>
      </c>
      <c r="T48" s="287" t="s">
        <v>537</v>
      </c>
      <c r="U48" s="301"/>
      <c r="V48" s="2246"/>
      <c r="W48" s="2247"/>
      <c r="X48" s="2247"/>
      <c r="Y48" s="2247"/>
      <c r="Z48" s="2247"/>
      <c r="AA48" s="2247"/>
      <c r="AB48" s="2247"/>
      <c r="AC48" s="2248"/>
      <c r="AD48" s="2246" t="s">
        <v>576</v>
      </c>
      <c r="AE48" s="2247"/>
      <c r="AF48" s="2247"/>
      <c r="AG48" s="2247"/>
      <c r="AH48" s="2247"/>
      <c r="AI48" s="2247"/>
      <c r="AJ48" s="2247"/>
      <c r="AK48" s="2247"/>
      <c r="AL48" s="2248"/>
      <c r="AM48" s="1259" t="s">
        <v>538</v>
      </c>
      <c r="AO48" s="501"/>
      <c r="AP48" s="501" t="str">
        <f>IF(T48="","",T48)</f>
        <v>Группа потребителей</v>
      </c>
      <c r="AQ48" s="501"/>
      <c r="AR48" s="501"/>
      <c r="AS48" s="1156">
        <v>21</v>
      </c>
    </row>
    <row customHeight="1" ht="22.049999999999997">
      <c r="A49" s="1364" t="s">
        <v>318</v>
      </c>
      <c r="B49" s="1364" t="s">
        <v>319</v>
      </c>
      <c r="C49" s="1364" t="s">
        <v>320</v>
      </c>
      <c r="D49" s="1364" t="s">
        <v>321</v>
      </c>
      <c r="E49" s="2260"/>
      <c r="F49" s="2260"/>
      <c r="G49" s="2260"/>
      <c r="H49" s="2260"/>
      <c r="I49" s="2287"/>
      <c r="J49" s="2287"/>
      <c r="K49" s="2257" t="str">
        <f>J48&amp;".1"</f>
        <v>1.1.1.1.1.1.1</v>
      </c>
      <c r="L49" s="1365" t="s">
        <v>539</v>
      </c>
      <c r="P49" s="2258"/>
      <c r="Q49" s="2258"/>
      <c r="R49" s="358">
        <v>1</v>
      </c>
      <c r="S49" s="1337" t="str">
        <f>$K49</f>
        <v>1.1.1.1.1.1.1</v>
      </c>
      <c r="T49" s="1348" t="s">
        <v>577</v>
      </c>
      <c r="U49" s="301"/>
      <c r="V49" s="326"/>
      <c r="W49" s="752"/>
      <c r="X49" s="326"/>
      <c r="Y49" s="385"/>
      <c r="Z49" s="2266"/>
      <c r="AA49" s="2108" t="s">
        <v>65</v>
      </c>
      <c r="AB49" s="2266"/>
      <c r="AC49" s="2108" t="s">
        <v>65</v>
      </c>
      <c r="AD49" s="326"/>
      <c r="AE49" s="752">
        <v>152.27</v>
      </c>
      <c r="AF49" s="326"/>
      <c r="AG49" s="385"/>
      <c r="AH49" s="2603">
        <v>46023</v>
      </c>
      <c r="AI49" s="2108" t="s">
        <v>65</v>
      </c>
      <c r="AJ49" s="2288">
        <v>46387</v>
      </c>
      <c r="AK49" s="2108" t="s">
        <v>65</v>
      </c>
      <c r="AL49" s="1349"/>
      <c r="AM49" s="2254" t="s">
        <v>540</v>
      </c>
      <c r="AN49" s="512">
        <f>STRCHECKDATE(V50:AL50)</f>
      </c>
      <c r="AO49" s="501"/>
      <c r="AP49" s="501" t="str">
        <f>IF(T49="","",T49)</f>
        <v>вода</v>
      </c>
      <c r="AQ49" s="501"/>
      <c r="AR49" s="501"/>
      <c r="AS49" s="1156">
        <v>21</v>
      </c>
    </row>
    <row customHeight="1" ht="1.05">
      <c r="A50" s="1364" t="s">
        <v>318</v>
      </c>
      <c r="B50" s="1364" t="s">
        <v>319</v>
      </c>
      <c r="C50" s="1364" t="s">
        <v>320</v>
      </c>
      <c r="D50" s="1364" t="s">
        <v>321</v>
      </c>
      <c r="E50" s="2260"/>
      <c r="F50" s="2260"/>
      <c r="G50" s="2260"/>
      <c r="H50" s="2260"/>
      <c r="I50" s="2287"/>
      <c r="J50" s="2287"/>
      <c r="K50" s="2257"/>
      <c r="L50" s="1365"/>
      <c r="P50" s="2258"/>
      <c r="Q50" s="2258"/>
      <c r="R50" s="358"/>
      <c r="S50" s="1343"/>
      <c r="T50" s="301"/>
      <c r="U50" s="301"/>
      <c r="V50" s="326"/>
      <c r="W50" s="326"/>
      <c r="X50" s="326"/>
      <c r="Y50" s="329" t="str">
        <f>Z49&amp;"-"&amp;AB49</f>
        <v>-</v>
      </c>
      <c r="Z50" s="2267"/>
      <c r="AA50" s="2108"/>
      <c r="AB50" s="2267"/>
      <c r="AC50" s="2108"/>
      <c r="AD50" s="326"/>
      <c r="AE50" s="326"/>
      <c r="AF50" s="326"/>
      <c r="AG50" s="329" t="str">
        <f>AH49&amp;"-"&amp;AJ49</f>
        <v>46023-46387</v>
      </c>
      <c r="AH50" s="2267"/>
      <c r="AI50" s="2108"/>
      <c r="AJ50" s="2289"/>
      <c r="AK50" s="2108"/>
      <c r="AL50" s="1350"/>
      <c r="AM50" s="2255"/>
      <c r="AO50" s="501"/>
      <c r="AP50" s="501" t="str">
        <f>IF(T50="","",T50)</f>
        <v/>
      </c>
      <c r="AQ50" s="501"/>
      <c r="AR50" s="501"/>
      <c r="AS50" s="1156">
        <v>1</v>
      </c>
    </row>
    <row customHeight="1" ht="11.549999999999999">
      <c r="A51" s="1364" t="s">
        <v>318</v>
      </c>
      <c r="B51" s="1364" t="s">
        <v>319</v>
      </c>
      <c r="C51" s="1364" t="s">
        <v>320</v>
      </c>
      <c r="D51" s="1364" t="s">
        <v>321</v>
      </c>
      <c r="E51" s="2260"/>
      <c r="F51" s="2260"/>
      <c r="G51" s="2260"/>
      <c r="H51" s="2260"/>
      <c r="I51" s="2287"/>
      <c r="J51" s="2257"/>
      <c r="K51" s="1364"/>
      <c r="L51" s="1365"/>
      <c r="P51" s="2258"/>
      <c r="Q51" s="2258"/>
      <c r="R51" s="357"/>
      <c r="S51" s="1279"/>
      <c r="T51" s="289" t="s">
        <v>541</v>
      </c>
      <c r="U51" s="368"/>
      <c r="V51" s="368"/>
      <c r="W51" s="368"/>
      <c r="X51" s="368"/>
      <c r="Y51" s="368"/>
      <c r="Z51" s="368"/>
      <c r="AA51" s="368"/>
      <c r="AB51" s="368"/>
      <c r="AC51" s="368"/>
      <c r="AD51" s="368"/>
      <c r="AE51" s="368"/>
      <c r="AF51" s="368"/>
      <c r="AG51" s="368"/>
      <c r="AH51" s="368"/>
      <c r="AI51" s="368"/>
      <c r="AJ51" s="368"/>
      <c r="AK51" s="368"/>
      <c r="AL51" s="325"/>
      <c r="AM51" s="2256"/>
      <c r="AO51" s="501"/>
      <c r="AP51" s="501" t="str">
        <f>IF(T51="","",T51)</f>
        <v>Добавить вид теплоносителя (параметры теплоносителя)</v>
      </c>
      <c r="AQ51" s="501"/>
      <c r="AR51" s="501"/>
      <c r="AS51" s="1156">
        <v>11</v>
      </c>
    </row>
    <row customHeight="1" ht="11.549999999999999">
      <c r="A52" s="1364" t="s">
        <v>318</v>
      </c>
      <c r="B52" s="1364" t="s">
        <v>319</v>
      </c>
      <c r="C52" s="1364" t="s">
        <v>320</v>
      </c>
      <c r="D52" s="1364" t="s">
        <v>321</v>
      </c>
      <c r="E52" s="2260"/>
      <c r="F52" s="2260"/>
      <c r="G52" s="2260"/>
      <c r="H52" s="2260"/>
      <c r="I52" s="2257"/>
      <c r="J52" s="1364"/>
      <c r="K52" s="1364"/>
      <c r="L52" s="1365"/>
      <c r="P52" s="2258"/>
      <c r="Q52" s="1332"/>
      <c r="R52" s="357"/>
      <c r="S52" s="1279"/>
      <c r="T52" s="288" t="s">
        <v>542</v>
      </c>
      <c r="U52" s="368"/>
      <c r="V52" s="368"/>
      <c r="W52" s="368"/>
      <c r="X52" s="368"/>
      <c r="Y52" s="368"/>
      <c r="Z52" s="368"/>
      <c r="AA52" s="368"/>
      <c r="AB52" s="368"/>
      <c r="AC52" s="367"/>
      <c r="AD52" s="368"/>
      <c r="AE52" s="368"/>
      <c r="AF52" s="368"/>
      <c r="AG52" s="368"/>
      <c r="AH52" s="368"/>
      <c r="AI52" s="368"/>
      <c r="AJ52" s="368"/>
      <c r="AK52" s="367"/>
      <c r="AL52" s="368"/>
      <c r="AM52" s="304"/>
      <c r="AO52" s="501"/>
      <c r="AP52" s="501" t="str">
        <f>IF(T52="","",T52)</f>
        <v>Добавить группу потребителей</v>
      </c>
      <c r="AQ52" s="501"/>
      <c r="AR52" s="501"/>
      <c r="AS52" s="1156">
        <v>11</v>
      </c>
    </row>
    <row customHeight="1" ht="14.699999999999998">
      <c r="A53" s="1364" t="s">
        <v>318</v>
      </c>
      <c r="B53" s="1364" t="s">
        <v>319</v>
      </c>
      <c r="C53" s="1364" t="s">
        <v>320</v>
      </c>
      <c r="D53" s="1364" t="s">
        <v>321</v>
      </c>
      <c r="E53" s="2260"/>
      <c r="F53" s="2260"/>
      <c r="G53" s="2260"/>
      <c r="H53" s="2259"/>
      <c r="I53" s="1364"/>
      <c r="J53" s="1364"/>
      <c r="K53" s="1364"/>
      <c r="L53" s="1365"/>
      <c r="M53" s="1366"/>
      <c r="N53" s="1366"/>
      <c r="O53" s="538"/>
      <c r="P53" s="361"/>
      <c r="Q53" s="376"/>
      <c r="R53" s="356"/>
      <c r="S53" s="1279"/>
      <c r="T53" s="366" t="s">
        <v>543</v>
      </c>
      <c r="U53" s="368"/>
      <c r="V53" s="368"/>
      <c r="W53" s="368"/>
      <c r="X53" s="368"/>
      <c r="Y53" s="368"/>
      <c r="Z53" s="368"/>
      <c r="AA53" s="368"/>
      <c r="AB53" s="368"/>
      <c r="AC53" s="367"/>
      <c r="AD53" s="368"/>
      <c r="AE53" s="368"/>
      <c r="AF53" s="368"/>
      <c r="AG53" s="368"/>
      <c r="AH53" s="368"/>
      <c r="AI53" s="368"/>
      <c r="AJ53" s="368"/>
      <c r="AK53" s="367"/>
      <c r="AL53" s="368"/>
      <c r="AM53" s="304"/>
      <c r="AO53" s="501"/>
      <c r="AP53" s="501" t="str">
        <f>IF(T53="","",T53)</f>
        <v>Добавить схему подключения</v>
      </c>
      <c r="AQ53" s="501"/>
      <c r="AR53" s="501"/>
      <c r="AS53" s="1156">
        <v>14</v>
      </c>
    </row>
    <row s="1643" customFormat="1" customHeight="1" ht="1.05">
      <c r="A54" s="1344" t="s">
        <v>318</v>
      </c>
      <c r="B54" s="1344" t="s">
        <v>319</v>
      </c>
      <c r="C54" s="1344" t="s">
        <v>320</v>
      </c>
      <c r="D54" s="1315"/>
      <c r="E54" s="2260"/>
      <c r="F54" s="2260"/>
      <c r="G54" s="2259"/>
      <c r="H54" s="1315"/>
      <c r="I54" s="1315"/>
      <c r="J54" s="1315"/>
      <c r="K54" s="1315"/>
      <c r="L54" s="1340"/>
      <c r="M54" s="1316"/>
      <c r="N54" s="1316"/>
      <c r="P54" s="1317"/>
      <c r="Q54" s="1318"/>
      <c r="R54" s="1317"/>
      <c r="S54" s="1323"/>
      <c r="T54" s="1326" t="s">
        <v>177</v>
      </c>
      <c r="U54" s="1325"/>
      <c r="V54" s="1325"/>
      <c r="W54" s="1325"/>
      <c r="X54" s="1325"/>
      <c r="Y54" s="1325"/>
      <c r="Z54" s="1325"/>
      <c r="AA54" s="1325"/>
      <c r="AB54" s="1325"/>
      <c r="AC54" s="1325"/>
      <c r="AD54" s="1325"/>
      <c r="AE54" s="1325"/>
      <c r="AF54" s="1325"/>
      <c r="AG54" s="1325"/>
      <c r="AH54" s="1325"/>
      <c r="AI54" s="1325"/>
      <c r="AJ54" s="1325"/>
      <c r="AK54" s="1325"/>
      <c r="AL54" s="1325"/>
      <c r="AM54" s="1325"/>
      <c r="AO54" s="790"/>
      <c r="AP54" s="790" t="str">
        <f>IF(T54="","",T54)</f>
        <v>Добавить источник для дифференциации</v>
      </c>
      <c r="AQ54" s="790"/>
      <c r="AR54" s="790"/>
      <c r="AS54" s="519">
        <v>1</v>
      </c>
    </row>
    <row s="1643" customFormat="1" customHeight="1" ht="1.05">
      <c r="A55" s="1344" t="s">
        <v>318</v>
      </c>
      <c r="B55" s="1344" t="s">
        <v>319</v>
      </c>
      <c r="C55" s="1315"/>
      <c r="D55" s="1315"/>
      <c r="E55" s="2260"/>
      <c r="F55" s="2259"/>
      <c r="G55" s="1315"/>
      <c r="H55" s="1315"/>
      <c r="I55" s="1315"/>
      <c r="J55" s="1315"/>
      <c r="K55" s="1315"/>
      <c r="L55" s="1340"/>
      <c r="M55" s="1322"/>
      <c r="N55" s="1322"/>
      <c r="P55" s="1317"/>
      <c r="Q55" s="1318"/>
      <c r="R55" s="1317"/>
      <c r="S55" s="1323"/>
      <c r="T55" s="1326" t="s">
        <v>178</v>
      </c>
      <c r="U55" s="1325"/>
      <c r="V55" s="1325"/>
      <c r="W55" s="1325"/>
      <c r="X55" s="1325"/>
      <c r="Y55" s="1325"/>
      <c r="Z55" s="1325"/>
      <c r="AA55" s="1325"/>
      <c r="AB55" s="1325"/>
      <c r="AC55" s="1325"/>
      <c r="AD55" s="1325"/>
      <c r="AE55" s="1325"/>
      <c r="AF55" s="1325"/>
      <c r="AG55" s="1325"/>
      <c r="AH55" s="1325"/>
      <c r="AI55" s="1325"/>
      <c r="AJ55" s="1325"/>
      <c r="AK55" s="1325"/>
      <c r="AL55" s="1325"/>
      <c r="AM55" s="1325"/>
      <c r="AO55" s="790"/>
      <c r="AP55" s="790" t="str">
        <f>IF(T55="","",T55)</f>
        <v>Добавить централизованную систему для дифференциации</v>
      </c>
      <c r="AQ55" s="790"/>
      <c r="AR55" s="790"/>
      <c r="AS55" s="519">
        <v>1</v>
      </c>
    </row>
    <row s="1851" customFormat="1" customHeight="1" ht="21">
      <c r="A56" s="1364"/>
      <c r="B56" s="1364" t="s">
        <v>322</v>
      </c>
      <c r="C56" s="1364"/>
      <c r="D56" s="1364"/>
      <c r="E56" s="2260"/>
      <c r="F56" s="2259" t="s">
        <v>107</v>
      </c>
      <c r="G56" s="1364"/>
      <c r="H56" s="1364"/>
      <c r="I56" s="1364"/>
      <c r="J56" s="1364"/>
      <c r="K56" s="1364"/>
      <c r="L56" s="1370"/>
      <c r="M56" s="1366"/>
      <c r="N56" s="1366"/>
      <c r="O56" s="1366"/>
      <c r="P56" s="2126"/>
      <c r="Q56" s="353"/>
      <c r="R56" s="354"/>
      <c r="S56" s="2274" t="str">
        <f>INDEX(PT_DIFFERENTIATION_NUM_TER,MATCH(B56,PT_DIFFERENTIATION_TER_ID,0))</f>
        <v>1.2</v>
      </c>
      <c r="T56" s="1523" t="s">
        <v>527</v>
      </c>
      <c r="U56" s="301"/>
      <c r="V56" s="2243"/>
      <c r="W56" s="2244"/>
      <c r="X56" s="2244"/>
      <c r="Y56" s="2244"/>
      <c r="Z56" s="2244"/>
      <c r="AA56" s="2244"/>
      <c r="AB56" s="2244"/>
      <c r="AC56" s="2245"/>
      <c r="AD56" s="2243" t="str">
        <f>INDEX(PT_DIFFERENTIATION_TER,MATCH(B56,PT_DIFFERENTIATION_TER_ID,0))</f>
        <v>Территория 2</v>
      </c>
      <c r="AE56" s="2244"/>
      <c r="AF56" s="2244"/>
      <c r="AG56" s="2244"/>
      <c r="AH56" s="2244"/>
      <c r="AI56" s="2244"/>
      <c r="AJ56" s="2244"/>
      <c r="AK56" s="2244"/>
      <c r="AL56" s="2245"/>
      <c r="AM56" s="1259" t="s">
        <v>528</v>
      </c>
      <c r="AN56" s="1643"/>
      <c r="AO56" s="1625"/>
      <c r="AP56" s="1625" t="str">
        <f>IF(T56="","",T56)</f>
        <v>Территория действия тарифа</v>
      </c>
      <c r="AQ56" s="1625"/>
      <c r="AR56" s="1625"/>
      <c r="AS56" s="1636">
        <v>0</v>
      </c>
    </row>
    <row s="1851" customFormat="1" customHeight="1" ht="23.25">
      <c r="A57" s="1364"/>
      <c r="B57" s="1364"/>
      <c r="C57" s="1364" t="s">
        <v>323</v>
      </c>
      <c r="D57" s="1364"/>
      <c r="E57" s="2260"/>
      <c r="F57" s="2260">
        <v>1</v>
      </c>
      <c r="G57" s="2259">
        <v>1</v>
      </c>
      <c r="H57" s="1364"/>
      <c r="I57" s="1364"/>
      <c r="J57" s="1364"/>
      <c r="K57" s="1364"/>
      <c r="L57" s="1370"/>
      <c r="M57" s="1366"/>
      <c r="N57" s="1366"/>
      <c r="O57" s="1366"/>
      <c r="P57" s="355"/>
      <c r="Q57" s="353"/>
      <c r="R57" s="354"/>
      <c r="S57" s="2274" t="str">
        <f>INDEX(PT_DIFFERENTIATION_NUM_CS,MATCH(C57,PT_DIFFERENTIATION_CS_ID,0))</f>
        <v>1.2.1</v>
      </c>
      <c r="T57" s="310" t="s">
        <v>529</v>
      </c>
      <c r="U57" s="301"/>
      <c r="V57" s="2243"/>
      <c r="W57" s="2244"/>
      <c r="X57" s="2244"/>
      <c r="Y57" s="2244"/>
      <c r="Z57" s="2244"/>
      <c r="AA57" s="2244"/>
      <c r="AB57" s="2244"/>
      <c r="AC57" s="2245"/>
      <c r="AD57" s="2243" t="str">
        <f>INDEX(PT_DIFFERENTIATION_CS,MATCH(C57,PT_DIFFERENTIATION_CS_ID,0))</f>
        <v>открытая система теплоснабжения г. Кировск</v>
      </c>
      <c r="AE57" s="2244"/>
      <c r="AF57" s="2244"/>
      <c r="AG57" s="2244"/>
      <c r="AH57" s="2244"/>
      <c r="AI57" s="2244"/>
      <c r="AJ57" s="2244"/>
      <c r="AK57" s="2244"/>
      <c r="AL57" s="2245"/>
      <c r="AM57" s="1259" t="s">
        <v>530</v>
      </c>
      <c r="AN57" s="1643"/>
      <c r="AO57" s="1625"/>
      <c r="AP57" s="1625" t="str">
        <f>IF(T57="","",T57)</f>
        <v>Наименование системы теплоснабжения </v>
      </c>
      <c r="AQ57" s="1625"/>
      <c r="AR57" s="1625"/>
      <c r="AS57" s="1636">
        <v>0</v>
      </c>
    </row>
    <row s="1851" customFormat="1" customHeight="1" ht="21">
      <c r="A58" s="1364"/>
      <c r="B58" s="1364"/>
      <c r="C58" s="1364"/>
      <c r="D58" s="1364" t="s">
        <v>324</v>
      </c>
      <c r="E58" s="2260"/>
      <c r="F58" s="2260">
        <v>1</v>
      </c>
      <c r="G58" s="2260"/>
      <c r="H58" s="2259">
        <v>1</v>
      </c>
      <c r="I58" s="1364"/>
      <c r="J58" s="1364"/>
      <c r="K58" s="1364"/>
      <c r="L58" s="1370"/>
      <c r="M58" s="1366"/>
      <c r="N58" s="1366"/>
      <c r="O58" s="1366"/>
      <c r="P58" s="355"/>
      <c r="Q58" s="353"/>
      <c r="R58" s="354"/>
      <c r="S58" s="2274" t="str">
        <f>INDEX(PT_DIFFERENTIATION_NUM_IST_TE,MATCH(D58,PT_DIFFERENTIATION_IST_TE_ID,0))</f>
        <v>1.2.1.1</v>
      </c>
      <c r="T58" s="311" t="s">
        <v>531</v>
      </c>
      <c r="U58" s="301"/>
      <c r="V58" s="2243"/>
      <c r="W58" s="2244"/>
      <c r="X58" s="2244"/>
      <c r="Y58" s="2244"/>
      <c r="Z58" s="2244"/>
      <c r="AA58" s="2244"/>
      <c r="AB58" s="2244"/>
      <c r="AC58" s="2245"/>
      <c r="AD58" s="2243" t="str">
        <f>INDEX(PT_DIFFERENTIATION_IST_TE,MATCH(D58,PT_DIFFERENTIATION_IST_TE_ID,0))</f>
        <v>Апатитская ТЭЦ</v>
      </c>
      <c r="AE58" s="2244"/>
      <c r="AF58" s="2244"/>
      <c r="AG58" s="2244"/>
      <c r="AH58" s="2244"/>
      <c r="AI58" s="2244"/>
      <c r="AJ58" s="2244"/>
      <c r="AK58" s="2244"/>
      <c r="AL58" s="2245"/>
      <c r="AM58" s="1259" t="s">
        <v>532</v>
      </c>
      <c r="AN58" s="1643"/>
      <c r="AO58" s="1625"/>
      <c r="AP58" s="1625" t="str">
        <f>IF(T58="","",T58)</f>
        <v>Источник тепловой энергии  </v>
      </c>
      <c r="AQ58" s="1625"/>
      <c r="AR58" s="1625"/>
      <c r="AS58" s="1636">
        <v>0</v>
      </c>
    </row>
    <row s="1851" customFormat="1" customHeight="1" ht="47.25">
      <c r="A59" s="1364"/>
      <c r="B59" s="1364"/>
      <c r="C59" s="1364"/>
      <c r="D59" s="1364"/>
      <c r="E59" s="2260"/>
      <c r="F59" s="2260">
        <v>1</v>
      </c>
      <c r="G59" s="2260"/>
      <c r="H59" s="2260"/>
      <c r="I59" s="2257" t="str">
        <f>S58&amp;".1"</f>
        <v>1.2.1.1.1</v>
      </c>
      <c r="J59" s="1364"/>
      <c r="K59" s="1364"/>
      <c r="L59" s="1370" t="s">
        <v>533</v>
      </c>
      <c r="M59" s="1367"/>
      <c r="N59" s="1777"/>
      <c r="O59" s="1777"/>
      <c r="P59" s="2375">
        <v>1</v>
      </c>
      <c r="Q59" s="2375"/>
      <c r="R59" s="357"/>
      <c r="S59" s="2274" t="str">
        <f>$I59</f>
        <v>1.2.1.1.1</v>
      </c>
      <c r="T59" s="286" t="s">
        <v>534</v>
      </c>
      <c r="U59" s="301"/>
      <c r="V59" s="2246"/>
      <c r="W59" s="2247"/>
      <c r="X59" s="2247"/>
      <c r="Y59" s="2247"/>
      <c r="Z59" s="2247"/>
      <c r="AA59" s="2247"/>
      <c r="AB59" s="2247"/>
      <c r="AC59" s="2248"/>
      <c r="AD59" s="2246" t="s">
        <v>576</v>
      </c>
      <c r="AE59" s="2247"/>
      <c r="AF59" s="2247"/>
      <c r="AG59" s="2247"/>
      <c r="AH59" s="2247"/>
      <c r="AI59" s="2247"/>
      <c r="AJ59" s="2247"/>
      <c r="AK59" s="2247"/>
      <c r="AL59" s="2248"/>
      <c r="AM59" s="1259" t="s">
        <v>535</v>
      </c>
      <c r="AN59" s="1643"/>
      <c r="AO59" s="1625"/>
      <c r="AP59" s="1625" t="str">
        <f>IF(T59="","",T59)</f>
        <v>Схема подключения теплопотребляющей установки к коллектору источника тепловой энергии</v>
      </c>
      <c r="AQ59" s="1625"/>
      <c r="AR59" s="1625"/>
      <c r="AS59" s="1636">
        <v>0</v>
      </c>
    </row>
    <row s="1851" customFormat="1" customHeight="1" ht="21">
      <c r="A60" s="1364"/>
      <c r="B60" s="1364"/>
      <c r="C60" s="1364"/>
      <c r="D60" s="1364"/>
      <c r="E60" s="2260"/>
      <c r="F60" s="2260">
        <v>1</v>
      </c>
      <c r="G60" s="2260"/>
      <c r="H60" s="2260"/>
      <c r="I60" s="2287"/>
      <c r="J60" s="2257" t="str">
        <f>I59&amp;".1"</f>
        <v>1.2.1.1.1.1</v>
      </c>
      <c r="K60" s="1364"/>
      <c r="L60" s="1370" t="s">
        <v>536</v>
      </c>
      <c r="M60" s="1367"/>
      <c r="N60" s="1367"/>
      <c r="O60" s="1777"/>
      <c r="P60" s="2375"/>
      <c r="Q60" s="2375">
        <v>1</v>
      </c>
      <c r="R60" s="358"/>
      <c r="S60" s="2274" t="str">
        <f>$J60</f>
        <v>1.2.1.1.1.1</v>
      </c>
      <c r="T60" s="287" t="s">
        <v>537</v>
      </c>
      <c r="U60" s="301"/>
      <c r="V60" s="2246"/>
      <c r="W60" s="2247"/>
      <c r="X60" s="2247"/>
      <c r="Y60" s="2247"/>
      <c r="Z60" s="2247"/>
      <c r="AA60" s="2247"/>
      <c r="AB60" s="2247"/>
      <c r="AC60" s="2248"/>
      <c r="AD60" s="2246" t="s">
        <v>576</v>
      </c>
      <c r="AE60" s="2247"/>
      <c r="AF60" s="2247"/>
      <c r="AG60" s="2247"/>
      <c r="AH60" s="2247"/>
      <c r="AI60" s="2247"/>
      <c r="AJ60" s="2247"/>
      <c r="AK60" s="2247"/>
      <c r="AL60" s="2248"/>
      <c r="AM60" s="1259" t="s">
        <v>538</v>
      </c>
      <c r="AN60" s="1643"/>
      <c r="AO60" s="1625"/>
      <c r="AP60" s="1625" t="str">
        <f>IF(T60="","",T60)</f>
        <v>Группа потребителей</v>
      </c>
      <c r="AQ60" s="1625"/>
      <c r="AR60" s="1625"/>
      <c r="AS60" s="1636">
        <v>0</v>
      </c>
    </row>
    <row s="1851" customFormat="1" customHeight="1" ht="21">
      <c r="A61" s="1364"/>
      <c r="B61" s="1364"/>
      <c r="C61" s="1364"/>
      <c r="D61" s="1364"/>
      <c r="E61" s="2260"/>
      <c r="F61" s="2260">
        <v>1</v>
      </c>
      <c r="G61" s="2260"/>
      <c r="H61" s="2260"/>
      <c r="I61" s="2287"/>
      <c r="J61" s="2287"/>
      <c r="K61" s="2257" t="str">
        <f>J60&amp;".1"</f>
        <v>1.2.1.1.1.1.1</v>
      </c>
      <c r="L61" s="1370" t="s">
        <v>539</v>
      </c>
      <c r="M61" s="1367"/>
      <c r="N61" s="1367"/>
      <c r="O61" s="1367"/>
      <c r="P61" s="2375"/>
      <c r="Q61" s="2375"/>
      <c r="R61" s="358">
        <v>1</v>
      </c>
      <c r="S61" s="2274" t="str">
        <f>$K61</f>
        <v>1.2.1.1.1.1.1</v>
      </c>
      <c r="T61" s="1348" t="s">
        <v>577</v>
      </c>
      <c r="U61" s="301"/>
      <c r="V61" s="326"/>
      <c r="W61" s="752"/>
      <c r="X61" s="326"/>
      <c r="Y61" s="385"/>
      <c r="Z61" s="2603"/>
      <c r="AA61" s="2108" t="s">
        <v>65</v>
      </c>
      <c r="AB61" s="2603"/>
      <c r="AC61" s="2108" t="s">
        <v>65</v>
      </c>
      <c r="AD61" s="326"/>
      <c r="AE61" s="752">
        <v>152.27</v>
      </c>
      <c r="AF61" s="326"/>
      <c r="AG61" s="385"/>
      <c r="AH61" s="2603">
        <v>46023</v>
      </c>
      <c r="AI61" s="2108" t="s">
        <v>65</v>
      </c>
      <c r="AJ61" s="2603">
        <v>46387</v>
      </c>
      <c r="AK61" s="2108" t="s">
        <v>65</v>
      </c>
      <c r="AL61" s="326"/>
      <c r="AM61" s="2254" t="s">
        <v>540</v>
      </c>
      <c r="AN61" s="1643">
        <f>STRCHECKDATE(V62:AL62)</f>
      </c>
      <c r="AO61" s="1625"/>
      <c r="AP61" s="1625" t="str">
        <f>IF(T61="","",T61)</f>
        <v>вода</v>
      </c>
      <c r="AQ61" s="1625"/>
      <c r="AR61" s="1625"/>
      <c r="AS61" s="1636">
        <v>0</v>
      </c>
    </row>
    <row s="1851" customFormat="1" customHeight="1" ht="0.75">
      <c r="A62" s="1364"/>
      <c r="B62" s="1364"/>
      <c r="C62" s="1364"/>
      <c r="D62" s="1364"/>
      <c r="E62" s="2260"/>
      <c r="F62" s="2260">
        <v>1</v>
      </c>
      <c r="G62" s="2260"/>
      <c r="H62" s="2260"/>
      <c r="I62" s="2287"/>
      <c r="J62" s="2287"/>
      <c r="K62" s="2257"/>
      <c r="L62" s="1370"/>
      <c r="M62" s="1367"/>
      <c r="N62" s="1367"/>
      <c r="O62" s="1367"/>
      <c r="P62" s="2375"/>
      <c r="Q62" s="2375"/>
      <c r="R62" s="358"/>
      <c r="S62" s="2514"/>
      <c r="T62" s="301"/>
      <c r="U62" s="301"/>
      <c r="V62" s="326"/>
      <c r="W62" s="326"/>
      <c r="X62" s="326"/>
      <c r="Y62" s="329" t="str">
        <f>Z61&amp;"-"&amp;AB61</f>
        <v>-</v>
      </c>
      <c r="Z62" s="2310"/>
      <c r="AA62" s="2108"/>
      <c r="AB62" s="2310"/>
      <c r="AC62" s="2108"/>
      <c r="AD62" s="326"/>
      <c r="AE62" s="326"/>
      <c r="AF62" s="326"/>
      <c r="AG62" s="329" t="str">
        <f>AH61&amp;"-"&amp;AJ61</f>
        <v>46023-46387</v>
      </c>
      <c r="AH62" s="2310"/>
      <c r="AI62" s="2108"/>
      <c r="AJ62" s="2310"/>
      <c r="AK62" s="2108"/>
      <c r="AL62" s="326"/>
      <c r="AM62" s="2255"/>
      <c r="AN62" s="1643"/>
      <c r="AO62" s="1625"/>
      <c r="AP62" s="1625" t="str">
        <f>IF(T62="","",T62)</f>
        <v/>
      </c>
      <c r="AQ62" s="1625"/>
      <c r="AR62" s="1625"/>
      <c r="AS62" s="1636">
        <v>0</v>
      </c>
    </row>
    <row s="1851" customFormat="1" customHeight="1" ht="15">
      <c r="A63" s="1364"/>
      <c r="B63" s="1364"/>
      <c r="C63" s="1364"/>
      <c r="D63" s="1364"/>
      <c r="E63" s="2260"/>
      <c r="F63" s="2260">
        <v>1</v>
      </c>
      <c r="G63" s="2260"/>
      <c r="H63" s="2260"/>
      <c r="I63" s="2287"/>
      <c r="J63" s="2257"/>
      <c r="K63" s="1364"/>
      <c r="L63" s="1370"/>
      <c r="M63" s="1367"/>
      <c r="N63" s="1367"/>
      <c r="O63" s="1777"/>
      <c r="P63" s="2375"/>
      <c r="Q63" s="2375"/>
      <c r="R63" s="357"/>
      <c r="S63" s="4055"/>
      <c r="T63" s="4056" t="s">
        <v>541</v>
      </c>
      <c r="U63" s="4057"/>
      <c r="V63" s="4058"/>
      <c r="W63" s="4059"/>
      <c r="X63" s="4060"/>
      <c r="Y63" s="4061"/>
      <c r="Z63" s="4062"/>
      <c r="AA63" s="4063"/>
      <c r="AB63" s="4064"/>
      <c r="AC63" s="4065"/>
      <c r="AD63" s="4066"/>
      <c r="AE63" s="4067"/>
      <c r="AF63" s="4068"/>
      <c r="AG63" s="4069"/>
      <c r="AH63" s="4070"/>
      <c r="AI63" s="4071"/>
      <c r="AJ63" s="4072"/>
      <c r="AK63" s="4073"/>
      <c r="AL63" s="4074"/>
      <c r="AM63" s="2256"/>
      <c r="AN63" s="1643"/>
      <c r="AO63" s="1625"/>
      <c r="AP63" s="1625" t="str">
        <f>IF(T63="","",T63)</f>
        <v>Добавить вид теплоносителя (параметры теплоносителя)</v>
      </c>
      <c r="AQ63" s="1625"/>
      <c r="AR63" s="1625"/>
      <c r="AS63" s="1636">
        <v>0</v>
      </c>
    </row>
    <row s="1851" customFormat="1" customHeight="1" ht="15">
      <c r="A64" s="1364"/>
      <c r="B64" s="1364"/>
      <c r="C64" s="1364"/>
      <c r="D64" s="1364"/>
      <c r="E64" s="2260"/>
      <c r="F64" s="2260">
        <v>1</v>
      </c>
      <c r="G64" s="2260"/>
      <c r="H64" s="2260"/>
      <c r="I64" s="2257"/>
      <c r="J64" s="1364"/>
      <c r="K64" s="1364"/>
      <c r="L64" s="1370"/>
      <c r="M64" s="1367"/>
      <c r="N64" s="1777"/>
      <c r="O64" s="1777"/>
      <c r="P64" s="2375"/>
      <c r="Q64" s="2375"/>
      <c r="R64" s="357"/>
      <c r="S64" s="4075"/>
      <c r="T64" s="4076" t="s">
        <v>542</v>
      </c>
      <c r="U64" s="4077"/>
      <c r="V64" s="4078"/>
      <c r="W64" s="4079"/>
      <c r="X64" s="4080"/>
      <c r="Y64" s="4081"/>
      <c r="Z64" s="4082"/>
      <c r="AA64" s="4083"/>
      <c r="AB64" s="4084"/>
      <c r="AC64" s="4085"/>
      <c r="AD64" s="4086"/>
      <c r="AE64" s="4087"/>
      <c r="AF64" s="4088"/>
      <c r="AG64" s="4089"/>
      <c r="AH64" s="4090"/>
      <c r="AI64" s="4091"/>
      <c r="AJ64" s="4092"/>
      <c r="AK64" s="4093"/>
      <c r="AL64" s="4094"/>
      <c r="AM64" s="4095"/>
      <c r="AN64" s="1643"/>
      <c r="AO64" s="1625"/>
      <c r="AP64" s="1625" t="str">
        <f>IF(T64="","",T64)</f>
        <v>Добавить группу потребителей</v>
      </c>
      <c r="AQ64" s="1625"/>
      <c r="AR64" s="1625"/>
      <c r="AS64" s="1636">
        <v>0</v>
      </c>
    </row>
    <row s="1851" customFormat="1" customHeight="1" ht="14.25">
      <c r="A65" s="1364"/>
      <c r="B65" s="1364"/>
      <c r="C65" s="1364"/>
      <c r="D65" s="1364"/>
      <c r="E65" s="2260"/>
      <c r="F65" s="2260">
        <v>1</v>
      </c>
      <c r="G65" s="2260"/>
      <c r="H65" s="2259"/>
      <c r="I65" s="1364"/>
      <c r="J65" s="1364"/>
      <c r="K65" s="1364"/>
      <c r="L65" s="1370"/>
      <c r="M65" s="1366"/>
      <c r="N65" s="1366"/>
      <c r="O65" s="1367"/>
      <c r="P65" s="1824"/>
      <c r="Q65" s="376"/>
      <c r="R65" s="356"/>
      <c r="S65" s="4096"/>
      <c r="T65" s="4097" t="s">
        <v>543</v>
      </c>
      <c r="U65" s="4098"/>
      <c r="V65" s="4099"/>
      <c r="W65" s="4100"/>
      <c r="X65" s="4101"/>
      <c r="Y65" s="4102"/>
      <c r="Z65" s="4103"/>
      <c r="AA65" s="4104"/>
      <c r="AB65" s="4105"/>
      <c r="AC65" s="4106"/>
      <c r="AD65" s="4107"/>
      <c r="AE65" s="4108"/>
      <c r="AF65" s="4109"/>
      <c r="AG65" s="4110"/>
      <c r="AH65" s="4111"/>
      <c r="AI65" s="4112"/>
      <c r="AJ65" s="4113"/>
      <c r="AK65" s="4114"/>
      <c r="AL65" s="4115"/>
      <c r="AM65" s="4116"/>
      <c r="AN65" s="1643"/>
      <c r="AO65" s="1625"/>
      <c r="AP65" s="1625" t="str">
        <f>IF(T65="","",T65)</f>
        <v>Добавить схему подключения</v>
      </c>
      <c r="AQ65" s="1625"/>
      <c r="AR65" s="1625"/>
      <c r="AS65" s="1636">
        <v>0</v>
      </c>
    </row>
    <row s="623" customFormat="1" customHeight="1" ht="0.75">
      <c r="A66" s="1344"/>
      <c r="B66" s="1344"/>
      <c r="C66" s="1344"/>
      <c r="D66" s="1344"/>
      <c r="E66" s="2260"/>
      <c r="F66" s="2260">
        <v>1</v>
      </c>
      <c r="G66" s="2259"/>
      <c r="H66" s="1344"/>
      <c r="I66" s="1344"/>
      <c r="J66" s="1344"/>
      <c r="K66" s="1344"/>
      <c r="L66" s="1546"/>
      <c r="M66" s="1316"/>
      <c r="N66" s="1316"/>
      <c r="O66" s="1643"/>
      <c r="P66" s="1317"/>
      <c r="Q66" s="1345"/>
      <c r="R66" s="1317"/>
      <c r="S66" s="1319"/>
      <c r="T66" s="1320" t="s">
        <v>177</v>
      </c>
      <c r="U66" s="1321"/>
      <c r="V66" s="1321"/>
      <c r="W66" s="1321"/>
      <c r="X66" s="1321"/>
      <c r="Y66" s="1321"/>
      <c r="Z66" s="1321"/>
      <c r="AA66" s="1321"/>
      <c r="AB66" s="1321"/>
      <c r="AC66" s="1321"/>
      <c r="AD66" s="1321"/>
      <c r="AE66" s="1321"/>
      <c r="AF66" s="1321"/>
      <c r="AG66" s="1321"/>
      <c r="AH66" s="1321"/>
      <c r="AI66" s="1321"/>
      <c r="AJ66" s="1321"/>
      <c r="AK66" s="1321"/>
      <c r="AL66" s="1321"/>
      <c r="AM66" s="1321"/>
      <c r="AN66" s="1643"/>
      <c r="AO66" s="1625"/>
      <c r="AP66" s="1625" t="str">
        <f>IF(T66="","",T66)</f>
        <v>Добавить источник для дифференциации</v>
      </c>
      <c r="AQ66" s="1625"/>
      <c r="AR66" s="1625"/>
      <c r="AS66" s="1643">
        <v>0</v>
      </c>
    </row>
    <row s="623" customFormat="1" customHeight="1" ht="0.75">
      <c r="A67" s="1344"/>
      <c r="B67" s="1344"/>
      <c r="C67" s="1344"/>
      <c r="D67" s="1344"/>
      <c r="E67" s="2260"/>
      <c r="F67" s="2259">
        <v>1</v>
      </c>
      <c r="G67" s="1344"/>
      <c r="H67" s="1344"/>
      <c r="I67" s="1344"/>
      <c r="J67" s="1344"/>
      <c r="K67" s="1344"/>
      <c r="L67" s="1546"/>
      <c r="M67" s="1322"/>
      <c r="N67" s="1322"/>
      <c r="O67" s="1643"/>
      <c r="P67" s="1317"/>
      <c r="Q67" s="1345"/>
      <c r="R67" s="1317"/>
      <c r="S67" s="1323"/>
      <c r="T67" s="1324" t="s">
        <v>178</v>
      </c>
      <c r="U67" s="1325"/>
      <c r="V67" s="1325"/>
      <c r="W67" s="1325"/>
      <c r="X67" s="1325"/>
      <c r="Y67" s="1325"/>
      <c r="Z67" s="1325"/>
      <c r="AA67" s="1325"/>
      <c r="AB67" s="1325"/>
      <c r="AC67" s="1325"/>
      <c r="AD67" s="1325"/>
      <c r="AE67" s="1325"/>
      <c r="AF67" s="1325"/>
      <c r="AG67" s="1325"/>
      <c r="AH67" s="1325"/>
      <c r="AI67" s="1325"/>
      <c r="AJ67" s="1325"/>
      <c r="AK67" s="1325"/>
      <c r="AL67" s="1325"/>
      <c r="AM67" s="1325"/>
      <c r="AN67" s="1643"/>
      <c r="AO67" s="1625"/>
      <c r="AP67" s="1625" t="str">
        <f>IF(T67="","",T67)</f>
        <v>Добавить централизованную систему для дифференциации</v>
      </c>
      <c r="AQ67" s="1625"/>
      <c r="AR67" s="1625"/>
      <c r="AS67" s="1643">
        <v>0</v>
      </c>
    </row>
    <row s="1851" customFormat="1" customHeight="1" ht="21">
      <c r="A68" s="1364"/>
      <c r="B68" s="1364" t="s">
        <v>325</v>
      </c>
      <c r="C68" s="1364"/>
      <c r="D68" s="1364"/>
      <c r="E68" s="2260"/>
      <c r="F68" s="2259" t="s">
        <v>94</v>
      </c>
      <c r="G68" s="1364"/>
      <c r="H68" s="1364"/>
      <c r="I68" s="1364"/>
      <c r="J68" s="1364"/>
      <c r="K68" s="1364"/>
      <c r="L68" s="1370"/>
      <c r="M68" s="1366"/>
      <c r="N68" s="1366"/>
      <c r="O68" s="1366"/>
      <c r="P68" s="2126"/>
      <c r="Q68" s="353"/>
      <c r="R68" s="354"/>
      <c r="S68" s="2274" t="str">
        <f>INDEX(PT_DIFFERENTIATION_NUM_TER,MATCH(B68,PT_DIFFERENTIATION_TER_ID,0))</f>
        <v>1.3</v>
      </c>
      <c r="T68" s="1523" t="s">
        <v>527</v>
      </c>
      <c r="U68" s="301"/>
      <c r="V68" s="2243"/>
      <c r="W68" s="2244"/>
      <c r="X68" s="2244"/>
      <c r="Y68" s="2244"/>
      <c r="Z68" s="2244"/>
      <c r="AA68" s="2244"/>
      <c r="AB68" s="2244"/>
      <c r="AC68" s="2245"/>
      <c r="AD68" s="2243" t="str">
        <f>INDEX(PT_DIFFERENTIATION_TER,MATCH(B68,PT_DIFFERENTIATION_TER_ID,0))</f>
        <v>Территория 3</v>
      </c>
      <c r="AE68" s="2244"/>
      <c r="AF68" s="2244"/>
      <c r="AG68" s="2244"/>
      <c r="AH68" s="2244"/>
      <c r="AI68" s="2244"/>
      <c r="AJ68" s="2244"/>
      <c r="AK68" s="2244"/>
      <c r="AL68" s="2245"/>
      <c r="AM68" s="1259" t="s">
        <v>528</v>
      </c>
      <c r="AN68" s="1643"/>
      <c r="AO68" s="1625"/>
      <c r="AP68" s="1625" t="str">
        <f>IF(T68="","",T68)</f>
        <v>Территория действия тарифа</v>
      </c>
      <c r="AQ68" s="1625"/>
      <c r="AR68" s="1625"/>
      <c r="AS68" s="1636">
        <v>0</v>
      </c>
    </row>
    <row s="1851" customFormat="1" customHeight="1" ht="23.25">
      <c r="A69" s="1364"/>
      <c r="B69" s="1364"/>
      <c r="C69" s="1364" t="s">
        <v>326</v>
      </c>
      <c r="D69" s="1364"/>
      <c r="E69" s="2260"/>
      <c r="F69" s="2260" t="s">
        <v>107</v>
      </c>
      <c r="G69" s="2259">
        <v>1</v>
      </c>
      <c r="H69" s="1364"/>
      <c r="I69" s="1364"/>
      <c r="J69" s="1364"/>
      <c r="K69" s="1364"/>
      <c r="L69" s="1370"/>
      <c r="M69" s="1366"/>
      <c r="N69" s="1366"/>
      <c r="O69" s="1366"/>
      <c r="P69" s="355"/>
      <c r="Q69" s="353"/>
      <c r="R69" s="354"/>
      <c r="S69" s="2274" t="str">
        <f>INDEX(PT_DIFFERENTIATION_NUM_CS,MATCH(C69,PT_DIFFERENTIATION_CS_ID,0))</f>
        <v>1.3.1</v>
      </c>
      <c r="T69" s="310" t="s">
        <v>529</v>
      </c>
      <c r="U69" s="301"/>
      <c r="V69" s="2243"/>
      <c r="W69" s="2244"/>
      <c r="X69" s="2244"/>
      <c r="Y69" s="2244"/>
      <c r="Z69" s="2244"/>
      <c r="AA69" s="2244"/>
      <c r="AB69" s="2244"/>
      <c r="AC69" s="2245"/>
      <c r="AD69" s="2243" t="str">
        <f>INDEX(PT_DIFFERENTIATION_CS,MATCH(C69,PT_DIFFERENTIATION_CS_ID,0))</f>
        <v>закрытая система теплоснабжения нп Раякоски</v>
      </c>
      <c r="AE69" s="2244"/>
      <c r="AF69" s="2244"/>
      <c r="AG69" s="2244"/>
      <c r="AH69" s="2244"/>
      <c r="AI69" s="2244"/>
      <c r="AJ69" s="2244"/>
      <c r="AK69" s="2244"/>
      <c r="AL69" s="2245"/>
      <c r="AM69" s="1259" t="s">
        <v>530</v>
      </c>
      <c r="AN69" s="1643"/>
      <c r="AO69" s="1625"/>
      <c r="AP69" s="1625" t="str">
        <f>IF(T69="","",T69)</f>
        <v>Наименование системы теплоснабжения </v>
      </c>
      <c r="AQ69" s="1625"/>
      <c r="AR69" s="1625"/>
      <c r="AS69" s="1636">
        <v>0</v>
      </c>
    </row>
    <row s="1851" customFormat="1" customHeight="1" ht="21">
      <c r="A70" s="1364"/>
      <c r="B70" s="1364"/>
      <c r="C70" s="1364"/>
      <c r="D70" s="1364" t="s">
        <v>327</v>
      </c>
      <c r="E70" s="2260"/>
      <c r="F70" s="2260" t="s">
        <v>107</v>
      </c>
      <c r="G70" s="2260"/>
      <c r="H70" s="2259">
        <v>1</v>
      </c>
      <c r="I70" s="1364"/>
      <c r="J70" s="1364"/>
      <c r="K70" s="1364"/>
      <c r="L70" s="1370"/>
      <c r="M70" s="1366"/>
      <c r="N70" s="1366"/>
      <c r="O70" s="1366"/>
      <c r="P70" s="355"/>
      <c r="Q70" s="353"/>
      <c r="R70" s="354"/>
      <c r="S70" s="2274" t="str">
        <f>INDEX(PT_DIFFERENTIATION_NUM_IST_TE,MATCH(D70,PT_DIFFERENTIATION_IST_TE_ID,0))</f>
        <v>1.3.1.1</v>
      </c>
      <c r="T70" s="311" t="s">
        <v>531</v>
      </c>
      <c r="U70" s="301"/>
      <c r="V70" s="2243"/>
      <c r="W70" s="2244"/>
      <c r="X70" s="2244"/>
      <c r="Y70" s="2244"/>
      <c r="Z70" s="2244"/>
      <c r="AA70" s="2244"/>
      <c r="AB70" s="2244"/>
      <c r="AC70" s="2245"/>
      <c r="AD70" s="2243" t="str">
        <f>INDEX(PT_DIFFERENTIATION_IST_TE,MATCH(D70,PT_DIFFERENTIATION_IST_TE_ID,0))</f>
        <v>Электрокотельные нп Раякоски</v>
      </c>
      <c r="AE70" s="2244"/>
      <c r="AF70" s="2244"/>
      <c r="AG70" s="2244"/>
      <c r="AH70" s="2244"/>
      <c r="AI70" s="2244"/>
      <c r="AJ70" s="2244"/>
      <c r="AK70" s="2244"/>
      <c r="AL70" s="2245"/>
      <c r="AM70" s="1259" t="s">
        <v>532</v>
      </c>
      <c r="AN70" s="1643"/>
      <c r="AO70" s="1625"/>
      <c r="AP70" s="1625" t="str">
        <f>IF(T70="","",T70)</f>
        <v>Источник тепловой энергии  </v>
      </c>
      <c r="AQ70" s="1625"/>
      <c r="AR70" s="1625"/>
      <c r="AS70" s="1636">
        <v>0</v>
      </c>
    </row>
    <row s="1851" customFormat="1" customHeight="1" ht="47.25">
      <c r="A71" s="1364"/>
      <c r="B71" s="1364"/>
      <c r="C71" s="1364"/>
      <c r="D71" s="1364"/>
      <c r="E71" s="2260"/>
      <c r="F71" s="2260" t="s">
        <v>107</v>
      </c>
      <c r="G71" s="2260"/>
      <c r="H71" s="2260"/>
      <c r="I71" s="2257" t="str">
        <f>S70&amp;".1"</f>
        <v>1.3.1.1.1</v>
      </c>
      <c r="J71" s="1364"/>
      <c r="K71" s="1364"/>
      <c r="L71" s="1370" t="s">
        <v>533</v>
      </c>
      <c r="M71" s="1367"/>
      <c r="N71" s="1777"/>
      <c r="O71" s="1777"/>
      <c r="P71" s="2375">
        <v>1</v>
      </c>
      <c r="Q71" s="2375"/>
      <c r="R71" s="357"/>
      <c r="S71" s="2274" t="str">
        <f>$I71</f>
        <v>1.3.1.1.1</v>
      </c>
      <c r="T71" s="286" t="s">
        <v>534</v>
      </c>
      <c r="U71" s="301"/>
      <c r="V71" s="2246"/>
      <c r="W71" s="2247"/>
      <c r="X71" s="2247"/>
      <c r="Y71" s="2247"/>
      <c r="Z71" s="2247"/>
      <c r="AA71" s="2247"/>
      <c r="AB71" s="2247"/>
      <c r="AC71" s="2248"/>
      <c r="AD71" s="2246" t="s">
        <v>576</v>
      </c>
      <c r="AE71" s="2247"/>
      <c r="AF71" s="2247"/>
      <c r="AG71" s="2247"/>
      <c r="AH71" s="2247"/>
      <c r="AI71" s="2247"/>
      <c r="AJ71" s="2247"/>
      <c r="AK71" s="2247"/>
      <c r="AL71" s="2248"/>
      <c r="AM71" s="1259" t="s">
        <v>535</v>
      </c>
      <c r="AN71" s="1643"/>
      <c r="AO71" s="1625"/>
      <c r="AP71" s="1625" t="str">
        <f>IF(T71="","",T71)</f>
        <v>Схема подключения теплопотребляющей установки к коллектору источника тепловой энергии</v>
      </c>
      <c r="AQ71" s="1625"/>
      <c r="AR71" s="1625"/>
      <c r="AS71" s="1636">
        <v>0</v>
      </c>
    </row>
    <row s="1851" customFormat="1" customHeight="1" ht="21">
      <c r="A72" s="1364"/>
      <c r="B72" s="1364"/>
      <c r="C72" s="1364"/>
      <c r="D72" s="1364"/>
      <c r="E72" s="2260"/>
      <c r="F72" s="2260" t="s">
        <v>107</v>
      </c>
      <c r="G72" s="2260"/>
      <c r="H72" s="2260"/>
      <c r="I72" s="2287"/>
      <c r="J72" s="2257" t="str">
        <f>I71&amp;".1"</f>
        <v>1.3.1.1.1.1</v>
      </c>
      <c r="K72" s="1364"/>
      <c r="L72" s="1370" t="s">
        <v>536</v>
      </c>
      <c r="M72" s="1367"/>
      <c r="N72" s="1367"/>
      <c r="O72" s="1777"/>
      <c r="P72" s="2375"/>
      <c r="Q72" s="2375">
        <v>1</v>
      </c>
      <c r="R72" s="358"/>
      <c r="S72" s="2274" t="str">
        <f>$J72</f>
        <v>1.3.1.1.1.1</v>
      </c>
      <c r="T72" s="287" t="s">
        <v>537</v>
      </c>
      <c r="U72" s="301"/>
      <c r="V72" s="2246"/>
      <c r="W72" s="2247"/>
      <c r="X72" s="2247"/>
      <c r="Y72" s="2247"/>
      <c r="Z72" s="2247"/>
      <c r="AA72" s="2247"/>
      <c r="AB72" s="2247"/>
      <c r="AC72" s="2248"/>
      <c r="AD72" s="2246" t="s">
        <v>576</v>
      </c>
      <c r="AE72" s="2247"/>
      <c r="AF72" s="2247"/>
      <c r="AG72" s="2247"/>
      <c r="AH72" s="2247"/>
      <c r="AI72" s="2247"/>
      <c r="AJ72" s="2247"/>
      <c r="AK72" s="2247"/>
      <c r="AL72" s="2248"/>
      <c r="AM72" s="1259" t="s">
        <v>538</v>
      </c>
      <c r="AN72" s="1643"/>
      <c r="AO72" s="1625"/>
      <c r="AP72" s="1625" t="str">
        <f>IF(T72="","",T72)</f>
        <v>Группа потребителей</v>
      </c>
      <c r="AQ72" s="1625"/>
      <c r="AR72" s="1625"/>
      <c r="AS72" s="1636">
        <v>0</v>
      </c>
    </row>
    <row s="1851" customFormat="1" customHeight="1" ht="21">
      <c r="A73" s="1364"/>
      <c r="B73" s="1364"/>
      <c r="C73" s="1364"/>
      <c r="D73" s="1364"/>
      <c r="E73" s="2260"/>
      <c r="F73" s="2260" t="s">
        <v>107</v>
      </c>
      <c r="G73" s="2260"/>
      <c r="H73" s="2260"/>
      <c r="I73" s="2287"/>
      <c r="J73" s="2287"/>
      <c r="K73" s="2257" t="str">
        <f>J72&amp;".1"</f>
        <v>1.3.1.1.1.1.1</v>
      </c>
      <c r="L73" s="1370" t="s">
        <v>539</v>
      </c>
      <c r="M73" s="1367"/>
      <c r="N73" s="1367"/>
      <c r="O73" s="1367"/>
      <c r="P73" s="2375"/>
      <c r="Q73" s="2375"/>
      <c r="R73" s="358">
        <v>1</v>
      </c>
      <c r="S73" s="2274" t="str">
        <f>$K73</f>
        <v>1.3.1.1.1.1.1</v>
      </c>
      <c r="T73" s="1348" t="s">
        <v>577</v>
      </c>
      <c r="U73" s="301"/>
      <c r="V73" s="326"/>
      <c r="W73" s="752"/>
      <c r="X73" s="326"/>
      <c r="Y73" s="385"/>
      <c r="Z73" s="2603"/>
      <c r="AA73" s="2108" t="s">
        <v>65</v>
      </c>
      <c r="AB73" s="2603"/>
      <c r="AC73" s="2108" t="s">
        <v>65</v>
      </c>
      <c r="AD73" s="326"/>
      <c r="AE73" s="752">
        <v>152.27</v>
      </c>
      <c r="AF73" s="326"/>
      <c r="AG73" s="385"/>
      <c r="AH73" s="2603">
        <v>46023</v>
      </c>
      <c r="AI73" s="2108" t="s">
        <v>65</v>
      </c>
      <c r="AJ73" s="2603">
        <v>46387</v>
      </c>
      <c r="AK73" s="2108" t="s">
        <v>65</v>
      </c>
      <c r="AL73" s="326"/>
      <c r="AM73" s="2254" t="s">
        <v>540</v>
      </c>
      <c r="AN73" s="1643">
        <f>STRCHECKDATE(V74:AL74)</f>
      </c>
      <c r="AO73" s="1625"/>
      <c r="AP73" s="1625" t="str">
        <f>IF(T73="","",T73)</f>
        <v>вода</v>
      </c>
      <c r="AQ73" s="1625"/>
      <c r="AR73" s="1625"/>
      <c r="AS73" s="1636">
        <v>0</v>
      </c>
    </row>
    <row s="1851" customFormat="1" customHeight="1" ht="0.75">
      <c r="A74" s="1364"/>
      <c r="B74" s="1364"/>
      <c r="C74" s="1364"/>
      <c r="D74" s="1364"/>
      <c r="E74" s="2260"/>
      <c r="F74" s="2260" t="s">
        <v>107</v>
      </c>
      <c r="G74" s="2260"/>
      <c r="H74" s="2260"/>
      <c r="I74" s="2287"/>
      <c r="J74" s="2287"/>
      <c r="K74" s="2257"/>
      <c r="L74" s="1370"/>
      <c r="M74" s="1367"/>
      <c r="N74" s="1367"/>
      <c r="O74" s="1367"/>
      <c r="P74" s="2375"/>
      <c r="Q74" s="2375"/>
      <c r="R74" s="358"/>
      <c r="S74" s="2514"/>
      <c r="T74" s="301"/>
      <c r="U74" s="301"/>
      <c r="V74" s="326"/>
      <c r="W74" s="326"/>
      <c r="X74" s="326"/>
      <c r="Y74" s="329" t="str">
        <f>Z73&amp;"-"&amp;AB73</f>
        <v>-</v>
      </c>
      <c r="Z74" s="2310"/>
      <c r="AA74" s="2108"/>
      <c r="AB74" s="2310"/>
      <c r="AC74" s="2108"/>
      <c r="AD74" s="326"/>
      <c r="AE74" s="326"/>
      <c r="AF74" s="326"/>
      <c r="AG74" s="329" t="str">
        <f>AH73&amp;"-"&amp;AJ73</f>
        <v>46023-46387</v>
      </c>
      <c r="AH74" s="2310"/>
      <c r="AI74" s="2108"/>
      <c r="AJ74" s="2310"/>
      <c r="AK74" s="2108"/>
      <c r="AL74" s="326"/>
      <c r="AM74" s="2255"/>
      <c r="AN74" s="1643"/>
      <c r="AO74" s="1625"/>
      <c r="AP74" s="1625" t="str">
        <f>IF(T74="","",T74)</f>
        <v/>
      </c>
      <c r="AQ74" s="1625"/>
      <c r="AR74" s="1625"/>
      <c r="AS74" s="1636">
        <v>0</v>
      </c>
    </row>
    <row s="1851" customFormat="1" customHeight="1" ht="15">
      <c r="A75" s="1364"/>
      <c r="B75" s="1364"/>
      <c r="C75" s="1364"/>
      <c r="D75" s="1364"/>
      <c r="E75" s="2260"/>
      <c r="F75" s="2260" t="s">
        <v>107</v>
      </c>
      <c r="G75" s="2260"/>
      <c r="H75" s="2260"/>
      <c r="I75" s="2287"/>
      <c r="J75" s="2257"/>
      <c r="K75" s="1364"/>
      <c r="L75" s="1370"/>
      <c r="M75" s="1367"/>
      <c r="N75" s="1367"/>
      <c r="O75" s="1777"/>
      <c r="P75" s="2375"/>
      <c r="Q75" s="2375"/>
      <c r="R75" s="357"/>
      <c r="S75" s="4117"/>
      <c r="T75" s="4118" t="s">
        <v>541</v>
      </c>
      <c r="U75" s="4119"/>
      <c r="V75" s="4120"/>
      <c r="W75" s="4121"/>
      <c r="X75" s="4122"/>
      <c r="Y75" s="4123"/>
      <c r="Z75" s="4124"/>
      <c r="AA75" s="4125"/>
      <c r="AB75" s="4126"/>
      <c r="AC75" s="4127"/>
      <c r="AD75" s="4128"/>
      <c r="AE75" s="4129"/>
      <c r="AF75" s="4130"/>
      <c r="AG75" s="4131"/>
      <c r="AH75" s="4132"/>
      <c r="AI75" s="4133"/>
      <c r="AJ75" s="4134"/>
      <c r="AK75" s="4135"/>
      <c r="AL75" s="4136"/>
      <c r="AM75" s="2256"/>
      <c r="AN75" s="1643"/>
      <c r="AO75" s="1625"/>
      <c r="AP75" s="1625" t="str">
        <f>IF(T75="","",T75)</f>
        <v>Добавить вид теплоносителя (параметры теплоносителя)</v>
      </c>
      <c r="AQ75" s="1625"/>
      <c r="AR75" s="1625"/>
      <c r="AS75" s="1636">
        <v>0</v>
      </c>
    </row>
    <row s="1851" customFormat="1" customHeight="1" ht="15">
      <c r="A76" s="1364"/>
      <c r="B76" s="1364"/>
      <c r="C76" s="1364"/>
      <c r="D76" s="1364"/>
      <c r="E76" s="2260"/>
      <c r="F76" s="2260" t="s">
        <v>107</v>
      </c>
      <c r="G76" s="2260"/>
      <c r="H76" s="2260"/>
      <c r="I76" s="2257"/>
      <c r="J76" s="1364"/>
      <c r="K76" s="1364"/>
      <c r="L76" s="1370"/>
      <c r="M76" s="1367"/>
      <c r="N76" s="1777"/>
      <c r="O76" s="1777"/>
      <c r="P76" s="2375"/>
      <c r="Q76" s="2375"/>
      <c r="R76" s="357"/>
      <c r="S76" s="4137"/>
      <c r="T76" s="4138" t="s">
        <v>542</v>
      </c>
      <c r="U76" s="4139"/>
      <c r="V76" s="4140"/>
      <c r="W76" s="4141"/>
      <c r="X76" s="4142"/>
      <c r="Y76" s="4143"/>
      <c r="Z76" s="4144"/>
      <c r="AA76" s="4145"/>
      <c r="AB76" s="4146"/>
      <c r="AC76" s="4147"/>
      <c r="AD76" s="4148"/>
      <c r="AE76" s="4149"/>
      <c r="AF76" s="4150"/>
      <c r="AG76" s="4151"/>
      <c r="AH76" s="4152"/>
      <c r="AI76" s="4153"/>
      <c r="AJ76" s="4154"/>
      <c r="AK76" s="4155"/>
      <c r="AL76" s="4156"/>
      <c r="AM76" s="4157"/>
      <c r="AN76" s="1643"/>
      <c r="AO76" s="1625"/>
      <c r="AP76" s="1625" t="str">
        <f>IF(T76="","",T76)</f>
        <v>Добавить группу потребителей</v>
      </c>
      <c r="AQ76" s="1625"/>
      <c r="AR76" s="1625"/>
      <c r="AS76" s="1636">
        <v>0</v>
      </c>
    </row>
    <row s="1851" customFormat="1" customHeight="1" ht="14.25">
      <c r="A77" s="1364"/>
      <c r="B77" s="1364"/>
      <c r="C77" s="1364"/>
      <c r="D77" s="1364"/>
      <c r="E77" s="2260"/>
      <c r="F77" s="2260" t="s">
        <v>107</v>
      </c>
      <c r="G77" s="2260"/>
      <c r="H77" s="2259"/>
      <c r="I77" s="1364"/>
      <c r="J77" s="1364"/>
      <c r="K77" s="1364"/>
      <c r="L77" s="1370"/>
      <c r="M77" s="1366"/>
      <c r="N77" s="1366"/>
      <c r="O77" s="1367"/>
      <c r="P77" s="1824"/>
      <c r="Q77" s="376"/>
      <c r="R77" s="356"/>
      <c r="S77" s="4158"/>
      <c r="T77" s="4159" t="s">
        <v>543</v>
      </c>
      <c r="U77" s="4160"/>
      <c r="V77" s="4161"/>
      <c r="W77" s="4162"/>
      <c r="X77" s="4163"/>
      <c r="Y77" s="4164"/>
      <c r="Z77" s="4165"/>
      <c r="AA77" s="4166"/>
      <c r="AB77" s="4167"/>
      <c r="AC77" s="4168"/>
      <c r="AD77" s="4169"/>
      <c r="AE77" s="4170"/>
      <c r="AF77" s="4171"/>
      <c r="AG77" s="4172"/>
      <c r="AH77" s="4173"/>
      <c r="AI77" s="4174"/>
      <c r="AJ77" s="4175"/>
      <c r="AK77" s="4176"/>
      <c r="AL77" s="4177"/>
      <c r="AM77" s="4178"/>
      <c r="AN77" s="1643"/>
      <c r="AO77" s="1625"/>
      <c r="AP77" s="1625" t="str">
        <f>IF(T77="","",T77)</f>
        <v>Добавить схему подключения</v>
      </c>
      <c r="AQ77" s="1625"/>
      <c r="AR77" s="1625"/>
      <c r="AS77" s="1636">
        <v>0</v>
      </c>
    </row>
    <row s="623" customFormat="1" customHeight="1" ht="0.75">
      <c r="A78" s="1344"/>
      <c r="B78" s="1344"/>
      <c r="C78" s="1344"/>
      <c r="D78" s="1344"/>
      <c r="E78" s="2260"/>
      <c r="F78" s="2260" t="s">
        <v>107</v>
      </c>
      <c r="G78" s="2259"/>
      <c r="H78" s="1344"/>
      <c r="I78" s="1344"/>
      <c r="J78" s="1344"/>
      <c r="K78" s="1344"/>
      <c r="L78" s="1546"/>
      <c r="M78" s="1316"/>
      <c r="N78" s="1316"/>
      <c r="O78" s="1643"/>
      <c r="P78" s="1317"/>
      <c r="Q78" s="1345"/>
      <c r="R78" s="1317"/>
      <c r="S78" s="1319"/>
      <c r="T78" s="1320" t="s">
        <v>177</v>
      </c>
      <c r="U78" s="1321"/>
      <c r="V78" s="1321"/>
      <c r="W78" s="1321"/>
      <c r="X78" s="1321"/>
      <c r="Y78" s="1321"/>
      <c r="Z78" s="1321"/>
      <c r="AA78" s="1321"/>
      <c r="AB78" s="1321"/>
      <c r="AC78" s="1321"/>
      <c r="AD78" s="1321"/>
      <c r="AE78" s="1321"/>
      <c r="AF78" s="1321"/>
      <c r="AG78" s="1321"/>
      <c r="AH78" s="1321"/>
      <c r="AI78" s="1321"/>
      <c r="AJ78" s="1321"/>
      <c r="AK78" s="1321"/>
      <c r="AL78" s="1321"/>
      <c r="AM78" s="1321"/>
      <c r="AN78" s="1643"/>
      <c r="AO78" s="1625"/>
      <c r="AP78" s="1625" t="str">
        <f>IF(T78="","",T78)</f>
        <v>Добавить источник для дифференциации</v>
      </c>
      <c r="AQ78" s="1625"/>
      <c r="AR78" s="1625"/>
      <c r="AS78" s="1643">
        <v>0</v>
      </c>
    </row>
    <row s="623" customFormat="1" customHeight="1" ht="0.75">
      <c r="A79" s="1344"/>
      <c r="B79" s="1344"/>
      <c r="C79" s="1344"/>
      <c r="D79" s="1344"/>
      <c r="E79" s="2260"/>
      <c r="F79" s="2259" t="s">
        <v>107</v>
      </c>
      <c r="G79" s="1344"/>
      <c r="H79" s="1344"/>
      <c r="I79" s="1344"/>
      <c r="J79" s="1344"/>
      <c r="K79" s="1344"/>
      <c r="L79" s="1546"/>
      <c r="M79" s="1322"/>
      <c r="N79" s="1322"/>
      <c r="O79" s="1643"/>
      <c r="P79" s="1317"/>
      <c r="Q79" s="1345"/>
      <c r="R79" s="1317"/>
      <c r="S79" s="1323"/>
      <c r="T79" s="1324" t="s">
        <v>178</v>
      </c>
      <c r="U79" s="1325"/>
      <c r="V79" s="1325"/>
      <c r="W79" s="1325"/>
      <c r="X79" s="1325"/>
      <c r="Y79" s="1325"/>
      <c r="Z79" s="1325"/>
      <c r="AA79" s="1325"/>
      <c r="AB79" s="1325"/>
      <c r="AC79" s="1325"/>
      <c r="AD79" s="1325"/>
      <c r="AE79" s="1325"/>
      <c r="AF79" s="1325"/>
      <c r="AG79" s="1325"/>
      <c r="AH79" s="1325"/>
      <c r="AI79" s="1325"/>
      <c r="AJ79" s="1325"/>
      <c r="AK79" s="1325"/>
      <c r="AL79" s="1325"/>
      <c r="AM79" s="1325"/>
      <c r="AN79" s="1643"/>
      <c r="AO79" s="1625"/>
      <c r="AP79" s="1625" t="str">
        <f>IF(T79="","",T79)</f>
        <v>Добавить централизованную систему для дифференциации</v>
      </c>
      <c r="AQ79" s="1625"/>
      <c r="AR79" s="1625"/>
      <c r="AS79" s="1643">
        <v>0</v>
      </c>
    </row>
    <row s="1643" customFormat="1" customHeight="1" ht="1.05">
      <c r="A80" s="1344" t="s">
        <v>318</v>
      </c>
      <c r="B80" s="1344"/>
      <c r="C80" s="1344"/>
      <c r="D80" s="1344"/>
      <c r="E80" s="2259"/>
      <c r="F80" s="1344"/>
      <c r="G80" s="1344"/>
      <c r="H80" s="1344"/>
      <c r="I80" s="1344"/>
      <c r="J80" s="1344"/>
      <c r="K80" s="1344"/>
      <c r="L80" s="1347"/>
      <c r="M80" s="1322"/>
      <c r="N80" s="1322"/>
      <c r="O80" s="519"/>
      <c r="P80" s="381"/>
      <c r="Q80" s="1345"/>
      <c r="R80" s="381"/>
      <c r="S80" s="1323"/>
      <c r="T80" s="1326" t="s">
        <v>183</v>
      </c>
      <c r="U80" s="1325"/>
      <c r="V80" s="1325"/>
      <c r="W80" s="1325"/>
      <c r="X80" s="1325"/>
      <c r="Y80" s="1325"/>
      <c r="Z80" s="1325"/>
      <c r="AA80" s="1325"/>
      <c r="AB80" s="1325"/>
      <c r="AC80" s="1325"/>
      <c r="AD80" s="1325"/>
      <c r="AE80" s="1325"/>
      <c r="AF80" s="1325"/>
      <c r="AG80" s="1325"/>
      <c r="AH80" s="1325"/>
      <c r="AI80" s="1325"/>
      <c r="AJ80" s="1325"/>
      <c r="AK80" s="1325"/>
      <c r="AL80" s="1325"/>
      <c r="AM80" s="1325"/>
      <c r="AO80" s="501"/>
      <c r="AP80" s="501" t="str">
        <f>IF(T80="","",T80)</f>
        <v>Добавить территорию для дифференциации</v>
      </c>
      <c r="AQ80" s="501"/>
      <c r="AR80" s="501"/>
      <c r="AS80" s="512">
        <v>1</v>
      </c>
    </row>
    <row s="1643" customFormat="1" customHeight="1" ht="1.05">
      <c r="A81" s="1315"/>
      <c r="B81" s="1315"/>
      <c r="C81" s="1315"/>
      <c r="D81" s="1315"/>
      <c r="E81" s="1344"/>
      <c r="F81" s="1315"/>
      <c r="G81" s="1315"/>
      <c r="H81" s="1315"/>
      <c r="I81" s="1315"/>
      <c r="J81" s="1315"/>
      <c r="K81" s="1315"/>
      <c r="L81" s="1340"/>
      <c r="M81" s="1322"/>
      <c r="N81" s="1322"/>
      <c r="P81" s="1317"/>
      <c r="Q81" s="1318"/>
      <c r="R81" s="1317"/>
      <c r="S81" s="1323"/>
      <c r="T81" s="1326" t="s">
        <v>222</v>
      </c>
      <c r="U81" s="1325"/>
      <c r="V81" s="1325"/>
      <c r="W81" s="1325"/>
      <c r="X81" s="1325"/>
      <c r="Y81" s="1325"/>
      <c r="Z81" s="1325"/>
      <c r="AA81" s="1325"/>
      <c r="AB81" s="1325"/>
      <c r="AC81" s="1325"/>
      <c r="AD81" s="1325"/>
      <c r="AE81" s="1325"/>
      <c r="AF81" s="1325"/>
      <c r="AG81" s="1325"/>
      <c r="AH81" s="1325"/>
      <c r="AI81" s="1325"/>
      <c r="AJ81" s="1325"/>
      <c r="AK81" s="1325"/>
      <c r="AL81" s="1325"/>
      <c r="AM81" s="1325"/>
      <c r="AO81" s="790"/>
      <c r="AP81" s="790" t="str">
        <f>IF(T81="","",T81)</f>
        <v>Добавить наименование тарифа</v>
      </c>
      <c r="AQ81" s="790"/>
      <c r="AR81" s="790"/>
      <c r="AS81" s="519">
        <v>1</v>
      </c>
    </row>
    <row customHeight="1" ht="11.549999999999999">
      <c r="M82" s="1161"/>
      <c r="N82" s="1161"/>
      <c r="O82" s="538"/>
      <c r="P82" s="1156"/>
      <c r="Q82" s="1156"/>
      <c r="R82" s="1156"/>
      <c r="S82" s="1156"/>
      <c r="AN82" s="1156"/>
      <c r="AO82" s="1156"/>
      <c r="AP82" s="1156"/>
      <c r="AQ82" s="1156"/>
      <c r="AR82" s="1156"/>
      <c r="AS82" s="1156">
        <v>11</v>
      </c>
    </row>
    <row customHeight="1" ht="28.5">
      <c r="O83" s="538"/>
      <c r="S83" s="1254"/>
      <c r="T83" s="2286"/>
      <c r="U83" s="2286"/>
      <c r="V83" s="2286"/>
      <c r="W83" s="2286"/>
      <c r="X83" s="2286"/>
      <c r="Y83" s="2286"/>
      <c r="Z83" s="2286"/>
      <c r="AA83" s="2286"/>
      <c r="AB83" s="2286"/>
      <c r="AC83" s="2286"/>
      <c r="AD83" s="2286"/>
      <c r="AE83" s="2286"/>
      <c r="AF83" s="2286"/>
      <c r="AG83" s="2286"/>
      <c r="AH83" s="2286"/>
      <c r="AI83" s="2286"/>
      <c r="AJ83" s="2286"/>
      <c r="AK83" s="2286"/>
      <c r="AL83" s="2286"/>
      <c r="AM83" s="2286"/>
      <c r="AS83" s="1156">
        <v>27</v>
      </c>
    </row>
    <row customHeight="1" ht="78.75">
      <c r="O84" s="538"/>
      <c r="T84" s="2286"/>
      <c r="U84" s="2286"/>
      <c r="V84" s="2286"/>
      <c r="W84" s="2286"/>
      <c r="X84" s="2286"/>
      <c r="Y84" s="2286"/>
      <c r="Z84" s="2286"/>
      <c r="AA84" s="2286"/>
      <c r="AB84" s="2286"/>
      <c r="AC84" s="2286"/>
      <c r="AD84" s="2286"/>
      <c r="AE84" s="2286"/>
      <c r="AF84" s="2286"/>
      <c r="AG84" s="2286"/>
      <c r="AH84" s="2286"/>
      <c r="AI84" s="2286"/>
      <c r="AJ84" s="2286"/>
      <c r="AK84" s="2286"/>
      <c r="AL84" s="2286"/>
      <c r="AM84" s="2286"/>
      <c r="AS84" s="1156">
        <v>75</v>
      </c>
    </row>
    <row customHeight="1" ht="14.699999999999998">
      <c r="O85" s="538"/>
      <c r="AS85" s="1156">
        <v>14</v>
      </c>
    </row>
    <row customHeight="1" ht="18.75">
      <c r="O86" s="538"/>
      <c r="S86" s="1254"/>
      <c r="T86" s="2286"/>
      <c r="U86" s="2286"/>
      <c r="V86" s="2286"/>
      <c r="W86" s="2286"/>
      <c r="X86" s="2286"/>
      <c r="Y86" s="2286"/>
      <c r="Z86" s="2286"/>
      <c r="AA86" s="2286"/>
      <c r="AB86" s="2286"/>
      <c r="AC86" s="2286"/>
      <c r="AD86" s="2286"/>
      <c r="AE86" s="2286"/>
      <c r="AF86" s="2286"/>
      <c r="AG86" s="2286"/>
      <c r="AH86" s="2286"/>
      <c r="AI86" s="2286"/>
      <c r="AJ86" s="2286"/>
      <c r="AK86" s="2286"/>
      <c r="AL86" s="2286"/>
      <c r="AM86" s="2286"/>
      <c r="AS86" s="1156">
        <v>18</v>
      </c>
    </row>
    <row customHeight="1" ht="18.75">
      <c r="O87" s="538"/>
      <c r="T87" s="2286"/>
      <c r="U87" s="2286"/>
      <c r="V87" s="2286"/>
      <c r="W87" s="2286"/>
      <c r="X87" s="2286"/>
      <c r="Y87" s="2286"/>
      <c r="Z87" s="2286"/>
      <c r="AA87" s="2286"/>
      <c r="AB87" s="2286"/>
      <c r="AC87" s="2286"/>
      <c r="AD87" s="2286"/>
      <c r="AE87" s="2286"/>
      <c r="AF87" s="2286"/>
      <c r="AG87" s="2286"/>
      <c r="AH87" s="2286"/>
      <c r="AI87" s="2286"/>
      <c r="AJ87" s="2286"/>
      <c r="AK87" s="2286"/>
      <c r="AL87" s="2286"/>
      <c r="AM87" s="2286"/>
      <c r="AS87" s="1156">
        <v>18</v>
      </c>
    </row>
    <row customHeight="1" ht="39.75">
      <c r="O88" s="538"/>
      <c r="S88" s="1254"/>
      <c r="T88" s="2286"/>
      <c r="U88" s="2286"/>
      <c r="V88" s="2286"/>
      <c r="W88" s="2286"/>
      <c r="X88" s="2286"/>
      <c r="Y88" s="2286"/>
      <c r="Z88" s="2286"/>
      <c r="AA88" s="2286"/>
      <c r="AB88" s="2286"/>
      <c r="AC88" s="2286"/>
      <c r="AD88" s="2286"/>
      <c r="AE88" s="2286"/>
      <c r="AF88" s="2286"/>
      <c r="AG88" s="2286"/>
      <c r="AH88" s="2286"/>
      <c r="AI88" s="2286"/>
      <c r="AJ88" s="2286"/>
      <c r="AK88" s="2286"/>
      <c r="AL88" s="2286"/>
      <c r="AM88" s="2286"/>
      <c r="AS88" s="1156">
        <v>38</v>
      </c>
    </row>
    <row customHeight="1" ht="22.5" hidden="1">
      <c r="A89" s="1161" t="s">
        <v>86</v>
      </c>
      <c r="B89" s="1161">
        <v>0</v>
      </c>
      <c r="C89" s="1161">
        <v>0</v>
      </c>
      <c r="D89" s="1161">
        <v>0</v>
      </c>
      <c r="E89" s="1161">
        <v>0</v>
      </c>
      <c r="F89" s="1161">
        <v>0</v>
      </c>
      <c r="G89" s="1161">
        <v>0</v>
      </c>
      <c r="H89" s="1161">
        <v>0</v>
      </c>
      <c r="I89" s="1161">
        <v>0</v>
      </c>
      <c r="J89" s="1161">
        <v>0</v>
      </c>
      <c r="K89" s="1161">
        <v>0</v>
      </c>
      <c r="L89" s="1330">
        <v>0</v>
      </c>
      <c r="M89" s="1363">
        <v>0</v>
      </c>
      <c r="N89" s="1363">
        <v>0</v>
      </c>
      <c r="O89" s="1363">
        <v>0</v>
      </c>
      <c r="P89" s="1329">
        <v>3</v>
      </c>
      <c r="Q89" s="345">
        <v>3</v>
      </c>
      <c r="R89" s="345">
        <v>3</v>
      </c>
      <c r="S89" s="582">
        <v>12</v>
      </c>
      <c r="T89" s="1156">
        <v>31</v>
      </c>
      <c r="U89" s="1156">
        <v>0</v>
      </c>
      <c r="V89" s="1156">
        <v>0</v>
      </c>
      <c r="W89" s="1156">
        <v>0</v>
      </c>
      <c r="X89" s="1156">
        <v>0</v>
      </c>
      <c r="Y89" s="1156">
        <v>0</v>
      </c>
      <c r="Z89" s="1156">
        <v>0</v>
      </c>
      <c r="AA89" s="1156">
        <v>0</v>
      </c>
      <c r="AB89" s="1156">
        <v>0</v>
      </c>
      <c r="AC89" s="1156">
        <v>0</v>
      </c>
      <c r="AD89" s="1156">
        <v>0</v>
      </c>
      <c r="AE89" s="1156">
        <v>24</v>
      </c>
      <c r="AF89" s="1156">
        <v>0</v>
      </c>
      <c r="AG89" s="1156">
        <v>0</v>
      </c>
      <c r="AH89" s="1156">
        <v>11</v>
      </c>
      <c r="AI89" s="1156">
        <v>3</v>
      </c>
      <c r="AJ89" s="1156">
        <v>11</v>
      </c>
      <c r="AK89" s="1156">
        <v>0</v>
      </c>
      <c r="AL89" s="1156">
        <v>4</v>
      </c>
      <c r="AM89" s="1156">
        <v>115</v>
      </c>
      <c r="AN89" s="512">
        <v>10</v>
      </c>
      <c r="AO89" s="512">
        <v>10</v>
      </c>
      <c r="AP89" s="512">
        <v>10</v>
      </c>
      <c r="AQ89" s="512">
        <v>10</v>
      </c>
      <c r="AR89" s="512">
        <v>10</v>
      </c>
      <c r="AS89" s="1156">
        <v>23</v>
      </c>
    </row>
  </sheetData>
  <sheetProtection formatColumns="0" formatRows="0" autoFilter="0" sort="0" insertRows="0" insertColumns="1" deleteRows="0" deleteColumns="0"/>
  <mergeCells count="164">
    <mergeCell ref="V2:AC2"/>
    <mergeCell ref="AD2:AL2"/>
    <mergeCell ref="V3:AC3"/>
    <mergeCell ref="AD3:AL3"/>
    <mergeCell ref="V4:AC4"/>
    <mergeCell ref="AD4:AL4"/>
    <mergeCell ref="T86:AM86"/>
    <mergeCell ref="T87:AM87"/>
    <mergeCell ref="T88:AM88"/>
    <mergeCell ref="S34:T34"/>
    <mergeCell ref="V34:AB34"/>
    <mergeCell ref="AD34:AJ34"/>
    <mergeCell ref="S35:T35"/>
    <mergeCell ref="V35:AB35"/>
    <mergeCell ref="AD35:AJ35"/>
    <mergeCell ref="AM49:AM51"/>
    <mergeCell ref="T83:AM83"/>
    <mergeCell ref="T84:AM84"/>
    <mergeCell ref="V47:AC47"/>
    <mergeCell ref="AD47:AL47"/>
    <mergeCell ref="AA42:AB42"/>
    <mergeCell ref="AI42:AJ42"/>
    <mergeCell ref="AD40:AD41"/>
    <mergeCell ref="AE40:AE41"/>
    <mergeCell ref="AI49:AI50"/>
    <mergeCell ref="AJ49:AJ50"/>
    <mergeCell ref="AK49:AK50"/>
    <mergeCell ref="V5:AC5"/>
    <mergeCell ref="AD5:AL5"/>
    <mergeCell ref="V6:AC6"/>
    <mergeCell ref="AD6:AL6"/>
    <mergeCell ref="V7:AC7"/>
    <mergeCell ref="AD7:AL7"/>
    <mergeCell ref="AH40:AJ40"/>
    <mergeCell ref="AA41:AB41"/>
    <mergeCell ref="AI41:AJ41"/>
    <mergeCell ref="AD32:AJ32"/>
    <mergeCell ref="V37:AC37"/>
    <mergeCell ref="AD37:AK37"/>
    <mergeCell ref="S38:AL38"/>
    <mergeCell ref="S32:T32"/>
    <mergeCell ref="V32:AB32"/>
    <mergeCell ref="AD29:AJ29"/>
    <mergeCell ref="S30:T30"/>
    <mergeCell ref="V30:AB30"/>
    <mergeCell ref="AD30:AJ30"/>
    <mergeCell ref="S31:T31"/>
    <mergeCell ref="V31:AB31"/>
    <mergeCell ref="E43:E80"/>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J48:J51"/>
    <mergeCell ref="Q48:Q51"/>
    <mergeCell ref="V48:AC48"/>
    <mergeCell ref="AD48:AL48"/>
    <mergeCell ref="K49:K50"/>
    <mergeCell ref="Z49:Z50"/>
    <mergeCell ref="AA49:AA50"/>
    <mergeCell ref="AB49:AB50"/>
    <mergeCell ref="AC49:AC50"/>
    <mergeCell ref="AH49:AH50"/>
    <mergeCell ref="AM38:AM41"/>
    <mergeCell ref="S39:S41"/>
    <mergeCell ref="T39:T41"/>
    <mergeCell ref="V39:AB39"/>
    <mergeCell ref="AC39:AC41"/>
    <mergeCell ref="AD39:AJ39"/>
    <mergeCell ref="AK39:AK41"/>
    <mergeCell ref="AL39:AL41"/>
    <mergeCell ref="V40:V41"/>
    <mergeCell ref="W40:W41"/>
    <mergeCell ref="Z40:AB40"/>
    <mergeCell ref="AD31:AJ31"/>
    <mergeCell ref="AJ8:AJ9"/>
    <mergeCell ref="AK8:AK9"/>
    <mergeCell ref="Z8:Z9"/>
    <mergeCell ref="S26:AJ26"/>
    <mergeCell ref="S27:AJ27"/>
    <mergeCell ref="S29:T29"/>
    <mergeCell ref="V29:AB29"/>
    <mergeCell ref="AM8:AM10"/>
    <mergeCell ref="AH17:AH18"/>
    <mergeCell ref="AI17:AI18"/>
    <mergeCell ref="AJ17:AJ18"/>
    <mergeCell ref="AK17:AK18"/>
    <mergeCell ref="AA8:AA9"/>
    <mergeCell ref="AB8:AB9"/>
    <mergeCell ref="AC8:AC9"/>
    <mergeCell ref="AH8:AH9"/>
    <mergeCell ref="AI8:AI9"/>
    <mergeCell ref="E2:E15"/>
    <mergeCell ref="F3:F14"/>
    <mergeCell ref="G4:G13"/>
    <mergeCell ref="H5:H12"/>
    <mergeCell ref="I6:I11"/>
    <mergeCell ref="P6:P11"/>
    <mergeCell ref="J7:J10"/>
    <mergeCell ref="Q7:Q10"/>
    <mergeCell ref="K8:K9"/>
    <mergeCell ref="V56:AC56"/>
    <mergeCell ref="AD56:AL56"/>
    <mergeCell ref="V57:AC57"/>
    <mergeCell ref="AD57:AL57"/>
    <mergeCell ref="V58:AC58"/>
    <mergeCell ref="AD58:AL58"/>
    <mergeCell ref="V59:AC59"/>
    <mergeCell ref="AD59:AL59"/>
    <mergeCell ref="V60:AC60"/>
    <mergeCell ref="AD60:AL60"/>
    <mergeCell ref="AJ61:AJ62"/>
    <mergeCell ref="AK61:AK62"/>
    <mergeCell ref="Z61:Z62"/>
    <mergeCell ref="AM61:AM63"/>
    <mergeCell ref="AA61:AA62"/>
    <mergeCell ref="AB61:AB62"/>
    <mergeCell ref="AC61:AC62"/>
    <mergeCell ref="AH61:AH62"/>
    <mergeCell ref="AI61:AI62"/>
    <mergeCell ref="F56:F67"/>
    <mergeCell ref="G57:G66"/>
    <mergeCell ref="H58:H65"/>
    <mergeCell ref="I59:I64"/>
    <mergeCell ref="P59:P64"/>
    <mergeCell ref="J60:J63"/>
    <mergeCell ref="Q60:Q63"/>
    <mergeCell ref="K61:K62"/>
    <mergeCell ref="V68:AC68"/>
    <mergeCell ref="AD68:AL68"/>
    <mergeCell ref="V69:AC69"/>
    <mergeCell ref="AD69:AL69"/>
    <mergeCell ref="V70:AC70"/>
    <mergeCell ref="AD70:AL70"/>
    <mergeCell ref="V71:AC71"/>
    <mergeCell ref="AD71:AL71"/>
    <mergeCell ref="V72:AC72"/>
    <mergeCell ref="AD72:AL72"/>
    <mergeCell ref="AJ73:AJ74"/>
    <mergeCell ref="AK73:AK74"/>
    <mergeCell ref="Z73:Z74"/>
    <mergeCell ref="AM73:AM75"/>
    <mergeCell ref="AA73:AA74"/>
    <mergeCell ref="AB73:AB74"/>
    <mergeCell ref="AC73:AC74"/>
    <mergeCell ref="AH73:AH74"/>
    <mergeCell ref="AI73:AI74"/>
    <mergeCell ref="F68:F79"/>
    <mergeCell ref="G69:G78"/>
    <mergeCell ref="H70:H77"/>
    <mergeCell ref="I71:I76"/>
    <mergeCell ref="P71:P76"/>
    <mergeCell ref="J72:J75"/>
    <mergeCell ref="Q72:Q75"/>
    <mergeCell ref="K73:K74"/>
  </mergeCells>
  <dataValidations count="8">
    <dataValidation allowBlank="1" sqref="S131147:AM131153 S196683:AM196689 S262219:AM262225 S327755:AM327761 S393291:AM393297 S458827:AM458833 S524363:AM524369 S589899:AM589905 S655435:AM655441 S720971:AM720977 S786507:AM786513 S852043:AM852049 S917579:AM917585 S983115:AM983121 S65611:AM65617"/>
    <dataValidation type="list" allowBlank="1" showInputMessage="1" errorTitle="Ошибка" error="Выберите значение из списка" prompt="Выберите значение из списка" sqref="V983112:AL983112 V65608:AL65608 V131144:AL131144 V196680:AL196680 V262216:AL262216 V327752:AL327752 V393288:AL393288 V458824:AL458824 V524360:AL524360 V589896:AL589896 V655432:AL655432 V720968:AL720968 V786504:AL786504 V852040:AL852040 V917576:AL917576">
      <formula1>kind_of_cons</formula1>
    </dataValidation>
    <dataValidation type="list" allowBlank="1" showInputMessage="1" showErrorMessage="1" errorTitle="Ошибка" error="Выберите значение из списка" sqref="T65609 T131145 T196681 T262217 T327753 T393289 T458825 T524361 T589897 T655433 T720969 T786505 T852041 T917577 T983113">
      <formula1>kind_of_heat_transfer</formula1>
    </dataValidation>
    <dataValidation type="list" allowBlank="1" showInputMessage="1" showErrorMessage="1" errorTitle="Ошибка" error="Выберите значение из списка" sqref="V983111:W983111 V65607:W65607 V131143:W131143 V196679:W196679 V262215:W262215 V327751:W327751 V393287:W393287 V458823:W458823 V524359:W524359 V589895:W589895 V655431:W655431 V720967:W720967 V786503:W786503 V852039:W852039 V917575:W917575 AD983111:AE983111 AD65607:AE65607 AD131143:AE131143 AD196679:AE196679 AD262215:AE262215 AD327751:AE327751 AD393287:AE393287 AD458823:AE458823 AD524359:AE524359 AD589895:AE589895 AD655431:AE655431 AD720967:AE720967 AD786503:AE786503 AD852039:AE852039 AD917575:AE917575">
      <formula1>kind_of_scheme_in</formula1>
    </dataValidation>
    <dataValidation type="textLength" operator="lessThanOrEqual" allowBlank="1" showInputMessage="1" showErrorMessage="1" errorTitle="Ошибка" error="Допускается ввод не более 900 символов!" sqref="AM65603:AM65610 AM131139:AM131146 AM196675:AM196682 AM262211:AM262218 AM327747:AM327754 AM393283:AM393290 AM458819:AM458826 AM524355:AM524362 AM589891:AM589898 AM655427:AM655434 AM720963:AM720970 AM786499:AM786506 AM852035:AM852042 AM917571:AM917578 AM983107:AM983114">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609 Z131145 Z196681 Z262217 Z327753 Z393289 Z458825 Z524361 Z589897 Z655433 Z720969 Z786505 Z852041 Z917577 Z983113 AB65609 AB131145 AB196681 AB262217 AB327753 AB393289 AB458825 AB524361 AB589897 AB655433 AB720969 AB786505 AB852041 AB917577 AB983113 Z8 AH65609 AH131145 AH196681 AH262217 AH327753 AH393289 AH458825 AH524361 AH589897 AH655433 AH720969 AH786505 AH852041 AH917577 AH983113 AJ65609 AJ131145 AJ196681 AJ262217 AJ327753 AJ393289 AJ458825 AJ524361 AJ589897 AJ655433 AJ720969 AJ786505 AJ852041 AJ917577 AJ983113 AJ49 AH49 AH8 AJ8 AB8 AH17 AJ17 Z49 AB49 Z61 AB61 AH61 AJ61 Z73 AB73 AH73 AJ73"/>
    <dataValidation allowBlank="1" showInputMessage="1" showErrorMessage="1" prompt="Для выбора выполните двойной щелчок левой клавиши мыши по соответствующей ячейке." sqref="AA65609 AA131145 AA196681 AA262217 AA327753 AA393289 AA458825 AA524361 AA589897 AA655433 AA720969 AA786505 AA852041 AA917577 AA983113 AC131145 AC458825 AC196681 AC262217 AC327753 AC393289 AC524361 AC589897 AC655433 AC720969 AC786505 AC852041 AC917577 AC983113 AC65609 AI65609 AI131145 AI196681 AI262217 AI327753 AI393289 AI458825 AI524361 AI589897 AI655433 AI720969 AI786505 AI852041 AI917577 AI983113 AK524361 AK8 AK589897 AK655433 AK17 AK720969 AK786505 AK852041 AK917577 AK983113 AK65609 AK131145 AK458825 AK196681 AK262217 AI49 AI8 AC8 AA8 AI17 AK327753 AK393289 AA49 AC49 AK49 AA61 AC61 AI61 AK61 AA73 AC73 AI73 AK73"/>
    <dataValidation allowBlank="1" promptTitle="checkPeriodRange" sqref="Y65610 Y131146 Y196682 Y262218 Y327754 Y393290 Y458826 Y524362 Y589898 Y655434 Y720970 Y786506 Y852042 Y917578 Y983114 Y9 AG65610 AG131146 AG196682 AG262218 AG327754 AG393290 AG458826 AG524362 AG589898 AG655434 AG720970 AG786506 AG852042 AG917578 AG983114 AG9 AG50 AG18 Y50 Y62 AG62 Y74 AG74"/>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121A528-7BA8-8E28-DBD4-5F6D0CD9882C}" mc:Ignorable="x14ac xr xr2 xr3">
  <sheetPr>
    <tabColor theme="6" tint="0.4"/>
  </sheetPr>
  <dimension ref="A1:BA104"/>
  <sheetViews>
    <sheetView showGridLines="0" zoomScale="90" workbookViewId="0">
      <pane xSplit="29" ySplit="42" topLeftCell="AD82" activePane="bottomRight" state="frozen"/>
      <selection pane="bottomLeft" activeCell="A43" sqref="A43"/>
      <selection pane="topRight" activeCell="AD1" sqref="AD1"/>
      <selection pane="bottomRight" activeCell="T96" sqref="T96"/>
    </sheetView>
  </sheetViews>
  <sheetFormatPr defaultColWidth="10.57421875" customHeight="1" defaultRowHeight="14.25"/>
  <cols>
    <col min="1" max="1" style="1367" width="10.57421875" hidden="1"/>
    <col min="2" max="2" style="1367" width="11.00390625" hidden="1" customWidth="1"/>
    <col min="3" max="3" style="1367" width="10.57421875" hidden="1"/>
    <col min="4" max="4" style="1367" width="11.8515625" hidden="1" customWidth="1"/>
    <col min="5" max="5" style="1367" width="10.00390625" hidden="1" customWidth="1"/>
    <col min="6" max="6" style="1367" width="8.7109375" hidden="1" customWidth="1"/>
    <col min="7" max="7" style="1367" width="7.57421875" hidden="1" customWidth="1"/>
    <col min="8" max="8" style="1367" width="11.421875" hidden="1" customWidth="1"/>
    <col min="9" max="9" style="1367" width="12.00390625" hidden="1" customWidth="1"/>
    <col min="10" max="10" style="1367" width="9.8515625" hidden="1" customWidth="1"/>
    <col min="11" max="11" style="1367" width="11.421875" hidden="1" customWidth="1"/>
    <col min="12" max="12" style="2608" width="19.140625" hidden="1" customWidth="1"/>
    <col min="13" max="14" style="1777" width="12.28125" hidden="1" customWidth="1"/>
    <col min="15" max="15" style="1777" width="23.421875" hidden="1" customWidth="1"/>
    <col min="16" max="16" style="2398" width="3.7109375" hidden="1" customWidth="1"/>
    <col min="17" max="18" style="345" width="3.00390625" customWidth="1"/>
    <col min="19" max="19" style="2408" width="12.00390625" customWidth="1"/>
    <col min="20" max="20" style="1636" width="31.00390625" customWidth="1"/>
    <col min="21" max="21" style="1636" width="0.140625" customWidth="1"/>
    <col min="22" max="22" style="1636" width="24.7109375" hidden="1" customWidth="1"/>
    <col min="23" max="23" style="1636" width="0.140625" hidden="1" customWidth="1"/>
    <col min="24" max="25" style="1636" width="24.7109375" hidden="1" customWidth="1"/>
    <col min="26" max="26" style="1636" width="11.7109375" hidden="1" customWidth="1"/>
    <col min="27" max="27" style="1636" width="3.7109375" hidden="1" customWidth="1"/>
    <col min="28" max="28" style="1636" width="11.7109375" hidden="1" customWidth="1"/>
    <col min="29" max="29" style="1636" width="8.57421875" hidden="1" customWidth="1"/>
    <col min="30" max="30" style="1636" width="24.7109375" customWidth="1"/>
    <col min="31" max="31" style="1636" width="0.140625" customWidth="1"/>
    <col min="32" max="33" style="1636" width="24.00390625" customWidth="1"/>
    <col min="34" max="34" style="1636" width="11.00390625" customWidth="1"/>
    <col min="35" max="35" style="1636" width="3.7109375" customWidth="1"/>
    <col min="36" max="36" style="1636" width="11.00390625" customWidth="1"/>
    <col min="37" max="37" style="1636" width="8.57421875" customWidth="1"/>
    <col min="45" max="45" style="65" width="10.57421875" hidden="1"/>
    <col min="46" max="46" style="1636" width="4.00390625" customWidth="1"/>
    <col min="47" max="47" style="1636" width="115.00390625" customWidth="1"/>
    <col min="48" max="52" style="1643" width="10.00390625" customWidth="1"/>
    <col min="53" max="53" style="1636" width="8.421875" hidden="1" customWidth="1"/>
  </cols>
  <sheetData>
    <row customHeight="1" ht="22.5" hidden="1">
      <c r="Y1" s="328"/>
      <c r="Z1" s="328"/>
      <c r="AG1" s="328"/>
      <c r="AH1" s="328"/>
      <c r="AL1" s="1636"/>
      <c r="AM1" s="1636"/>
      <c r="AN1" s="1636"/>
      <c r="AO1" s="1636"/>
      <c r="AP1" s="1636"/>
      <c r="AQ1" s="1636"/>
      <c r="AR1" s="1636"/>
      <c r="AS1" s="5239"/>
      <c r="BA1" s="1156" t="s">
        <v>14</v>
      </c>
    </row>
    <row customHeight="1" ht="21" hidden="1">
      <c r="A2" s="1364"/>
      <c r="B2" s="1364"/>
      <c r="C2" s="1364"/>
      <c r="D2" s="1364"/>
      <c r="E2" s="2259">
        <v>1</v>
      </c>
      <c r="F2" s="1364"/>
      <c r="G2" s="1364"/>
      <c r="H2" s="1364"/>
      <c r="I2" s="1364"/>
      <c r="J2" s="1364"/>
      <c r="K2" s="1364"/>
      <c r="L2" s="1365"/>
      <c r="M2" s="1366"/>
      <c r="N2" s="1366"/>
      <c r="O2" s="1366"/>
      <c r="P2" s="362"/>
      <c r="Q2" s="361"/>
      <c r="R2" s="356"/>
      <c r="S2" s="1337">
        <f>INDEX(PT_DIFFERENTIATION_NUM_NTAR,MATCH(A2,PT_DIFFERENTIATION_NTAR_ID,0))</f>
      </c>
      <c r="T2" s="299" t="s">
        <v>136</v>
      </c>
      <c r="U2" s="301"/>
      <c r="V2" s="2243"/>
      <c r="W2" s="2244"/>
      <c r="X2" s="2244"/>
      <c r="Y2" s="2244"/>
      <c r="Z2" s="2244"/>
      <c r="AA2" s="2244"/>
      <c r="AB2" s="2244"/>
      <c r="AC2" s="2245"/>
      <c r="AD2" s="2243">
        <f>INDEX(PT_DIFFERENTIATION_NTAR,MATCH(A2,PT_DIFFERENTIATION_NTAR_ID,0))</f>
      </c>
      <c r="AE2" s="2244"/>
      <c r="AF2" s="2244"/>
      <c r="AG2" s="2244"/>
      <c r="AH2" s="2244"/>
      <c r="AI2" s="2244"/>
      <c r="AJ2" s="2244"/>
      <c r="AK2" s="2244"/>
      <c r="AL2" s="2243"/>
      <c r="AM2" s="2244"/>
      <c r="AN2" s="2244"/>
      <c r="AO2" s="2244"/>
      <c r="AP2" s="2244"/>
      <c r="AQ2" s="2244"/>
      <c r="AR2" s="2244"/>
      <c r="AS2" s="5240"/>
      <c r="AT2" s="2245"/>
      <c r="AU2" s="1259" t="s">
        <v>526</v>
      </c>
      <c r="AW2" s="501"/>
      <c r="AX2" s="501" t="str">
        <f>IF(T2="","",T2)</f>
        <v>Наименование тарифа</v>
      </c>
      <c r="AY2" s="501"/>
      <c r="AZ2" s="501"/>
      <c r="BA2" s="1156">
        <v>0</v>
      </c>
    </row>
    <row customHeight="1" ht="21" hidden="1">
      <c r="A3" s="1364"/>
      <c r="B3" s="1364"/>
      <c r="C3" s="1364"/>
      <c r="D3" s="1364"/>
      <c r="E3" s="2260"/>
      <c r="F3" s="2259">
        <v>1</v>
      </c>
      <c r="G3" s="1364"/>
      <c r="H3" s="1364"/>
      <c r="I3" s="1364"/>
      <c r="J3" s="1364"/>
      <c r="K3" s="1364"/>
      <c r="L3" s="1365"/>
      <c r="M3" s="1366"/>
      <c r="N3" s="1366"/>
      <c r="O3" s="1366"/>
      <c r="P3" s="1333"/>
      <c r="Q3" s="353"/>
      <c r="R3" s="354"/>
      <c r="S3" s="1337">
        <f>INDEX(PT_DIFFERENTIATION_NUM_TER,MATCH(B3,PT_DIFFERENTIATION_TER_ID,0))</f>
      </c>
      <c r="T3" s="309" t="s">
        <v>527</v>
      </c>
      <c r="U3" s="301"/>
      <c r="V3" s="2243"/>
      <c r="W3" s="2244"/>
      <c r="X3" s="2244"/>
      <c r="Y3" s="2244"/>
      <c r="Z3" s="2244"/>
      <c r="AA3" s="2244"/>
      <c r="AB3" s="2244"/>
      <c r="AC3" s="2245"/>
      <c r="AD3" s="2243">
        <f>INDEX(PT_DIFFERENTIATION_TER,MATCH(B3,PT_DIFFERENTIATION_TER_ID,0))</f>
      </c>
      <c r="AE3" s="2244"/>
      <c r="AF3" s="2244"/>
      <c r="AG3" s="2244"/>
      <c r="AH3" s="2244"/>
      <c r="AI3" s="2244"/>
      <c r="AJ3" s="2244"/>
      <c r="AK3" s="2244"/>
      <c r="AL3" s="2243"/>
      <c r="AM3" s="2244"/>
      <c r="AN3" s="2244"/>
      <c r="AO3" s="2244"/>
      <c r="AP3" s="2244"/>
      <c r="AQ3" s="2244"/>
      <c r="AR3" s="2244"/>
      <c r="AS3" s="5240"/>
      <c r="AT3" s="2245"/>
      <c r="AU3" s="1259" t="s">
        <v>528</v>
      </c>
      <c r="AW3" s="501"/>
      <c r="AX3" s="501" t="str">
        <f>IF(T3="","",T3)</f>
        <v>Территория действия тарифа</v>
      </c>
      <c r="AY3" s="501"/>
      <c r="AZ3" s="501"/>
      <c r="BA3" s="1156">
        <v>0</v>
      </c>
    </row>
    <row customHeight="1" ht="23.25" hidden="1">
      <c r="A4" s="1364"/>
      <c r="B4" s="1364"/>
      <c r="C4" s="1364"/>
      <c r="D4" s="1364"/>
      <c r="E4" s="2260"/>
      <c r="F4" s="2260"/>
      <c r="G4" s="2259">
        <v>1</v>
      </c>
      <c r="H4" s="1364"/>
      <c r="I4" s="1364"/>
      <c r="J4" s="1364"/>
      <c r="K4" s="1364"/>
      <c r="L4" s="1365"/>
      <c r="M4" s="1366"/>
      <c r="N4" s="1366"/>
      <c r="O4" s="1366"/>
      <c r="P4" s="355"/>
      <c r="Q4" s="353"/>
      <c r="R4" s="354"/>
      <c r="S4" s="1337">
        <f>INDEX(PT_DIFFERENTIATION_NUM_CS,MATCH(C4,PT_DIFFERENTIATION_CS_ID,0))</f>
      </c>
      <c r="T4" s="310" t="s">
        <v>529</v>
      </c>
      <c r="U4" s="301"/>
      <c r="V4" s="2243"/>
      <c r="W4" s="2244"/>
      <c r="X4" s="2244"/>
      <c r="Y4" s="2244"/>
      <c r="Z4" s="2244"/>
      <c r="AA4" s="2244"/>
      <c r="AB4" s="2244"/>
      <c r="AC4" s="2245"/>
      <c r="AD4" s="2243">
        <f>INDEX(PT_DIFFERENTIATION_CS,MATCH(C4,PT_DIFFERENTIATION_CS_ID,0))</f>
      </c>
      <c r="AE4" s="2244"/>
      <c r="AF4" s="2244"/>
      <c r="AG4" s="2244"/>
      <c r="AH4" s="2244"/>
      <c r="AI4" s="2244"/>
      <c r="AJ4" s="2244"/>
      <c r="AK4" s="2244"/>
      <c r="AL4" s="2243"/>
      <c r="AM4" s="2244"/>
      <c r="AN4" s="2244"/>
      <c r="AO4" s="2244"/>
      <c r="AP4" s="2244"/>
      <c r="AQ4" s="2244"/>
      <c r="AR4" s="2244"/>
      <c r="AS4" s="5240"/>
      <c r="AT4" s="2245"/>
      <c r="AU4" s="1259" t="s">
        <v>530</v>
      </c>
      <c r="AW4" s="501"/>
      <c r="AX4" s="501" t="str">
        <f>IF(T4="","",T4)</f>
        <v>Наименование системы теплоснабжения </v>
      </c>
      <c r="AY4" s="501"/>
      <c r="AZ4" s="501"/>
      <c r="BA4" s="1156">
        <v>0</v>
      </c>
    </row>
    <row customHeight="1" ht="21" hidden="1">
      <c r="A5" s="1364"/>
      <c r="B5" s="1364"/>
      <c r="C5" s="1364"/>
      <c r="D5" s="1364"/>
      <c r="E5" s="2260"/>
      <c r="F5" s="2260"/>
      <c r="G5" s="2260"/>
      <c r="H5" s="2259">
        <v>1</v>
      </c>
      <c r="I5" s="1364"/>
      <c r="J5" s="1364"/>
      <c r="K5" s="1364"/>
      <c r="L5" s="1365"/>
      <c r="M5" s="1366"/>
      <c r="N5" s="1366"/>
      <c r="O5" s="1366"/>
      <c r="P5" s="355"/>
      <c r="Q5" s="353"/>
      <c r="R5" s="354"/>
      <c r="S5" s="1337">
        <f>INDEX(PT_DIFFERENTIATION_NUM_IST_TE,MATCH(D5,PT_DIFFERENTIATION_IST_TE_ID,0))</f>
      </c>
      <c r="T5" s="311" t="s">
        <v>531</v>
      </c>
      <c r="U5" s="301"/>
      <c r="V5" s="2243"/>
      <c r="W5" s="2244"/>
      <c r="X5" s="2244"/>
      <c r="Y5" s="2244"/>
      <c r="Z5" s="2244"/>
      <c r="AA5" s="2244"/>
      <c r="AB5" s="2244"/>
      <c r="AC5" s="2245"/>
      <c r="AD5" s="2243">
        <f>INDEX(PT_DIFFERENTIATION_IST_TE,MATCH(D5,PT_DIFFERENTIATION_IST_TE_ID,0))</f>
      </c>
      <c r="AE5" s="2244"/>
      <c r="AF5" s="2244"/>
      <c r="AG5" s="2244"/>
      <c r="AH5" s="2244"/>
      <c r="AI5" s="2244"/>
      <c r="AJ5" s="2244"/>
      <c r="AK5" s="2244"/>
      <c r="AL5" s="2243"/>
      <c r="AM5" s="2244"/>
      <c r="AN5" s="2244"/>
      <c r="AO5" s="2244"/>
      <c r="AP5" s="2244"/>
      <c r="AQ5" s="2244"/>
      <c r="AR5" s="2244"/>
      <c r="AS5" s="5240"/>
      <c r="AT5" s="2245"/>
      <c r="AU5" s="1259" t="s">
        <v>532</v>
      </c>
      <c r="AW5" s="501"/>
      <c r="AX5" s="501" t="str">
        <f>IF(T5="","",T5)</f>
        <v>Источник тепловой энергии  </v>
      </c>
      <c r="AY5" s="501"/>
      <c r="AZ5" s="501"/>
      <c r="BA5" s="1156">
        <v>0</v>
      </c>
    </row>
    <row customHeight="1" ht="14.25" hidden="1">
      <c r="A6" s="1364"/>
      <c r="B6" s="1364"/>
      <c r="C6" s="1364"/>
      <c r="D6" s="1364"/>
      <c r="E6" s="2260"/>
      <c r="F6" s="2260"/>
      <c r="G6" s="2260"/>
      <c r="H6" s="2260"/>
      <c r="I6" s="2257">
        <f>S5&amp;".1"</f>
      </c>
      <c r="J6" s="1364"/>
      <c r="K6" s="1364"/>
      <c r="L6" s="1365" t="s">
        <v>533</v>
      </c>
      <c r="M6" s="538"/>
      <c r="P6" s="2258">
        <v>1</v>
      </c>
      <c r="Q6" s="1332"/>
      <c r="R6" s="357"/>
      <c r="S6" s="1043"/>
      <c r="T6" s="1384"/>
      <c r="U6" s="1385"/>
      <c r="V6" s="2297"/>
      <c r="W6" s="2298"/>
      <c r="X6" s="2298"/>
      <c r="Y6" s="2298"/>
      <c r="Z6" s="2298"/>
      <c r="AA6" s="2298"/>
      <c r="AB6" s="2298"/>
      <c r="AC6" s="2299"/>
      <c r="AD6" s="2297"/>
      <c r="AE6" s="2298"/>
      <c r="AF6" s="2298"/>
      <c r="AG6" s="2298"/>
      <c r="AH6" s="2298"/>
      <c r="AI6" s="2298"/>
      <c r="AJ6" s="2298"/>
      <c r="AK6" s="2298"/>
      <c r="AL6" s="2297"/>
      <c r="AM6" s="2298"/>
      <c r="AN6" s="2298"/>
      <c r="AO6" s="2298"/>
      <c r="AP6" s="2298"/>
      <c r="AQ6" s="2298"/>
      <c r="AR6" s="2298"/>
      <c r="AS6" s="5309"/>
      <c r="AT6" s="2299"/>
      <c r="AU6" s="1386"/>
      <c r="AW6" s="501"/>
      <c r="AX6" s="501" t="str">
        <f>IF(T6="","",T6)</f>
        <v/>
      </c>
      <c r="AY6" s="501"/>
      <c r="AZ6" s="501"/>
      <c r="BA6" s="1156">
        <v>0</v>
      </c>
    </row>
    <row customHeight="1" ht="21" hidden="1">
      <c r="A7" s="1364"/>
      <c r="B7" s="1364"/>
      <c r="C7" s="1364"/>
      <c r="D7" s="1364"/>
      <c r="E7" s="2260"/>
      <c r="F7" s="2260"/>
      <c r="G7" s="2260"/>
      <c r="H7" s="2260"/>
      <c r="I7" s="2287"/>
      <c r="J7" s="2257">
        <f>I6&amp;".1"</f>
      </c>
      <c r="K7" s="1364"/>
      <c r="L7" s="1365" t="s">
        <v>536</v>
      </c>
      <c r="M7" s="538"/>
      <c r="N7" s="1367"/>
      <c r="P7" s="2258"/>
      <c r="Q7" s="2258">
        <v>1</v>
      </c>
      <c r="R7" s="358"/>
      <c r="S7" s="1337">
        <f>$J7</f>
      </c>
      <c r="T7" s="287" t="s">
        <v>537</v>
      </c>
      <c r="U7" s="301"/>
      <c r="V7" s="2246"/>
      <c r="W7" s="2247"/>
      <c r="X7" s="2247"/>
      <c r="Y7" s="2247"/>
      <c r="Z7" s="2247"/>
      <c r="AA7" s="2247"/>
      <c r="AB7" s="2247"/>
      <c r="AC7" s="2248"/>
      <c r="AD7" s="2246"/>
      <c r="AE7" s="2247"/>
      <c r="AF7" s="2247"/>
      <c r="AG7" s="2247"/>
      <c r="AH7" s="2247"/>
      <c r="AI7" s="2247"/>
      <c r="AJ7" s="2247"/>
      <c r="AK7" s="2247"/>
      <c r="AL7" s="2246"/>
      <c r="AM7" s="2247"/>
      <c r="AN7" s="2247"/>
      <c r="AO7" s="2247"/>
      <c r="AP7" s="2247"/>
      <c r="AQ7" s="2247"/>
      <c r="AR7" s="2247"/>
      <c r="AS7" s="5241"/>
      <c r="AT7" s="2248"/>
      <c r="AU7" s="1259" t="s">
        <v>538</v>
      </c>
      <c r="AW7" s="501"/>
      <c r="AX7" s="501" t="str">
        <f>IF(T7="","",T7)</f>
        <v>Группа потребителей</v>
      </c>
      <c r="AY7" s="501"/>
      <c r="AZ7" s="501"/>
      <c r="BA7" s="1156">
        <v>0</v>
      </c>
    </row>
    <row customHeight="1" ht="21" hidden="1">
      <c r="A8" s="1364"/>
      <c r="B8" s="1364"/>
      <c r="C8" s="1364"/>
      <c r="D8" s="1364"/>
      <c r="E8" s="2260"/>
      <c r="F8" s="2260"/>
      <c r="G8" s="2260"/>
      <c r="H8" s="2260"/>
      <c r="I8" s="2287"/>
      <c r="J8" s="2287"/>
      <c r="K8" s="2257">
        <f>J7&amp;".1"</f>
      </c>
      <c r="L8" s="1365" t="s">
        <v>539</v>
      </c>
      <c r="M8" s="538"/>
      <c r="N8" s="1367"/>
      <c r="O8" s="1367"/>
      <c r="P8" s="2258"/>
      <c r="Q8" s="2258"/>
      <c r="R8" s="358">
        <v>1</v>
      </c>
      <c r="S8" s="1337">
        <f>$K8</f>
      </c>
      <c r="T8" s="1348"/>
      <c r="U8" s="301"/>
      <c r="V8" s="752"/>
      <c r="W8" s="326"/>
      <c r="X8" s="752"/>
      <c r="Y8" s="1258"/>
      <c r="Z8" s="2266"/>
      <c r="AA8" s="2108" t="s">
        <v>65</v>
      </c>
      <c r="AB8" s="2266"/>
      <c r="AC8" s="2108" t="s">
        <v>65</v>
      </c>
      <c r="AD8" s="752"/>
      <c r="AE8" s="326"/>
      <c r="AF8" s="752"/>
      <c r="AG8" s="1258"/>
      <c r="AH8" s="2266"/>
      <c r="AI8" s="2108" t="s">
        <v>65</v>
      </c>
      <c r="AJ8" s="2266"/>
      <c r="AK8" s="2108" t="s">
        <v>65</v>
      </c>
      <c r="AL8" s="752"/>
      <c r="AM8" s="326"/>
      <c r="AN8" s="752"/>
      <c r="AO8" s="1258"/>
      <c r="AP8" s="2603"/>
      <c r="AQ8" s="2108" t="s">
        <v>65</v>
      </c>
      <c r="AR8" s="2603"/>
      <c r="AS8" s="2108" t="s">
        <v>65</v>
      </c>
      <c r="AT8" s="326"/>
      <c r="AU8" s="2254" t="s">
        <v>540</v>
      </c>
      <c r="AV8" s="512">
        <f>STRCHECKDATE(V9:AT9)</f>
      </c>
      <c r="AW8" s="501"/>
      <c r="AX8" s="501" t="str">
        <f>IF(T8="","",T8)</f>
        <v/>
      </c>
      <c r="AY8" s="501"/>
      <c r="AZ8" s="501"/>
      <c r="BA8" s="1156">
        <v>0</v>
      </c>
    </row>
    <row customHeight="1" ht="0.75" hidden="1">
      <c r="A9" s="1364"/>
      <c r="B9" s="1364"/>
      <c r="C9" s="1364"/>
      <c r="D9" s="1364"/>
      <c r="E9" s="2260"/>
      <c r="F9" s="2260"/>
      <c r="G9" s="2260"/>
      <c r="H9" s="2260"/>
      <c r="I9" s="2287"/>
      <c r="J9" s="2287"/>
      <c r="K9" s="2257"/>
      <c r="L9" s="1365"/>
      <c r="M9" s="538"/>
      <c r="N9" s="1367"/>
      <c r="O9" s="1367"/>
      <c r="P9" s="2258"/>
      <c r="Q9" s="2258"/>
      <c r="R9" s="358"/>
      <c r="S9" s="1343"/>
      <c r="T9" s="301"/>
      <c r="U9" s="301"/>
      <c r="V9" s="326"/>
      <c r="W9" s="326"/>
      <c r="X9" s="326"/>
      <c r="Y9" s="329" t="str">
        <f>Z8&amp;"-"&amp;AB8</f>
        <v>-</v>
      </c>
      <c r="Z9" s="2267"/>
      <c r="AA9" s="2108"/>
      <c r="AB9" s="2267"/>
      <c r="AC9" s="2108"/>
      <c r="AD9" s="326"/>
      <c r="AE9" s="326"/>
      <c r="AF9" s="326"/>
      <c r="AG9" s="329" t="str">
        <f>AH8&amp;"-"&amp;AJ8</f>
        <v>-</v>
      </c>
      <c r="AH9" s="2267"/>
      <c r="AI9" s="2108"/>
      <c r="AJ9" s="2267"/>
      <c r="AK9" s="2108"/>
      <c r="AL9" s="326"/>
      <c r="AM9" s="326"/>
      <c r="AN9" s="326"/>
      <c r="AO9" s="329" t="str">
        <f>AP8&amp;"-"&amp;AR8</f>
        <v>-</v>
      </c>
      <c r="AP9" s="2310"/>
      <c r="AQ9" s="2108"/>
      <c r="AR9" s="2310"/>
      <c r="AS9" s="2108"/>
      <c r="AT9" s="326"/>
      <c r="AU9" s="2255"/>
      <c r="AW9" s="501"/>
      <c r="AX9" s="501" t="str">
        <f>IF(T9="","",T9)</f>
        <v/>
      </c>
      <c r="AY9" s="501"/>
      <c r="AZ9" s="501"/>
      <c r="BA9" s="1156">
        <v>0</v>
      </c>
    </row>
    <row customHeight="1" ht="15" hidden="1">
      <c r="A10" s="1364"/>
      <c r="B10" s="1364"/>
      <c r="C10" s="1364"/>
      <c r="D10" s="1364"/>
      <c r="E10" s="2260"/>
      <c r="F10" s="2260"/>
      <c r="G10" s="2260"/>
      <c r="H10" s="2260"/>
      <c r="I10" s="2287"/>
      <c r="J10" s="2257"/>
      <c r="K10" s="1364"/>
      <c r="L10" s="1365"/>
      <c r="M10" s="538"/>
      <c r="N10" s="1367"/>
      <c r="P10" s="2258"/>
      <c r="Q10" s="2258"/>
      <c r="R10" s="357"/>
      <c r="S10" s="1279"/>
      <c r="T10" s="288" t="s">
        <v>541</v>
      </c>
      <c r="U10" s="368"/>
      <c r="V10" s="368"/>
      <c r="W10" s="368"/>
      <c r="X10" s="368"/>
      <c r="Y10" s="368"/>
      <c r="Z10" s="368"/>
      <c r="AA10" s="368"/>
      <c r="AB10" s="368"/>
      <c r="AC10" s="368"/>
      <c r="AD10" s="368"/>
      <c r="AE10" s="368"/>
      <c r="AF10" s="368"/>
      <c r="AG10" s="368"/>
      <c r="AH10" s="368"/>
      <c r="AI10" s="368"/>
      <c r="AJ10" s="368"/>
      <c r="AK10" s="368"/>
      <c r="AL10" s="4179"/>
      <c r="AM10" s="4180"/>
      <c r="AN10" s="4181"/>
      <c r="AO10" s="4182"/>
      <c r="AP10" s="4183"/>
      <c r="AQ10" s="4184"/>
      <c r="AR10" s="4185"/>
      <c r="AS10" s="5310"/>
      <c r="AT10" s="325"/>
      <c r="AU10" s="2256"/>
      <c r="AW10" s="501"/>
      <c r="AX10" s="501" t="str">
        <f>IF(T10="","",T10)</f>
        <v>Добавить вид теплоносителя (параметры теплоносителя)</v>
      </c>
      <c r="AY10" s="501"/>
      <c r="AZ10" s="501"/>
      <c r="BA10" s="1156">
        <v>0</v>
      </c>
    </row>
    <row customHeight="1" ht="15" hidden="1">
      <c r="A11" s="1364"/>
      <c r="B11" s="1364"/>
      <c r="C11" s="1364"/>
      <c r="D11" s="1364"/>
      <c r="E11" s="2260"/>
      <c r="F11" s="2260"/>
      <c r="G11" s="2260"/>
      <c r="H11" s="2260"/>
      <c r="I11" s="2257"/>
      <c r="J11" s="1364"/>
      <c r="K11" s="1364"/>
      <c r="L11" s="1365"/>
      <c r="M11" s="538"/>
      <c r="P11" s="2258"/>
      <c r="Q11" s="1332"/>
      <c r="R11" s="357"/>
      <c r="S11" s="1279"/>
      <c r="T11" s="366" t="s">
        <v>542</v>
      </c>
      <c r="U11" s="368"/>
      <c r="V11" s="368"/>
      <c r="W11" s="368"/>
      <c r="X11" s="368"/>
      <c r="Y11" s="368"/>
      <c r="Z11" s="368"/>
      <c r="AA11" s="368"/>
      <c r="AB11" s="368"/>
      <c r="AC11" s="367"/>
      <c r="AD11" s="368"/>
      <c r="AE11" s="368"/>
      <c r="AF11" s="368"/>
      <c r="AG11" s="368"/>
      <c r="AH11" s="368"/>
      <c r="AI11" s="368"/>
      <c r="AJ11" s="368"/>
      <c r="AK11" s="367"/>
      <c r="AL11" s="4187"/>
      <c r="AM11" s="4188"/>
      <c r="AN11" s="4189"/>
      <c r="AO11" s="4190"/>
      <c r="AP11" s="4191"/>
      <c r="AQ11" s="4192"/>
      <c r="AR11" s="4193"/>
      <c r="AS11" s="5311"/>
      <c r="AT11" s="368"/>
      <c r="AU11" s="304"/>
      <c r="AW11" s="501"/>
      <c r="AX11" s="501" t="str">
        <f>IF(T11="","",T11)</f>
        <v>Добавить группу потребителей</v>
      </c>
      <c r="AY11" s="501"/>
      <c r="AZ11" s="501"/>
      <c r="BA11" s="1156">
        <v>0</v>
      </c>
    </row>
    <row customHeight="1" ht="14.25" hidden="1">
      <c r="A12" s="1364"/>
      <c r="B12" s="1364"/>
      <c r="C12" s="1364"/>
      <c r="D12" s="1364"/>
      <c r="E12" s="2260"/>
      <c r="F12" s="2260"/>
      <c r="G12" s="2260"/>
      <c r="H12" s="2259"/>
      <c r="I12" s="1364"/>
      <c r="J12" s="1364"/>
      <c r="K12" s="1364"/>
      <c r="L12" s="1365"/>
      <c r="M12" s="1366"/>
      <c r="N12" s="1366"/>
      <c r="O12" s="538"/>
      <c r="P12" s="361"/>
      <c r="Q12" s="376"/>
      <c r="R12" s="356"/>
      <c r="S12" s="1387"/>
      <c r="T12" s="1388"/>
      <c r="U12" s="1389"/>
      <c r="V12" s="1389"/>
      <c r="W12" s="1389"/>
      <c r="X12" s="1389"/>
      <c r="Y12" s="1389"/>
      <c r="Z12" s="1389"/>
      <c r="AA12" s="1389"/>
      <c r="AB12" s="1389"/>
      <c r="AC12" s="1389"/>
      <c r="AD12" s="1389"/>
      <c r="AE12" s="1389"/>
      <c r="AF12" s="1389"/>
      <c r="AG12" s="1389"/>
      <c r="AH12" s="1389"/>
      <c r="AI12" s="1389"/>
      <c r="AJ12" s="1389"/>
      <c r="AK12" s="1389"/>
      <c r="AL12" s="1389"/>
      <c r="AM12" s="1389"/>
      <c r="AN12" s="1389"/>
      <c r="AO12" s="1389"/>
      <c r="AP12" s="1389"/>
      <c r="AQ12" s="1389"/>
      <c r="AR12" s="1389"/>
      <c r="AS12" s="5312"/>
      <c r="AT12" s="1389"/>
      <c r="AU12" s="1390"/>
      <c r="AW12" s="501"/>
      <c r="AX12" s="501" t="str">
        <f>IF(T12="","",T12)</f>
        <v/>
      </c>
      <c r="AY12" s="501"/>
      <c r="AZ12" s="501"/>
      <c r="BA12" s="1156">
        <v>0</v>
      </c>
    </row>
    <row s="1643" customFormat="1" customHeight="1" ht="0.75" hidden="1">
      <c r="A13" s="1315"/>
      <c r="B13" s="1315"/>
      <c r="C13" s="1315"/>
      <c r="D13" s="1315"/>
      <c r="E13" s="2260"/>
      <c r="F13" s="2260"/>
      <c r="G13" s="2259"/>
      <c r="H13" s="1315"/>
      <c r="I13" s="1315"/>
      <c r="J13" s="1315"/>
      <c r="K13" s="1315"/>
      <c r="L13" s="1340"/>
      <c r="M13" s="1316"/>
      <c r="N13" s="1316"/>
      <c r="P13" s="1317"/>
      <c r="Q13" s="1318"/>
      <c r="R13" s="1317"/>
      <c r="S13" s="1319"/>
      <c r="T13" s="1320" t="s">
        <v>177</v>
      </c>
      <c r="U13" s="1321"/>
      <c r="V13" s="1321"/>
      <c r="W13" s="1321"/>
      <c r="X13" s="1321"/>
      <c r="Y13" s="1321"/>
      <c r="Z13" s="1321"/>
      <c r="AA13" s="1321"/>
      <c r="AB13" s="1321"/>
      <c r="AC13" s="1321"/>
      <c r="AD13" s="1321"/>
      <c r="AE13" s="1321"/>
      <c r="AF13" s="1321"/>
      <c r="AG13" s="1321"/>
      <c r="AH13" s="1321"/>
      <c r="AI13" s="1321"/>
      <c r="AJ13" s="1321"/>
      <c r="AK13" s="1321"/>
      <c r="AL13" s="1321"/>
      <c r="AM13" s="1321"/>
      <c r="AN13" s="1321"/>
      <c r="AO13" s="1321"/>
      <c r="AP13" s="1321"/>
      <c r="AQ13" s="1321"/>
      <c r="AR13" s="1321"/>
      <c r="AS13" s="1321"/>
      <c r="AT13" s="1321"/>
      <c r="AU13" s="1321"/>
      <c r="AW13" s="790"/>
      <c r="AX13" s="790" t="str">
        <f>IF(T13="","",T13)</f>
        <v>Добавить источник для дифференциации</v>
      </c>
      <c r="AY13" s="790"/>
      <c r="AZ13" s="790"/>
      <c r="BA13" s="519">
        <v>0</v>
      </c>
    </row>
    <row s="1643" customFormat="1" customHeight="1" ht="0.75" hidden="1">
      <c r="A14" s="1315"/>
      <c r="B14" s="1315"/>
      <c r="C14" s="1315"/>
      <c r="D14" s="1315"/>
      <c r="E14" s="2260"/>
      <c r="F14" s="2259"/>
      <c r="G14" s="1315"/>
      <c r="H14" s="1315"/>
      <c r="I14" s="1315"/>
      <c r="J14" s="1315"/>
      <c r="K14" s="1315"/>
      <c r="L14" s="1340"/>
      <c r="M14" s="1322"/>
      <c r="N14" s="1322"/>
      <c r="P14" s="1317"/>
      <c r="Q14" s="1318"/>
      <c r="R14" s="1317"/>
      <c r="S14" s="1323"/>
      <c r="T14" s="1324" t="s">
        <v>178</v>
      </c>
      <c r="U14" s="1325"/>
      <c r="V14" s="1325"/>
      <c r="W14" s="1325"/>
      <c r="X14" s="1325"/>
      <c r="Y14" s="1325"/>
      <c r="Z14" s="1325"/>
      <c r="AA14" s="1325"/>
      <c r="AB14" s="1325"/>
      <c r="AC14" s="1325"/>
      <c r="AD14" s="1325"/>
      <c r="AE14" s="1325"/>
      <c r="AF14" s="1325"/>
      <c r="AG14" s="1325"/>
      <c r="AH14" s="1325"/>
      <c r="AI14" s="1325"/>
      <c r="AJ14" s="1325"/>
      <c r="AK14" s="1325"/>
      <c r="AL14" s="1325"/>
      <c r="AM14" s="1325"/>
      <c r="AN14" s="1325"/>
      <c r="AO14" s="1325"/>
      <c r="AP14" s="1325"/>
      <c r="AQ14" s="1325"/>
      <c r="AR14" s="1325"/>
      <c r="AS14" s="1325"/>
      <c r="AT14" s="1325"/>
      <c r="AU14" s="1325"/>
      <c r="AW14" s="790"/>
      <c r="AX14" s="790" t="str">
        <f>IF(T14="","",T14)</f>
        <v>Добавить централизованную систему для дифференциации</v>
      </c>
      <c r="AY14" s="790"/>
      <c r="AZ14" s="790"/>
      <c r="BA14" s="519">
        <v>0</v>
      </c>
    </row>
    <row s="1643" customFormat="1" customHeight="1" ht="0.75" hidden="1">
      <c r="A15" s="1315"/>
      <c r="B15" s="1315"/>
      <c r="C15" s="1315"/>
      <c r="D15" s="1315"/>
      <c r="E15" s="2259"/>
      <c r="F15" s="1315"/>
      <c r="G15" s="1315"/>
      <c r="H15" s="1315"/>
      <c r="I15" s="1315"/>
      <c r="J15" s="1315"/>
      <c r="K15" s="1315"/>
      <c r="L15" s="1340"/>
      <c r="M15" s="1322"/>
      <c r="N15" s="1322"/>
      <c r="P15" s="1317"/>
      <c r="Q15" s="1318"/>
      <c r="R15" s="1317"/>
      <c r="S15" s="1323"/>
      <c r="T15" s="1326" t="s">
        <v>183</v>
      </c>
      <c r="U15" s="1325"/>
      <c r="V15" s="1325"/>
      <c r="W15" s="1325"/>
      <c r="X15" s="1325"/>
      <c r="Y15" s="1325"/>
      <c r="Z15" s="1325"/>
      <c r="AA15" s="1325"/>
      <c r="AB15" s="1325"/>
      <c r="AC15" s="1325"/>
      <c r="AD15" s="1325"/>
      <c r="AE15" s="1325"/>
      <c r="AF15" s="1325"/>
      <c r="AG15" s="1325"/>
      <c r="AH15" s="1325"/>
      <c r="AI15" s="1325"/>
      <c r="AJ15" s="1325"/>
      <c r="AK15" s="1325"/>
      <c r="AL15" s="1325"/>
      <c r="AM15" s="1325"/>
      <c r="AN15" s="1325"/>
      <c r="AO15" s="1325"/>
      <c r="AP15" s="1325"/>
      <c r="AQ15" s="1325"/>
      <c r="AR15" s="1325"/>
      <c r="AS15" s="1325"/>
      <c r="AT15" s="1325"/>
      <c r="AU15" s="1325"/>
      <c r="AW15" s="790"/>
      <c r="AX15" s="790" t="str">
        <f>IF(T15="","",T15)</f>
        <v>Добавить территорию для дифференциации</v>
      </c>
      <c r="AY15" s="790"/>
      <c r="AZ15" s="790"/>
      <c r="BA15" s="519">
        <v>0</v>
      </c>
    </row>
    <row customHeight="1" ht="14.25" hidden="1">
      <c r="AC16" s="328"/>
      <c r="AK16" s="328"/>
      <c r="AL16" s="1636"/>
      <c r="AM16" s="1636"/>
      <c r="AN16" s="1636"/>
      <c r="AO16" s="1636"/>
      <c r="AP16" s="1636"/>
      <c r="AQ16" s="1636"/>
      <c r="AR16" s="1636"/>
      <c r="AS16" s="5239"/>
      <c r="BA16" s="1156">
        <v>0</v>
      </c>
    </row>
    <row customHeight="1" ht="14.25" hidden="1">
      <c r="AD17" s="1361"/>
      <c r="AE17" s="1361"/>
      <c r="AF17" s="1361"/>
      <c r="AG17" s="1362"/>
      <c r="AH17" s="2268"/>
      <c r="AI17" s="2269" t="s">
        <v>65</v>
      </c>
      <c r="AJ17" s="2268"/>
      <c r="AK17" s="2269" t="s">
        <v>65</v>
      </c>
      <c r="AL17" s="1636"/>
      <c r="AM17" s="1636"/>
      <c r="AN17" s="1636"/>
      <c r="AO17" s="1636"/>
      <c r="AP17" s="1636"/>
      <c r="AQ17" s="1636"/>
      <c r="AR17" s="1636"/>
      <c r="AS17" s="5239"/>
      <c r="BA17" s="1156">
        <v>0</v>
      </c>
    </row>
    <row customHeight="1" ht="14.25" hidden="1">
      <c r="AD18" s="1361"/>
      <c r="AE18" s="1361"/>
      <c r="AF18" s="1361"/>
      <c r="AG18" s="329" t="str">
        <f>AH17&amp;"-"&amp;AJ17</f>
        <v>-</v>
      </c>
      <c r="AH18" s="2269"/>
      <c r="AI18" s="2269"/>
      <c r="AJ18" s="2269"/>
      <c r="AK18" s="2269"/>
      <c r="AL18" s="1636"/>
      <c r="AM18" s="1636"/>
      <c r="AN18" s="1636"/>
      <c r="AO18" s="1636"/>
      <c r="AP18" s="1636"/>
      <c r="AQ18" s="1636"/>
      <c r="AR18" s="1636"/>
      <c r="AS18" s="5239"/>
      <c r="BA18" s="1156">
        <v>0</v>
      </c>
    </row>
    <row customHeight="1" ht="14.25" hidden="1">
      <c r="AK19" s="328"/>
      <c r="AL19" s="1636"/>
      <c r="AM19" s="1636"/>
      <c r="AN19" s="1636"/>
      <c r="AO19" s="1636"/>
      <c r="AP19" s="1636"/>
      <c r="AQ19" s="1636"/>
      <c r="AR19" s="1636"/>
      <c r="AS19" s="5239"/>
      <c r="BA19" s="1156">
        <v>0</v>
      </c>
    </row>
    <row s="1367" customFormat="1" customHeight="1" ht="22.5" hidden="1">
      <c r="L20" s="1330"/>
      <c r="M20" s="1363"/>
      <c r="N20" s="1363"/>
      <c r="O20" s="1368" t="s">
        <v>544</v>
      </c>
      <c r="P20" s="1363"/>
      <c r="Q20" s="1372"/>
      <c r="R20" s="1372"/>
      <c r="S20" s="730"/>
      <c r="Z20" s="1368"/>
      <c r="AB20" s="1368"/>
      <c r="AC20" s="1367"/>
      <c r="AH20" s="1368"/>
      <c r="AJ20" s="1368"/>
      <c r="AK20" s="1367"/>
      <c r="AL20" s="1367"/>
      <c r="AM20" s="1367"/>
      <c r="AN20" s="1367"/>
      <c r="AO20" s="1367"/>
      <c r="AP20" s="1368"/>
      <c r="AQ20" s="1367"/>
      <c r="AR20" s="1368"/>
      <c r="AS20" s="5248"/>
      <c r="AV20" s="512"/>
      <c r="AW20" s="512"/>
      <c r="AX20" s="512"/>
      <c r="AY20" s="512"/>
      <c r="AZ20" s="512"/>
      <c r="BA20" s="1161">
        <v>0</v>
      </c>
    </row>
    <row s="1367" customFormat="1" customHeight="1" ht="14.25" hidden="1">
      <c r="L21" s="1330"/>
      <c r="M21" s="1363"/>
      <c r="N21" s="1363"/>
      <c r="O21" s="1363"/>
      <c r="P21" s="1363"/>
      <c r="Q21" s="1372"/>
      <c r="R21" s="1372"/>
      <c r="S21" s="730"/>
      <c r="AC21" s="1367"/>
      <c r="AK21" s="1367"/>
      <c r="AL21" s="1367"/>
      <c r="AM21" s="1367"/>
      <c r="AN21" s="1367"/>
      <c r="AO21" s="1367"/>
      <c r="AP21" s="1367"/>
      <c r="AQ21" s="1367"/>
      <c r="AR21" s="1367"/>
      <c r="AS21" s="5248"/>
      <c r="AV21" s="512"/>
      <c r="AW21" s="512"/>
      <c r="AX21" s="512"/>
      <c r="AY21" s="512"/>
      <c r="AZ21" s="512"/>
      <c r="BA21" s="1161">
        <v>0</v>
      </c>
    </row>
    <row s="1367" customFormat="1" customHeight="1" ht="14.25" hidden="1">
      <c r="L22" s="1330"/>
      <c r="M22" s="1363"/>
      <c r="N22" s="1363"/>
      <c r="O22" s="1365" t="s">
        <v>545</v>
      </c>
      <c r="P22" s="1363"/>
      <c r="Q22" s="1372"/>
      <c r="R22" s="1372"/>
      <c r="S22" s="730"/>
      <c r="T22" s="1161" t="s">
        <v>546</v>
      </c>
      <c r="AA22" s="187" t="s">
        <v>547</v>
      </c>
      <c r="AC22" s="187" t="s">
        <v>548</v>
      </c>
      <c r="AD22" s="1161" t="s">
        <v>546</v>
      </c>
      <c r="AI22" s="187" t="s">
        <v>549</v>
      </c>
      <c r="AK22" s="187" t="s">
        <v>548</v>
      </c>
      <c r="AL22" s="1367"/>
      <c r="AM22" s="1367"/>
      <c r="AN22" s="1367"/>
      <c r="AO22" s="1367"/>
      <c r="AP22" s="1367"/>
      <c r="AQ22" s="1371" t="s">
        <v>547</v>
      </c>
      <c r="AR22" s="1367"/>
      <c r="AS22" s="5249" t="s">
        <v>548</v>
      </c>
      <c r="AV22" s="512"/>
      <c r="AW22" s="512"/>
      <c r="AX22" s="512"/>
      <c r="AY22" s="512"/>
      <c r="AZ22" s="512"/>
      <c r="BA22" s="1161">
        <v>0</v>
      </c>
    </row>
    <row customHeight="1" ht="14.25" hidden="1">
      <c r="O23" s="1365"/>
      <c r="AL23" s="1636"/>
      <c r="AM23" s="1636"/>
      <c r="AN23" s="1636"/>
      <c r="AO23" s="1636"/>
      <c r="AP23" s="1636"/>
      <c r="AQ23" s="1636"/>
      <c r="AR23" s="1636"/>
      <c r="AS23" s="5239"/>
      <c r="BA23" s="1156">
        <v>0</v>
      </c>
    </row>
    <row customHeight="1" ht="14.25" hidden="1">
      <c r="O24" s="1365"/>
      <c r="AL24" s="1636"/>
      <c r="AM24" s="1636"/>
      <c r="AN24" s="1636"/>
      <c r="AO24" s="1636"/>
      <c r="AP24" s="1636"/>
      <c r="AQ24" s="1636"/>
      <c r="AR24" s="1636"/>
      <c r="AS24" s="5239"/>
      <c r="BA24" s="1156">
        <v>0</v>
      </c>
    </row>
    <row customHeight="1" ht="14.699999999999998">
      <c r="Q25" s="377"/>
      <c r="R25" s="377"/>
      <c r="S25" s="1276"/>
      <c r="T25" s="364"/>
      <c r="U25" s="364"/>
      <c r="V25" s="510"/>
      <c r="W25" s="510"/>
      <c r="X25" s="510"/>
      <c r="Y25" s="510"/>
      <c r="Z25" s="510"/>
      <c r="AA25" s="510"/>
      <c r="AB25" s="510"/>
      <c r="AC25" s="510"/>
      <c r="AD25" s="510"/>
      <c r="AE25" s="510"/>
      <c r="AF25" s="510"/>
      <c r="AG25" s="510"/>
      <c r="AH25" s="510"/>
      <c r="AI25" s="510"/>
      <c r="AJ25" s="510"/>
      <c r="AK25" s="510"/>
      <c r="AL25" s="1636"/>
      <c r="AM25" s="1636"/>
      <c r="AN25" s="1636"/>
      <c r="AO25" s="1636"/>
      <c r="AP25" s="1636"/>
      <c r="AQ25" s="1636"/>
      <c r="AR25" s="1636"/>
      <c r="AS25" s="5239"/>
      <c r="BA25" s="1156">
        <v>14</v>
      </c>
    </row>
    <row customHeight="1" ht="63">
      <c r="Q26" s="377"/>
      <c r="R26" s="377"/>
      <c r="S26" s="2249" t="str">
        <f>IF(TEMPLATE_GROUP="P",PT_P_FORM_HEAT_5_NAME_FORM,PT_R_FORM_HEAT_22_NAME_FORM)</f>
        <v>Форма 4. Информация об установленных тарифах на теплоноситель, поставляемый теплоснабжающими организациями потребителям, другим теплоснабжающим организациям, об установленных тарифах на услуги по передаче тепловой энергии, теплоносителя, о тарифах на теплоноситель в виде воды, поставляемый единой теплоснабжающей организацией в ценовых зонах теплоснабжения потребителям и теплоснабжающими организациями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v>
      </c>
      <c r="T26" s="2249"/>
      <c r="U26" s="2249"/>
      <c r="V26" s="2249"/>
      <c r="W26" s="2249"/>
      <c r="X26" s="2249"/>
      <c r="Y26" s="2249"/>
      <c r="Z26" s="2249"/>
      <c r="AA26" s="2249"/>
      <c r="AB26" s="2249"/>
      <c r="AC26" s="2249"/>
      <c r="AD26" s="2249"/>
      <c r="AE26" s="2249"/>
      <c r="AF26" s="2249"/>
      <c r="AG26" s="2249"/>
      <c r="AH26" s="2249"/>
      <c r="AI26" s="2249"/>
      <c r="AJ26" s="2249"/>
      <c r="AK26" s="1244"/>
      <c r="AL26" s="2249"/>
      <c r="AM26" s="2249"/>
      <c r="AN26" s="2249"/>
      <c r="AO26" s="2249"/>
      <c r="AP26" s="2249"/>
      <c r="AQ26" s="2249"/>
      <c r="AR26" s="2249"/>
      <c r="AS26" s="5250"/>
      <c r="BA26" s="1156">
        <v>60</v>
      </c>
    </row>
    <row customHeight="1" ht="14.699999999999998">
      <c r="Q27" s="377"/>
      <c r="R27" s="377"/>
      <c r="S27" s="2250" t="str">
        <f>IF(org=0,"Не определено",org)</f>
        <v>ПАО "ТГК-1" (филиал "Кольский")</v>
      </c>
      <c r="T27" s="2250"/>
      <c r="U27" s="2250"/>
      <c r="V27" s="2250"/>
      <c r="W27" s="2250"/>
      <c r="X27" s="2250"/>
      <c r="Y27" s="2250"/>
      <c r="Z27" s="2250"/>
      <c r="AA27" s="2250"/>
      <c r="AB27" s="2250"/>
      <c r="AC27" s="2250"/>
      <c r="AD27" s="2250"/>
      <c r="AE27" s="2250"/>
      <c r="AF27" s="2250"/>
      <c r="AG27" s="2250"/>
      <c r="AH27" s="2250"/>
      <c r="AI27" s="2250"/>
      <c r="AJ27" s="2250"/>
      <c r="AK27" s="1244"/>
      <c r="AL27" s="2250"/>
      <c r="AM27" s="2250"/>
      <c r="AN27" s="2250"/>
      <c r="AO27" s="2250"/>
      <c r="AP27" s="2250"/>
      <c r="AQ27" s="2250"/>
      <c r="AR27" s="2250"/>
      <c r="AS27" s="5251"/>
      <c r="BA27" s="1156">
        <v>14</v>
      </c>
    </row>
    <row customHeight="1" ht="14.25">
      <c r="Q28" s="377"/>
      <c r="R28" s="377"/>
      <c r="S28" s="1276"/>
      <c r="T28" s="364"/>
      <c r="U28" s="364"/>
      <c r="V28" s="323"/>
      <c r="W28" s="323"/>
      <c r="X28" s="323"/>
      <c r="Y28" s="323"/>
      <c r="Z28" s="323"/>
      <c r="AA28" s="323"/>
      <c r="AB28" s="323"/>
      <c r="AC28" s="323"/>
      <c r="AD28" s="323"/>
      <c r="AE28" s="323"/>
      <c r="AF28" s="323"/>
      <c r="AG28" s="323"/>
      <c r="AH28" s="323"/>
      <c r="AI28" s="323"/>
      <c r="AJ28" s="323"/>
      <c r="AK28" s="323"/>
      <c r="AL28" s="323"/>
      <c r="AM28" s="323"/>
      <c r="AN28" s="323"/>
      <c r="AO28" s="323"/>
      <c r="AP28" s="323"/>
      <c r="AQ28" s="323"/>
      <c r="AR28" s="323"/>
      <c r="AS28" s="5252"/>
      <c r="AT28" s="510"/>
      <c r="BA28" s="1156">
        <v>0</v>
      </c>
    </row>
    <row s="1854" customFormat="1" customHeight="1" ht="25.5">
      <c r="A29" s="1369"/>
      <c r="B29" s="1369"/>
      <c r="C29" s="1369"/>
      <c r="D29" s="1369"/>
      <c r="E29" s="1369"/>
      <c r="F29" s="1369"/>
      <c r="G29" s="1369"/>
      <c r="H29" s="1369"/>
      <c r="I29" s="1369"/>
      <c r="J29" s="1369"/>
      <c r="K29" s="1369"/>
      <c r="L29" s="1370"/>
      <c r="M29" s="1369"/>
      <c r="N29" s="1369"/>
      <c r="O29" s="1369"/>
      <c r="S29" s="2251" t="s">
        <v>42</v>
      </c>
      <c r="T29" s="2251"/>
      <c r="U29" s="1373"/>
      <c r="V29" s="2252" t="str">
        <f>IF(TITLE_NAME_OR_PR_CHANGE="",IF(TITLE_NAME_OR_PR="","",TITLE_NAME_OR_PR),TITLE_NAME_OR_PR_CHANGE)</f>
        <v>Комитет по тарифному регулированию Мурманской области</v>
      </c>
      <c r="W29" s="2252"/>
      <c r="X29" s="2252"/>
      <c r="Y29" s="2252"/>
      <c r="Z29" s="2252"/>
      <c r="AA29" s="2252"/>
      <c r="AB29" s="2252"/>
      <c r="AC29" s="327"/>
      <c r="AD29" s="2252" t="str">
        <f>IF(TITLE_NAME_OR_PR_CHANGE="",IF(TITLE_NAME_OR_PR="","",TITLE_NAME_OR_PR),TITLE_NAME_OR_PR_CHANGE)</f>
        <v>Комитет по тарифному регулированию Мурманской области</v>
      </c>
      <c r="AE29" s="2252"/>
      <c r="AF29" s="2252"/>
      <c r="AG29" s="2252"/>
      <c r="AH29" s="2252"/>
      <c r="AI29" s="2252"/>
      <c r="AJ29" s="2252"/>
      <c r="AK29" s="327"/>
      <c r="AL29" s="2252" t="str">
        <f>IF(TITLE_NAME_OR_PR_CHANGE="",IF(TITLE_NAME_OR_PR="","",TITLE_NAME_OR_PR),TITLE_NAME_OR_PR_CHANGE)</f>
        <v>Комитет по тарифному регулированию Мурманской области</v>
      </c>
      <c r="AM29" s="2252"/>
      <c r="AN29" s="2252"/>
      <c r="AO29" s="2252"/>
      <c r="AP29" s="2252"/>
      <c r="AQ29" s="2252"/>
      <c r="AR29" s="2252"/>
      <c r="AS29" s="5239"/>
      <c r="AT29" s="327"/>
      <c r="AU29" s="281"/>
      <c r="AV29" s="369"/>
      <c r="AW29" s="369"/>
      <c r="AX29" s="369"/>
      <c r="AY29" s="369"/>
      <c r="AZ29" s="369"/>
      <c r="BA29" s="419">
        <v>0</v>
      </c>
    </row>
    <row s="1854" customFormat="1" customHeight="1" ht="18.75">
      <c r="A30" s="1369"/>
      <c r="B30" s="1369"/>
      <c r="C30" s="1369"/>
      <c r="D30" s="1369"/>
      <c r="E30" s="1369"/>
      <c r="F30" s="1369"/>
      <c r="G30" s="1369"/>
      <c r="H30" s="1369"/>
      <c r="I30" s="1369"/>
      <c r="J30" s="1369"/>
      <c r="K30" s="1369"/>
      <c r="L30" s="1370"/>
      <c r="M30" s="1369"/>
      <c r="N30" s="1369"/>
      <c r="O30" s="1369"/>
      <c r="S30" s="2251" t="s">
        <v>550</v>
      </c>
      <c r="T30" s="2251"/>
      <c r="U30" s="1373"/>
      <c r="V30" s="2265" t="str">
        <f>IF(TITLE_DATE_PR_CHANGE="",IF(TITLE_DATE_PR="","",TITLE_DATE_PR),TITLE_DATE_PR_CHANGE)</f>
        <v>46010</v>
      </c>
      <c r="W30" s="2265"/>
      <c r="X30" s="2265"/>
      <c r="Y30" s="2265"/>
      <c r="Z30" s="2265"/>
      <c r="AA30" s="2265"/>
      <c r="AB30" s="2265"/>
      <c r="AC30" s="327"/>
      <c r="AD30" s="2265" t="str">
        <f>IF(TITLE_DATE_PR_CHANGE="",IF(TITLE_DATE_PR="","",TITLE_DATE_PR),TITLE_DATE_PR_CHANGE)</f>
        <v>46010</v>
      </c>
      <c r="AE30" s="2265"/>
      <c r="AF30" s="2265"/>
      <c r="AG30" s="2265"/>
      <c r="AH30" s="2265"/>
      <c r="AI30" s="2265"/>
      <c r="AJ30" s="2265"/>
      <c r="AK30" s="327"/>
      <c r="AL30" s="2265" t="str">
        <f>IF(TITLE_DATE_PR_CHANGE="",IF(TITLE_DATE_PR="","",TITLE_DATE_PR),TITLE_DATE_PR_CHANGE)</f>
        <v>46010</v>
      </c>
      <c r="AM30" s="2265"/>
      <c r="AN30" s="2265"/>
      <c r="AO30" s="2265"/>
      <c r="AP30" s="2265"/>
      <c r="AQ30" s="2265"/>
      <c r="AR30" s="2265"/>
      <c r="AS30" s="5239"/>
      <c r="AT30" s="327"/>
      <c r="AU30" s="281"/>
      <c r="AV30" s="369"/>
      <c r="AW30" s="369"/>
      <c r="AX30" s="369"/>
      <c r="AY30" s="369"/>
      <c r="AZ30" s="369"/>
      <c r="BA30" s="419">
        <v>0</v>
      </c>
    </row>
    <row s="1854" customFormat="1" customHeight="1" ht="18.75">
      <c r="A31" s="1369"/>
      <c r="B31" s="1369"/>
      <c r="C31" s="1369"/>
      <c r="D31" s="1369"/>
      <c r="E31" s="1369"/>
      <c r="F31" s="1369"/>
      <c r="G31" s="1369"/>
      <c r="H31" s="1369"/>
      <c r="I31" s="1369"/>
      <c r="J31" s="1369"/>
      <c r="K31" s="1369"/>
      <c r="L31" s="1370"/>
      <c r="M31" s="1369"/>
      <c r="N31" s="1369"/>
      <c r="O31" s="1369"/>
      <c r="S31" s="2251" t="s">
        <v>551</v>
      </c>
      <c r="T31" s="2251"/>
      <c r="U31" s="1373"/>
      <c r="V31" s="2252" t="str">
        <f>IF(TITLE_NUMBER_PR_CHANGE="",IF(TITLE_NUMBER_PR="","",TITLE_NUMBER_PR),TITLE_NUMBER_PR_CHANGE)</f>
        <v>53/77; 53/49</v>
      </c>
      <c r="W31" s="2252"/>
      <c r="X31" s="2252"/>
      <c r="Y31" s="2252"/>
      <c r="Z31" s="2252"/>
      <c r="AA31" s="2252"/>
      <c r="AB31" s="2252"/>
      <c r="AC31" s="327"/>
      <c r="AD31" s="2252" t="str">
        <f>IF(TITLE_NUMBER_PR_CHANGE="",IF(TITLE_NUMBER_PR="","",TITLE_NUMBER_PR),TITLE_NUMBER_PR_CHANGE)</f>
        <v>53/77; 53/49</v>
      </c>
      <c r="AE31" s="2252"/>
      <c r="AF31" s="2252"/>
      <c r="AG31" s="2252"/>
      <c r="AH31" s="2252"/>
      <c r="AI31" s="2252"/>
      <c r="AJ31" s="2252"/>
      <c r="AK31" s="327"/>
      <c r="AL31" s="2252" t="str">
        <f>IF(TITLE_NUMBER_PR_CHANGE="",IF(TITLE_NUMBER_PR="","",TITLE_NUMBER_PR),TITLE_NUMBER_PR_CHANGE)</f>
        <v>53/77; 53/49</v>
      </c>
      <c r="AM31" s="2252"/>
      <c r="AN31" s="2252"/>
      <c r="AO31" s="2252"/>
      <c r="AP31" s="2252"/>
      <c r="AQ31" s="2252"/>
      <c r="AR31" s="2252"/>
      <c r="AS31" s="5239"/>
      <c r="AT31" s="327"/>
      <c r="AU31" s="281"/>
      <c r="AV31" s="369"/>
      <c r="AW31" s="369"/>
      <c r="AX31" s="369"/>
      <c r="AY31" s="369"/>
      <c r="AZ31" s="369"/>
      <c r="BA31" s="419">
        <v>0</v>
      </c>
    </row>
    <row s="1854" customFormat="1" customHeight="1" ht="18.75">
      <c r="A32" s="1369"/>
      <c r="B32" s="1369"/>
      <c r="C32" s="1369"/>
      <c r="D32" s="1369"/>
      <c r="E32" s="1369"/>
      <c r="F32" s="1369"/>
      <c r="G32" s="1369"/>
      <c r="H32" s="1369"/>
      <c r="I32" s="1369"/>
      <c r="J32" s="1369"/>
      <c r="K32" s="1369"/>
      <c r="L32" s="1370"/>
      <c r="M32" s="1369"/>
      <c r="N32" s="1369"/>
      <c r="O32" s="1369"/>
      <c r="S32" s="2251" t="s">
        <v>44</v>
      </c>
      <c r="T32" s="2251"/>
      <c r="U32" s="1373"/>
      <c r="V32" s="2252" t="str">
        <f>IF(TITLE_IST_PUB_CHANGE="",IF(TITLE_IST_PUB="","",TITLE_IST_PUB),TITLE_IST_PUB_CHANGE)</f>
        <v>Официальный электронный бюллетень Правительства Мурманской области</v>
      </c>
      <c r="W32" s="2252"/>
      <c r="X32" s="2252"/>
      <c r="Y32" s="2252"/>
      <c r="Z32" s="2252"/>
      <c r="AA32" s="2252"/>
      <c r="AB32" s="2252"/>
      <c r="AC32" s="327"/>
      <c r="AD32" s="2252" t="str">
        <f>IF(TITLE_IST_PUB_CHANGE="",IF(TITLE_IST_PUB="","",TITLE_IST_PUB),TITLE_IST_PUB_CHANGE)</f>
        <v>Официальный электронный бюллетень Правительства Мурманской области</v>
      </c>
      <c r="AE32" s="2252"/>
      <c r="AF32" s="2252"/>
      <c r="AG32" s="2252"/>
      <c r="AH32" s="2252"/>
      <c r="AI32" s="2252"/>
      <c r="AJ32" s="2252"/>
      <c r="AK32" s="327"/>
      <c r="AL32" s="2252" t="str">
        <f>IF(TITLE_IST_PUB_CHANGE="",IF(TITLE_IST_PUB="","",TITLE_IST_PUB),TITLE_IST_PUB_CHANGE)</f>
        <v>Официальный электронный бюллетень Правительства Мурманской области</v>
      </c>
      <c r="AM32" s="2252"/>
      <c r="AN32" s="2252"/>
      <c r="AO32" s="2252"/>
      <c r="AP32" s="2252"/>
      <c r="AQ32" s="2252"/>
      <c r="AR32" s="2252"/>
      <c r="AS32" s="5239"/>
      <c r="AT32" s="327"/>
      <c r="AU32" s="281"/>
      <c r="AV32" s="369"/>
      <c r="AW32" s="369"/>
      <c r="AX32" s="369"/>
      <c r="AY32" s="369"/>
      <c r="AZ32" s="369"/>
      <c r="BA32" s="419">
        <v>0</v>
      </c>
    </row>
    <row customHeight="1" ht="14.25" hidden="1">
      <c r="Q33" s="377"/>
      <c r="R33" s="377"/>
      <c r="S33" s="1276"/>
      <c r="T33" s="364"/>
      <c r="U33" s="364"/>
      <c r="V33" s="323"/>
      <c r="W33" s="323"/>
      <c r="X33" s="323"/>
      <c r="Y33" s="323"/>
      <c r="Z33" s="323"/>
      <c r="AA33" s="323"/>
      <c r="AB33" s="323"/>
      <c r="AC33" s="323"/>
      <c r="AD33" s="323"/>
      <c r="AE33" s="323"/>
      <c r="AF33" s="323"/>
      <c r="AG33" s="323"/>
      <c r="AH33" s="323"/>
      <c r="AI33" s="323"/>
      <c r="AJ33" s="323"/>
      <c r="AK33" s="323"/>
      <c r="AL33" s="323"/>
      <c r="AM33" s="323"/>
      <c r="AN33" s="323"/>
      <c r="AO33" s="323"/>
      <c r="AP33" s="323"/>
      <c r="AQ33" s="323"/>
      <c r="AR33" s="323"/>
      <c r="AS33" s="5252"/>
      <c r="AT33" s="510"/>
      <c r="BA33" s="1156">
        <v>0</v>
      </c>
    </row>
    <row s="1854" customFormat="1" customHeight="1" ht="18.75" hidden="1">
      <c r="A34" s="1369"/>
      <c r="B34" s="1369"/>
      <c r="C34" s="1369"/>
      <c r="D34" s="1369"/>
      <c r="E34" s="1369"/>
      <c r="F34" s="1369"/>
      <c r="G34" s="1369"/>
      <c r="H34" s="1369"/>
      <c r="I34" s="1369"/>
      <c r="J34" s="1369"/>
      <c r="K34" s="1369"/>
      <c r="L34" s="1370"/>
      <c r="M34" s="1369"/>
      <c r="N34" s="1369"/>
      <c r="O34" s="1369"/>
      <c r="S34" s="2251" t="s">
        <v>552</v>
      </c>
      <c r="T34" s="2251"/>
      <c r="U34" s="1373"/>
      <c r="V34" s="2265" t="str">
        <f>IF(TITLE_DATE_PR_CHANGE="",IF(TITLE_DATE_PR="","",TITLE_DATE_PR),TITLE_DATE_PR_CHANGE)</f>
        <v>46010</v>
      </c>
      <c r="W34" s="2265"/>
      <c r="X34" s="2265"/>
      <c r="Y34" s="2265"/>
      <c r="Z34" s="2265"/>
      <c r="AA34" s="2265"/>
      <c r="AB34" s="2265"/>
      <c r="AC34" s="327"/>
      <c r="AD34" s="2265" t="str">
        <f>IF(TITLE_DATE_PR_CHANGE="",IF(TITLE_DATE_PR="","",TITLE_DATE_PR),TITLE_DATE_PR_CHANGE)</f>
        <v>46010</v>
      </c>
      <c r="AE34" s="2265"/>
      <c r="AF34" s="2265"/>
      <c r="AG34" s="2265"/>
      <c r="AH34" s="2265"/>
      <c r="AI34" s="2265"/>
      <c r="AJ34" s="2265"/>
      <c r="AK34" s="327"/>
      <c r="AL34" s="2265" t="str">
        <f>IF(TITLE_DATE_PR_CHANGE="",IF(TITLE_DATE_PR="","",TITLE_DATE_PR),TITLE_DATE_PR_CHANGE)</f>
        <v>46010</v>
      </c>
      <c r="AM34" s="2265"/>
      <c r="AN34" s="2265"/>
      <c r="AO34" s="2265"/>
      <c r="AP34" s="2265"/>
      <c r="AQ34" s="2265"/>
      <c r="AR34" s="2265"/>
      <c r="AS34" s="5239"/>
      <c r="AT34" s="327"/>
      <c r="AU34" s="281"/>
      <c r="AV34" s="369"/>
      <c r="AW34" s="369"/>
      <c r="AX34" s="369"/>
      <c r="AY34" s="369"/>
      <c r="AZ34" s="369"/>
      <c r="BA34" s="419">
        <v>0</v>
      </c>
    </row>
    <row s="1854" customFormat="1" customHeight="1" ht="18.75" hidden="1">
      <c r="A35" s="1369"/>
      <c r="B35" s="1369"/>
      <c r="C35" s="1369"/>
      <c r="D35" s="1369"/>
      <c r="E35" s="1369"/>
      <c r="F35" s="1369"/>
      <c r="G35" s="1369"/>
      <c r="H35" s="1369"/>
      <c r="I35" s="1369"/>
      <c r="J35" s="1369"/>
      <c r="K35" s="1369"/>
      <c r="L35" s="1370"/>
      <c r="M35" s="1369"/>
      <c r="N35" s="1369"/>
      <c r="O35" s="1369"/>
      <c r="S35" s="2251" t="s">
        <v>553</v>
      </c>
      <c r="T35" s="2251"/>
      <c r="U35" s="1373"/>
      <c r="V35" s="2252" t="str">
        <f>IF(TITLE_NUMBER_PR_CHANGE="",IF(TITLE_NUMBER_PR="","",TITLE_NUMBER_PR),TITLE_NUMBER_PR_CHANGE)</f>
        <v>53/77; 53/49</v>
      </c>
      <c r="W35" s="2252"/>
      <c r="X35" s="2252"/>
      <c r="Y35" s="2252"/>
      <c r="Z35" s="2252"/>
      <c r="AA35" s="2252"/>
      <c r="AB35" s="2252"/>
      <c r="AC35" s="327"/>
      <c r="AD35" s="2252" t="str">
        <f>IF(TITLE_NUMBER_PR_CHANGE="",IF(TITLE_NUMBER_PR="","",TITLE_NUMBER_PR),TITLE_NUMBER_PR_CHANGE)</f>
        <v>53/77; 53/49</v>
      </c>
      <c r="AE35" s="2252"/>
      <c r="AF35" s="2252"/>
      <c r="AG35" s="2252"/>
      <c r="AH35" s="2252"/>
      <c r="AI35" s="2252"/>
      <c r="AJ35" s="2252"/>
      <c r="AK35" s="327"/>
      <c r="AL35" s="2252" t="str">
        <f>IF(TITLE_NUMBER_PR_CHANGE="",IF(TITLE_NUMBER_PR="","",TITLE_NUMBER_PR),TITLE_NUMBER_PR_CHANGE)</f>
        <v>53/77; 53/49</v>
      </c>
      <c r="AM35" s="2252"/>
      <c r="AN35" s="2252"/>
      <c r="AO35" s="2252"/>
      <c r="AP35" s="2252"/>
      <c r="AQ35" s="2252"/>
      <c r="AR35" s="2252"/>
      <c r="AS35" s="5239"/>
      <c r="AT35" s="327"/>
      <c r="AU35" s="281"/>
      <c r="AV35" s="369"/>
      <c r="AW35" s="369"/>
      <c r="AX35" s="369"/>
      <c r="AY35" s="369"/>
      <c r="AZ35" s="369"/>
      <c r="BA35" s="419">
        <v>0</v>
      </c>
    </row>
    <row s="1854" customFormat="1" customHeight="1" ht="0">
      <c r="A36" s="1369"/>
      <c r="B36" s="1369"/>
      <c r="C36" s="1369"/>
      <c r="D36" s="1369"/>
      <c r="E36" s="1369"/>
      <c r="F36" s="1369"/>
      <c r="G36" s="1369"/>
      <c r="H36" s="1369"/>
      <c r="I36" s="1369"/>
      <c r="J36" s="1369"/>
      <c r="K36" s="1369"/>
      <c r="L36" s="1370"/>
      <c r="M36" s="1369"/>
      <c r="N36" s="1369"/>
      <c r="O36" s="1369"/>
      <c r="S36" s="324"/>
      <c r="T36" s="324"/>
      <c r="U36" s="1341"/>
      <c r="V36" s="327"/>
      <c r="W36" s="327"/>
      <c r="X36" s="327"/>
      <c r="Y36" s="327"/>
      <c r="Z36" s="327"/>
      <c r="AA36" s="327"/>
      <c r="AB36" s="327"/>
      <c r="AC36" s="279" t="s">
        <v>554</v>
      </c>
      <c r="AD36" s="327"/>
      <c r="AE36" s="327"/>
      <c r="AF36" s="327"/>
      <c r="AG36" s="327"/>
      <c r="AH36" s="327"/>
      <c r="AI36" s="327"/>
      <c r="AJ36" s="327"/>
      <c r="AK36" s="279" t="s">
        <v>554</v>
      </c>
      <c r="AL36" s="1636"/>
      <c r="AM36" s="1636"/>
      <c r="AN36" s="1636"/>
      <c r="AO36" s="1636"/>
      <c r="AP36" s="1636"/>
      <c r="AQ36" s="1636"/>
      <c r="AR36" s="1636"/>
      <c r="AS36" s="5253" t="s">
        <v>554</v>
      </c>
      <c r="AV36" s="369"/>
      <c r="AW36" s="369"/>
      <c r="AX36" s="369"/>
      <c r="AY36" s="369"/>
      <c r="AZ36" s="369"/>
      <c r="BA36" s="419">
        <v>0</v>
      </c>
    </row>
    <row customHeight="1" ht="14.699999999999998">
      <c r="Q37" s="377"/>
      <c r="R37" s="377"/>
      <c r="S37" s="1276"/>
      <c r="T37" s="364"/>
      <c r="U37" s="1245"/>
      <c r="V37" s="2253"/>
      <c r="W37" s="2253"/>
      <c r="X37" s="2253"/>
      <c r="Y37" s="2253"/>
      <c r="Z37" s="2253"/>
      <c r="AA37" s="2253"/>
      <c r="AB37" s="2253"/>
      <c r="AC37" s="2253"/>
      <c r="AD37" s="2253"/>
      <c r="AE37" s="2253"/>
      <c r="AF37" s="2253"/>
      <c r="AG37" s="2253"/>
      <c r="AH37" s="2253"/>
      <c r="AI37" s="2253"/>
      <c r="AJ37" s="2253"/>
      <c r="AK37" s="2253"/>
      <c r="AL37" s="2253" t="s">
        <v>108</v>
      </c>
      <c r="AM37" s="2253"/>
      <c r="AN37" s="2253"/>
      <c r="AO37" s="2253"/>
      <c r="AP37" s="2253"/>
      <c r="AQ37" s="2253"/>
      <c r="AR37" s="2253"/>
      <c r="AS37" s="5254"/>
      <c r="BA37" s="1156">
        <v>14</v>
      </c>
    </row>
    <row customHeight="1" ht="15">
      <c r="Q38" s="377"/>
      <c r="R38" s="377"/>
      <c r="S38" s="2128" t="s">
        <v>430</v>
      </c>
      <c r="T38" s="2128"/>
      <c r="U38" s="2128"/>
      <c r="V38" s="2128"/>
      <c r="W38" s="2128"/>
      <c r="X38" s="2128"/>
      <c r="Y38" s="2128"/>
      <c r="Z38" s="2128"/>
      <c r="AA38" s="2128"/>
      <c r="AB38" s="2128"/>
      <c r="AC38" s="2128"/>
      <c r="AD38" s="2128"/>
      <c r="AE38" s="2128"/>
      <c r="AF38" s="2128"/>
      <c r="AG38" s="2128"/>
      <c r="AH38" s="2128"/>
      <c r="AI38" s="2128"/>
      <c r="AJ38" s="2128"/>
      <c r="AK38" s="2128"/>
      <c r="AL38" s="2313" t="s">
        <v>430</v>
      </c>
      <c r="AM38" s="2313"/>
      <c r="AN38" s="2313"/>
      <c r="AO38" s="2313"/>
      <c r="AP38" s="2313"/>
      <c r="AQ38" s="2313"/>
      <c r="AR38" s="2313"/>
      <c r="AS38" s="5255"/>
      <c r="AT38" s="2128"/>
      <c r="AU38" s="2128"/>
      <c r="BA38" s="1156"/>
    </row>
    <row customHeight="1" ht="14.699999999999998">
      <c r="Q39" s="377"/>
      <c r="R39" s="377"/>
      <c r="S39" s="2274" t="s">
        <v>92</v>
      </c>
      <c r="T39" s="2210" t="s">
        <v>555</v>
      </c>
      <c r="U39" s="302"/>
      <c r="V39" s="2275" t="s">
        <v>556</v>
      </c>
      <c r="W39" s="2276"/>
      <c r="X39" s="2276"/>
      <c r="Y39" s="2276"/>
      <c r="Z39" s="2276"/>
      <c r="AA39" s="2276"/>
      <c r="AB39" s="2277"/>
      <c r="AC39" s="2278" t="s">
        <v>557</v>
      </c>
      <c r="AD39" s="2275" t="s">
        <v>556</v>
      </c>
      <c r="AE39" s="2276"/>
      <c r="AF39" s="2276"/>
      <c r="AG39" s="2276"/>
      <c r="AH39" s="2276"/>
      <c r="AI39" s="2276"/>
      <c r="AJ39" s="2277"/>
      <c r="AK39" s="2278" t="s">
        <v>558</v>
      </c>
      <c r="AL39" s="2400" t="s">
        <v>556</v>
      </c>
      <c r="AM39" s="2401"/>
      <c r="AN39" s="2401"/>
      <c r="AO39" s="2401"/>
      <c r="AP39" s="2401"/>
      <c r="AQ39" s="2401"/>
      <c r="AR39" s="2402"/>
      <c r="AS39" s="5256" t="s">
        <v>557</v>
      </c>
      <c r="AT39" s="2281" t="s">
        <v>559</v>
      </c>
      <c r="AU39" s="2128"/>
      <c r="BA39" s="1156">
        <v>14</v>
      </c>
    </row>
    <row customHeight="1" ht="35.699999999999996">
      <c r="Q40" s="377"/>
      <c r="R40" s="377"/>
      <c r="S40" s="2274"/>
      <c r="T40" s="2210"/>
      <c r="U40" s="1032"/>
      <c r="V40" s="2261" t="s">
        <v>560</v>
      </c>
      <c r="W40" s="2284"/>
      <c r="X40" s="2263" t="s">
        <v>562</v>
      </c>
      <c r="Y40" s="2264"/>
      <c r="Z40" s="2263" t="s">
        <v>563</v>
      </c>
      <c r="AA40" s="2270"/>
      <c r="AB40" s="2264"/>
      <c r="AC40" s="2279"/>
      <c r="AD40" s="2261" t="s">
        <v>580</v>
      </c>
      <c r="AE40" s="2284"/>
      <c r="AF40" s="2263" t="s">
        <v>562</v>
      </c>
      <c r="AG40" s="2264"/>
      <c r="AH40" s="2263" t="s">
        <v>563</v>
      </c>
      <c r="AI40" s="2270"/>
      <c r="AJ40" s="2264"/>
      <c r="AK40" s="2279"/>
      <c r="AL40" s="2261" t="s">
        <v>560</v>
      </c>
      <c r="AM40" s="2611"/>
      <c r="AN40" s="2263" t="s">
        <v>562</v>
      </c>
      <c r="AO40" s="2264"/>
      <c r="AP40" s="2263" t="s">
        <v>563</v>
      </c>
      <c r="AQ40" s="2270"/>
      <c r="AR40" s="2264"/>
      <c r="AS40" s="5257"/>
      <c r="AT40" s="2282"/>
      <c r="AU40" s="2128"/>
      <c r="BA40" s="1156">
        <v>34</v>
      </c>
    </row>
    <row customHeight="1" ht="35.699999999999996">
      <c r="A41" s="1371"/>
      <c r="B41" s="1371" t="s">
        <v>148</v>
      </c>
      <c r="C41" s="1371" t="s">
        <v>149</v>
      </c>
      <c r="D41" s="1371" t="s">
        <v>150</v>
      </c>
      <c r="E41" s="1365" t="s">
        <v>564</v>
      </c>
      <c r="F41" s="1365" t="s">
        <v>565</v>
      </c>
      <c r="G41" s="1365" t="s">
        <v>566</v>
      </c>
      <c r="H41" s="1365" t="s">
        <v>567</v>
      </c>
      <c r="I41" s="1365" t="s">
        <v>568</v>
      </c>
      <c r="J41" s="1365" t="s">
        <v>569</v>
      </c>
      <c r="K41" s="1365" t="s">
        <v>570</v>
      </c>
      <c r="L41" s="1365" t="s">
        <v>545</v>
      </c>
      <c r="Q41" s="377"/>
      <c r="R41" s="377"/>
      <c r="S41" s="2274"/>
      <c r="T41" s="2210"/>
      <c r="U41" s="303"/>
      <c r="V41" s="2262"/>
      <c r="W41" s="2285"/>
      <c r="X41" s="1223" t="s">
        <v>571</v>
      </c>
      <c r="Y41" s="1223" t="s">
        <v>572</v>
      </c>
      <c r="Z41" s="1339" t="s">
        <v>573</v>
      </c>
      <c r="AA41" s="2271" t="s">
        <v>574</v>
      </c>
      <c r="AB41" s="2272"/>
      <c r="AC41" s="2280"/>
      <c r="AD41" s="2262"/>
      <c r="AE41" s="2285"/>
      <c r="AF41" s="1223" t="s">
        <v>571</v>
      </c>
      <c r="AG41" s="1223" t="s">
        <v>572</v>
      </c>
      <c r="AH41" s="1339" t="s">
        <v>573</v>
      </c>
      <c r="AI41" s="2271" t="s">
        <v>574</v>
      </c>
      <c r="AJ41" s="2272"/>
      <c r="AK41" s="2280"/>
      <c r="AL41" s="2262"/>
      <c r="AM41" s="2285"/>
      <c r="AN41" s="2578" t="s">
        <v>571</v>
      </c>
      <c r="AO41" s="2578" t="s">
        <v>572</v>
      </c>
      <c r="AP41" s="2578" t="s">
        <v>573</v>
      </c>
      <c r="AQ41" s="2271" t="s">
        <v>574</v>
      </c>
      <c r="AR41" s="2272"/>
      <c r="AS41" s="5258"/>
      <c r="AT41" s="2283"/>
      <c r="AU41" s="2128"/>
      <c r="BA41" s="1156">
        <v>34</v>
      </c>
    </row>
    <row s="1642" customFormat="1" customHeight="1" ht="11.25" hidden="1">
      <c r="A42" s="1371"/>
      <c r="B42" s="1371"/>
      <c r="C42" s="1371"/>
      <c r="D42" s="1371"/>
      <c r="E42" s="1371"/>
      <c r="F42" s="1371"/>
      <c r="G42" s="1371"/>
      <c r="H42" s="1371"/>
      <c r="I42" s="1371"/>
      <c r="J42" s="1371"/>
      <c r="K42" s="1371"/>
      <c r="L42" s="1365"/>
      <c r="M42" s="1363"/>
      <c r="N42" s="1363"/>
      <c r="O42" s="1363"/>
      <c r="P42" s="1247"/>
      <c r="Q42" s="1248"/>
      <c r="R42" s="1255">
        <v>1</v>
      </c>
      <c r="S42" s="1278" t="s">
        <v>123</v>
      </c>
      <c r="T42" s="1256" t="s">
        <v>107</v>
      </c>
      <c r="U42" s="1246" t="str">
        <f>OFFSET(U42,0,-1)</f>
        <v>2</v>
      </c>
      <c r="V42" s="1336">
        <f>OFFSET(V42,0,-1)+1</f>
        <v>3</v>
      </c>
      <c r="W42" s="1336"/>
      <c r="X42" s="1336">
        <f>OFFSET(X42,0,-1)+1</f>
        <v>1</v>
      </c>
      <c r="Y42" s="1336">
        <f>OFFSET(Y42,0,-1)+1</f>
        <v>2</v>
      </c>
      <c r="Z42" s="1336">
        <f>OFFSET(Z42,0,-1)+1</f>
        <v>3</v>
      </c>
      <c r="AA42" s="2273">
        <f>OFFSET(AA42,0,-1)+1</f>
        <v>4</v>
      </c>
      <c r="AB42" s="2273"/>
      <c r="AC42" s="1336">
        <f>OFFSET(AC42,0,-2)+1</f>
        <v>5</v>
      </c>
      <c r="AD42" s="1336">
        <f>OFFSET(AD42,0,-1)+1</f>
        <v>6</v>
      </c>
      <c r="AE42" s="1336"/>
      <c r="AF42" s="1336">
        <f>OFFSET(AF42,0,-1)+1</f>
        <v>1</v>
      </c>
      <c r="AG42" s="1336">
        <f>OFFSET(AG42,0,-1)+1</f>
        <v>2</v>
      </c>
      <c r="AH42" s="1336">
        <f>OFFSET(AH42,0,-1)+1</f>
        <v>3</v>
      </c>
      <c r="AI42" s="2273">
        <f>OFFSET(AI42,0,-1)+1</f>
        <v>4</v>
      </c>
      <c r="AJ42" s="2273"/>
      <c r="AK42" s="1336">
        <f>OFFSET(AK42,0,-2)+1</f>
        <v>5</v>
      </c>
      <c r="AL42" s="2273">
        <f>OFFSET(AL42,0,-1)+1</f>
        <v>6</v>
      </c>
      <c r="AM42" s="2273"/>
      <c r="AN42" s="2273">
        <f>OFFSET(AN42,0,-1)+1</f>
        <v>1</v>
      </c>
      <c r="AO42" s="2273">
        <f>OFFSET(AO42,0,-1)+1</f>
        <v>2</v>
      </c>
      <c r="AP42" s="2273">
        <f>OFFSET(AP42,0,-1)+1</f>
        <v>3</v>
      </c>
      <c r="AQ42" s="2273">
        <f>OFFSET(AQ42,0,-1)+1</f>
        <v>4</v>
      </c>
      <c r="AR42" s="2273"/>
      <c r="AS42" s="5259">
        <f>OFFSET(AS42,0,-2)+1</f>
        <v>5</v>
      </c>
      <c r="AT42" s="1246">
        <f>OFFSET(AT42,0,-1)</f>
        <v>5</v>
      </c>
      <c r="AU42" s="1336">
        <f>OFFSET(AU42,0,-1)+1</f>
        <v>6</v>
      </c>
      <c r="AV42" s="512"/>
      <c r="AW42" s="512"/>
      <c r="AX42" s="512"/>
      <c r="AY42" s="512"/>
      <c r="AZ42" s="512"/>
      <c r="BA42" s="497">
        <v>0</v>
      </c>
    </row>
    <row customHeight="1" ht="43.5">
      <c r="A43" s="1364" t="s">
        <v>255</v>
      </c>
      <c r="B43" s="1364"/>
      <c r="C43" s="1364"/>
      <c r="D43" s="1364"/>
      <c r="E43" s="2259">
        <v>1</v>
      </c>
      <c r="F43" s="1364"/>
      <c r="G43" s="1364"/>
      <c r="H43" s="1364"/>
      <c r="I43" s="1364"/>
      <c r="J43" s="1364"/>
      <c r="K43" s="1364"/>
      <c r="L43" s="1365"/>
      <c r="M43" s="1366"/>
      <c r="N43" s="1366"/>
      <c r="O43" s="1366"/>
      <c r="P43" s="362"/>
      <c r="Q43" s="361"/>
      <c r="R43" s="356"/>
      <c r="S43" s="1337">
        <f>INDEX(PT_DIFFERENTIATION_NUM_NTAR,MATCH(A43,PT_DIFFERENTIATION_NTAR_ID,0))</f>
        <v>1</v>
      </c>
      <c r="T43" s="299" t="s">
        <v>136</v>
      </c>
      <c r="U43" s="301"/>
      <c r="V43" s="2243"/>
      <c r="W43" s="2244"/>
      <c r="X43" s="2244"/>
      <c r="Y43" s="2244"/>
      <c r="Z43" s="2244"/>
      <c r="AA43" s="2244"/>
      <c r="AB43" s="2244"/>
      <c r="AC43" s="2245"/>
      <c r="AD43" s="2243" t="str">
        <f>INDEX(PT_DIFFERENTIATION_NTAR,MATCH(A43,PT_DIFFERENTIATION_NTAR_ID,0))</f>
        <v>Тарифы на теплоноситель, поставляемый группе потребителей "население". Муниципальный округ город Апатиты с подведомственной территорией Мурманской области, муниципальный округ город Кировск с подведомственной территорией Мурманской области</v>
      </c>
      <c r="AE43" s="2244"/>
      <c r="AF43" s="2244"/>
      <c r="AG43" s="2244"/>
      <c r="AH43" s="2244"/>
      <c r="AI43" s="2244"/>
      <c r="AJ43" s="2244"/>
      <c r="AK43" s="2244"/>
      <c r="AL43" s="2243"/>
      <c r="AM43" s="2244"/>
      <c r="AN43" s="2244"/>
      <c r="AO43" s="2244"/>
      <c r="AP43" s="2244"/>
      <c r="AQ43" s="2244"/>
      <c r="AR43" s="2244"/>
      <c r="AS43" s="5240"/>
      <c r="AT43" s="2245"/>
      <c r="AU43" s="1259" t="str">
        <f>IF(TEMPLATE_GROUP="P","По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"&amp;"с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"&amp;"2010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"&amp;"теплоснабжения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"&amp;"6 части 1 статьи 23 4 Федерального закона от 27 июля 2010 г. N 190-ФЗ ""О теплоснабжении"".
"&amp;"Для каждого вида тарифа в сфере теплоснабжения форма заполняется отдельно.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цены"&amp;"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"&amp;"В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"&amp;"Федерального закона от 27 июля 2010 г. N 190-ФЗ ""О теплоснабжении"". 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Для каждого вида тарифа в сфере теплоснабжения форма заполняется отдельно.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 (тарифа), источник официального опубликования решения об установлении цены (тарифа) в сфере теплоснабжения.</v>
      </c>
      <c r="AW43" s="501"/>
      <c r="AX43" s="501" t="str">
        <f>IF(T43="","",T43)</f>
        <v>Наименование тарифа</v>
      </c>
      <c r="AY43" s="501"/>
      <c r="AZ43" s="501"/>
      <c r="BA43" s="1156">
        <v>21</v>
      </c>
    </row>
    <row customHeight="1" ht="22.049999999999997">
      <c r="A44" s="1364" t="s">
        <v>255</v>
      </c>
      <c r="B44" s="1364" t="s">
        <v>256</v>
      </c>
      <c r="C44" s="1364"/>
      <c r="D44" s="1364"/>
      <c r="E44" s="2260"/>
      <c r="F44" s="2259">
        <v>1</v>
      </c>
      <c r="G44" s="1364"/>
      <c r="H44" s="1364"/>
      <c r="I44" s="1364"/>
      <c r="J44" s="1364"/>
      <c r="K44" s="1364"/>
      <c r="L44" s="1365"/>
      <c r="M44" s="1366"/>
      <c r="N44" s="1366"/>
      <c r="O44" s="1366"/>
      <c r="P44" s="1333"/>
      <c r="Q44" s="353"/>
      <c r="R44" s="354"/>
      <c r="S44" s="1337" t="str">
        <f>INDEX(PT_DIFFERENTIATION_NUM_TER,MATCH(B44,PT_DIFFERENTIATION_TER_ID,0))</f>
        <v>1.1</v>
      </c>
      <c r="T44" s="309" t="s">
        <v>527</v>
      </c>
      <c r="U44" s="301"/>
      <c r="V44" s="2243"/>
      <c r="W44" s="2244"/>
      <c r="X44" s="2244"/>
      <c r="Y44" s="2244"/>
      <c r="Z44" s="2244"/>
      <c r="AA44" s="2244"/>
      <c r="AB44" s="2244"/>
      <c r="AC44" s="2245"/>
      <c r="AD44" s="2243" t="str">
        <f>INDEX(PT_DIFFERENTIATION_TER,MATCH(B44,PT_DIFFERENTIATION_TER_ID,0))</f>
        <v>Территория 1</v>
      </c>
      <c r="AE44" s="2244"/>
      <c r="AF44" s="2244"/>
      <c r="AG44" s="2244"/>
      <c r="AH44" s="2244"/>
      <c r="AI44" s="2244"/>
      <c r="AJ44" s="2244"/>
      <c r="AK44" s="2244"/>
      <c r="AL44" s="2243"/>
      <c r="AM44" s="2244"/>
      <c r="AN44" s="2244"/>
      <c r="AO44" s="2244"/>
      <c r="AP44" s="2244"/>
      <c r="AQ44" s="2244"/>
      <c r="AR44" s="2244"/>
      <c r="AS44" s="5240"/>
      <c r="AT44" s="2245"/>
      <c r="AU44" s="1259" t="s">
        <v>528</v>
      </c>
      <c r="AW44" s="501"/>
      <c r="AX44" s="501" t="str">
        <f>IF(T44="","",T44)</f>
        <v>Территория действия тарифа</v>
      </c>
      <c r="AY44" s="501"/>
      <c r="AZ44" s="501"/>
      <c r="BA44" s="1156">
        <v>21</v>
      </c>
    </row>
    <row customHeight="1" ht="24">
      <c r="A45" s="1364" t="s">
        <v>255</v>
      </c>
      <c r="B45" s="1364" t="s">
        <v>256</v>
      </c>
      <c r="C45" s="1364" t="s">
        <v>257</v>
      </c>
      <c r="D45" s="1364"/>
      <c r="E45" s="2260"/>
      <c r="F45" s="2260"/>
      <c r="G45" s="2259">
        <v>1</v>
      </c>
      <c r="H45" s="1364"/>
      <c r="I45" s="1364"/>
      <c r="J45" s="1364"/>
      <c r="K45" s="1364"/>
      <c r="L45" s="1365"/>
      <c r="M45" s="1366"/>
      <c r="N45" s="1366"/>
      <c r="O45" s="1366"/>
      <c r="P45" s="355"/>
      <c r="Q45" s="353"/>
      <c r="R45" s="354"/>
      <c r="S45" s="1337" t="str">
        <f>INDEX(PT_DIFFERENTIATION_NUM_CS,MATCH(C45,PT_DIFFERENTIATION_CS_ID,0))</f>
        <v>1.1.1</v>
      </c>
      <c r="T45" s="310" t="s">
        <v>529</v>
      </c>
      <c r="U45" s="301"/>
      <c r="V45" s="2243"/>
      <c r="W45" s="2244"/>
      <c r="X45" s="2244"/>
      <c r="Y45" s="2244"/>
      <c r="Z45" s="2244"/>
      <c r="AA45" s="2244"/>
      <c r="AB45" s="2244"/>
      <c r="AC45" s="2245"/>
      <c r="AD45" s="2243" t="str">
        <f>INDEX(PT_DIFFERENTIATION_CS,MATCH(C45,PT_DIFFERENTIATION_CS_ID,0))</f>
        <v>открытая система теплоснабжения г. Апатиты</v>
      </c>
      <c r="AE45" s="2244"/>
      <c r="AF45" s="2244"/>
      <c r="AG45" s="2244"/>
      <c r="AH45" s="2244"/>
      <c r="AI45" s="2244"/>
      <c r="AJ45" s="2244"/>
      <c r="AK45" s="2244"/>
      <c r="AL45" s="2243"/>
      <c r="AM45" s="2244"/>
      <c r="AN45" s="2244"/>
      <c r="AO45" s="2244"/>
      <c r="AP45" s="2244"/>
      <c r="AQ45" s="2244"/>
      <c r="AR45" s="2244"/>
      <c r="AS45" s="5240"/>
      <c r="AT45" s="2245"/>
      <c r="AU45" s="1259" t="s">
        <v>530</v>
      </c>
      <c r="AW45" s="501"/>
      <c r="AX45" s="501" t="str">
        <f>IF(T45="","",T45)</f>
        <v>Наименование системы теплоснабжения </v>
      </c>
      <c r="AY45" s="501"/>
      <c r="AZ45" s="501"/>
      <c r="BA45" s="1156">
        <v>23</v>
      </c>
    </row>
    <row customHeight="1" ht="22.049999999999997">
      <c r="A46" s="1364" t="s">
        <v>255</v>
      </c>
      <c r="B46" s="1364" t="s">
        <v>256</v>
      </c>
      <c r="C46" s="1364" t="s">
        <v>257</v>
      </c>
      <c r="D46" s="1364" t="s">
        <v>258</v>
      </c>
      <c r="E46" s="2260"/>
      <c r="F46" s="2260"/>
      <c r="G46" s="2260"/>
      <c r="H46" s="2259">
        <v>1</v>
      </c>
      <c r="I46" s="1364"/>
      <c r="J46" s="1364"/>
      <c r="K46" s="1364"/>
      <c r="L46" s="1365"/>
      <c r="M46" s="1366"/>
      <c r="N46" s="1366"/>
      <c r="O46" s="1366"/>
      <c r="P46" s="355"/>
      <c r="Q46" s="353"/>
      <c r="R46" s="354"/>
      <c r="S46" s="1337" t="str">
        <f>INDEX(PT_DIFFERENTIATION_NUM_IST_TE,MATCH(D46,PT_DIFFERENTIATION_IST_TE_ID,0))</f>
        <v>1.1.1.1</v>
      </c>
      <c r="T46" s="311" t="s">
        <v>531</v>
      </c>
      <c r="U46" s="301"/>
      <c r="V46" s="2243"/>
      <c r="W46" s="2244"/>
      <c r="X46" s="2244"/>
      <c r="Y46" s="2244"/>
      <c r="Z46" s="2244"/>
      <c r="AA46" s="2244"/>
      <c r="AB46" s="2244"/>
      <c r="AC46" s="2245"/>
      <c r="AD46" s="2243" t="str">
        <f>INDEX(PT_DIFFERENTIATION_IST_TE,MATCH(D46,PT_DIFFERENTIATION_IST_TE_ID,0))</f>
        <v>Апатитская ТЭЦ</v>
      </c>
      <c r="AE46" s="2244"/>
      <c r="AF46" s="2244"/>
      <c r="AG46" s="2244"/>
      <c r="AH46" s="2244"/>
      <c r="AI46" s="2244"/>
      <c r="AJ46" s="2244"/>
      <c r="AK46" s="2244"/>
      <c r="AL46" s="2243"/>
      <c r="AM46" s="2244"/>
      <c r="AN46" s="2244"/>
      <c r="AO46" s="2244"/>
      <c r="AP46" s="2244"/>
      <c r="AQ46" s="2244"/>
      <c r="AR46" s="2244"/>
      <c r="AS46" s="5240"/>
      <c r="AT46" s="2245"/>
      <c r="AU46" s="1259" t="s">
        <v>532</v>
      </c>
      <c r="AW46" s="501"/>
      <c r="AX46" s="501" t="str">
        <f>IF(T46="","",T46)</f>
        <v>Источник тепловой энергии  </v>
      </c>
      <c r="AY46" s="501"/>
      <c r="AZ46" s="501"/>
      <c r="BA46" s="1156">
        <v>21</v>
      </c>
    </row>
    <row s="1643" customFormat="1" customHeight="1" ht="0">
      <c r="A47" s="1344" t="s">
        <v>255</v>
      </c>
      <c r="B47" s="1344" t="s">
        <v>256</v>
      </c>
      <c r="C47" s="1344" t="s">
        <v>257</v>
      </c>
      <c r="D47" s="1344" t="s">
        <v>258</v>
      </c>
      <c r="E47" s="2260"/>
      <c r="F47" s="2260"/>
      <c r="G47" s="2260"/>
      <c r="H47" s="2260"/>
      <c r="I47" s="2257" t="str">
        <f>S46&amp;".1"</f>
        <v>1.1.1.1.1</v>
      </c>
      <c r="J47" s="1344"/>
      <c r="K47" s="1344"/>
      <c r="L47" s="1347" t="s">
        <v>533</v>
      </c>
      <c r="M47" s="511"/>
      <c r="N47" s="511"/>
      <c r="O47" s="511"/>
      <c r="P47" s="2258">
        <v>1</v>
      </c>
      <c r="Q47" s="1332"/>
      <c r="R47" s="357"/>
      <c r="S47" s="1043"/>
      <c r="T47" s="1384"/>
      <c r="U47" s="1385"/>
      <c r="V47" s="2297"/>
      <c r="W47" s="2298"/>
      <c r="X47" s="2298"/>
      <c r="Y47" s="2298"/>
      <c r="Z47" s="2298"/>
      <c r="AA47" s="2298"/>
      <c r="AB47" s="2298"/>
      <c r="AC47" s="2299"/>
      <c r="AD47" s="2297"/>
      <c r="AE47" s="2298"/>
      <c r="AF47" s="2298"/>
      <c r="AG47" s="2298"/>
      <c r="AH47" s="2298"/>
      <c r="AI47" s="2298"/>
      <c r="AJ47" s="2298"/>
      <c r="AK47" s="2298"/>
      <c r="AL47" s="2297"/>
      <c r="AM47" s="2298"/>
      <c r="AN47" s="2298"/>
      <c r="AO47" s="2298"/>
      <c r="AP47" s="2298"/>
      <c r="AQ47" s="2298"/>
      <c r="AR47" s="2298"/>
      <c r="AS47" s="5309"/>
      <c r="AT47" s="2299"/>
      <c r="AU47" s="1386"/>
      <c r="AW47" s="501"/>
      <c r="AX47" s="501" t="str">
        <f>IF(T47="","",T47)</f>
        <v/>
      </c>
      <c r="AY47" s="501"/>
      <c r="AZ47" s="501"/>
      <c r="BA47" s="512">
        <v>0</v>
      </c>
    </row>
    <row customHeight="1" ht="22.049999999999997">
      <c r="A48" s="1364" t="s">
        <v>255</v>
      </c>
      <c r="B48" s="1364" t="s">
        <v>256</v>
      </c>
      <c r="C48" s="1364" t="s">
        <v>257</v>
      </c>
      <c r="D48" s="1364" t="s">
        <v>258</v>
      </c>
      <c r="E48" s="2260"/>
      <c r="F48" s="2260"/>
      <c r="G48" s="2260"/>
      <c r="H48" s="2260"/>
      <c r="I48" s="2287"/>
      <c r="J48" s="2257" t="str">
        <f>S46&amp;".1"</f>
        <v>1.1.1.1.1</v>
      </c>
      <c r="K48" s="1364"/>
      <c r="L48" s="1365" t="s">
        <v>536</v>
      </c>
      <c r="P48" s="2258"/>
      <c r="Q48" s="2258">
        <v>1</v>
      </c>
      <c r="R48" s="358"/>
      <c r="S48" s="1337" t="str">
        <f>$J48</f>
        <v>1.1.1.1.1</v>
      </c>
      <c r="T48" s="287" t="s">
        <v>537</v>
      </c>
      <c r="U48" s="301"/>
      <c r="V48" s="2246"/>
      <c r="W48" s="2247"/>
      <c r="X48" s="2247"/>
      <c r="Y48" s="2247"/>
      <c r="Z48" s="2247"/>
      <c r="AA48" s="2247"/>
      <c r="AB48" s="2247"/>
      <c r="AC48" s="2248"/>
      <c r="AD48" s="2246" t="s">
        <v>578</v>
      </c>
      <c r="AE48" s="2247"/>
      <c r="AF48" s="2247"/>
      <c r="AG48" s="2247"/>
      <c r="AH48" s="2247"/>
      <c r="AI48" s="2247"/>
      <c r="AJ48" s="2247"/>
      <c r="AK48" s="2247"/>
      <c r="AL48" s="2246"/>
      <c r="AM48" s="2247"/>
      <c r="AN48" s="2247"/>
      <c r="AO48" s="2247"/>
      <c r="AP48" s="2247"/>
      <c r="AQ48" s="2247"/>
      <c r="AR48" s="2247"/>
      <c r="AS48" s="5241"/>
      <c r="AT48" s="2248"/>
      <c r="AU48" s="1259" t="s">
        <v>538</v>
      </c>
      <c r="AW48" s="501"/>
      <c r="AX48" s="501" t="str">
        <f>IF(T48="","",T48)</f>
        <v>Группа потребителей</v>
      </c>
      <c r="AY48" s="501"/>
      <c r="AZ48" s="501"/>
      <c r="BA48" s="1156">
        <v>21</v>
      </c>
    </row>
    <row customHeight="1" ht="22.049999999999997">
      <c r="A49" s="1364" t="s">
        <v>255</v>
      </c>
      <c r="B49" s="1364" t="s">
        <v>256</v>
      </c>
      <c r="C49" s="1364" t="s">
        <v>257</v>
      </c>
      <c r="D49" s="1364" t="s">
        <v>258</v>
      </c>
      <c r="E49" s="2260"/>
      <c r="F49" s="2260"/>
      <c r="G49" s="2260"/>
      <c r="H49" s="2260"/>
      <c r="I49" s="2287"/>
      <c r="J49" s="2287"/>
      <c r="K49" s="2257" t="str">
        <f>J48&amp;".1"</f>
        <v>1.1.1.1.1.1</v>
      </c>
      <c r="L49" s="1365" t="s">
        <v>539</v>
      </c>
      <c r="P49" s="2258"/>
      <c r="Q49" s="2258"/>
      <c r="R49" s="358">
        <v>1</v>
      </c>
      <c r="S49" s="1337" t="str">
        <f>$K49</f>
        <v>1.1.1.1.1.1</v>
      </c>
      <c r="T49" s="1348" t="s">
        <v>577</v>
      </c>
      <c r="U49" s="301"/>
      <c r="V49" s="752"/>
      <c r="W49" s="326"/>
      <c r="X49" s="752"/>
      <c r="Y49" s="1258"/>
      <c r="Z49" s="2266"/>
      <c r="AA49" s="2108" t="s">
        <v>65</v>
      </c>
      <c r="AB49" s="2266"/>
      <c r="AC49" s="2108" t="s">
        <v>65</v>
      </c>
      <c r="AD49" s="752">
        <v>39.33</v>
      </c>
      <c r="AE49" s="326"/>
      <c r="AF49" s="752"/>
      <c r="AG49" s="1258"/>
      <c r="AH49" s="2603">
        <v>46023</v>
      </c>
      <c r="AI49" s="2108" t="s">
        <v>65</v>
      </c>
      <c r="AJ49" s="2288">
        <v>46295</v>
      </c>
      <c r="AK49" s="2108" t="s">
        <v>65</v>
      </c>
      <c r="AL49" s="752">
        <v>52.33</v>
      </c>
      <c r="AM49" s="326"/>
      <c r="AN49" s="752"/>
      <c r="AO49" s="1258"/>
      <c r="AP49" s="2603">
        <v>46296</v>
      </c>
      <c r="AQ49" s="2108" t="s">
        <v>65</v>
      </c>
      <c r="AR49" s="2603">
        <v>46387</v>
      </c>
      <c r="AS49" s="2108" t="s">
        <v>65</v>
      </c>
      <c r="AT49" s="1349"/>
      <c r="AU49" s="2254" t="s">
        <v>581</v>
      </c>
      <c r="AV49" s="512">
        <f>STRCHECKDATE(V50:AT50)</f>
      </c>
      <c r="AW49" s="501"/>
      <c r="AX49" s="501" t="str">
        <f>IF(T49="","",T49)</f>
        <v>вода</v>
      </c>
      <c r="AY49" s="501"/>
      <c r="AZ49" s="501"/>
      <c r="BA49" s="1156">
        <v>21</v>
      </c>
    </row>
    <row customHeight="1" ht="1.05">
      <c r="A50" s="1364" t="s">
        <v>255</v>
      </c>
      <c r="B50" s="1364" t="s">
        <v>256</v>
      </c>
      <c r="C50" s="1364" t="s">
        <v>257</v>
      </c>
      <c r="D50" s="1364" t="s">
        <v>258</v>
      </c>
      <c r="E50" s="2260"/>
      <c r="F50" s="2260"/>
      <c r="G50" s="2260"/>
      <c r="H50" s="2260"/>
      <c r="I50" s="2287"/>
      <c r="J50" s="2287"/>
      <c r="K50" s="2257"/>
      <c r="L50" s="1365"/>
      <c r="P50" s="2258"/>
      <c r="Q50" s="2258"/>
      <c r="R50" s="358"/>
      <c r="S50" s="1343"/>
      <c r="T50" s="301"/>
      <c r="U50" s="301"/>
      <c r="V50" s="326"/>
      <c r="W50" s="326"/>
      <c r="X50" s="326"/>
      <c r="Y50" s="329" t="str">
        <f>Z49&amp;"-"&amp;AB49</f>
        <v>-</v>
      </c>
      <c r="Z50" s="2267"/>
      <c r="AA50" s="2108"/>
      <c r="AB50" s="2267"/>
      <c r="AC50" s="2108"/>
      <c r="AD50" s="326"/>
      <c r="AE50" s="326"/>
      <c r="AF50" s="326"/>
      <c r="AG50" s="329" t="str">
        <f>AH49&amp;"-"&amp;AJ49</f>
        <v>46023-46295</v>
      </c>
      <c r="AH50" s="2267"/>
      <c r="AI50" s="2108"/>
      <c r="AJ50" s="2289"/>
      <c r="AK50" s="2108"/>
      <c r="AL50" s="326"/>
      <c r="AM50" s="326"/>
      <c r="AN50" s="326"/>
      <c r="AO50" s="329" t="str">
        <f>AP49&amp;"-"&amp;AR49</f>
        <v>46296-46387</v>
      </c>
      <c r="AP50" s="2310"/>
      <c r="AQ50" s="2108"/>
      <c r="AR50" s="2310"/>
      <c r="AS50" s="2108"/>
      <c r="AT50" s="1350"/>
      <c r="AU50" s="2255"/>
      <c r="AW50" s="501"/>
      <c r="AX50" s="501" t="str">
        <f>IF(T50="","",T50)</f>
        <v/>
      </c>
      <c r="AY50" s="501"/>
      <c r="AZ50" s="501"/>
      <c r="BA50" s="1156">
        <v>1</v>
      </c>
    </row>
    <row customHeight="1" ht="11.549999999999999">
      <c r="A51" s="1364" t="s">
        <v>255</v>
      </c>
      <c r="B51" s="1364" t="s">
        <v>256</v>
      </c>
      <c r="C51" s="1364" t="s">
        <v>257</v>
      </c>
      <c r="D51" s="1364" t="s">
        <v>258</v>
      </c>
      <c r="E51" s="2260"/>
      <c r="F51" s="2260"/>
      <c r="G51" s="2260"/>
      <c r="H51" s="2260"/>
      <c r="I51" s="2287"/>
      <c r="J51" s="2257"/>
      <c r="K51" s="1364"/>
      <c r="L51" s="1365"/>
      <c r="P51" s="2258"/>
      <c r="Q51" s="2258"/>
      <c r="R51" s="357"/>
      <c r="S51" s="1279"/>
      <c r="T51" s="288" t="s">
        <v>541</v>
      </c>
      <c r="U51" s="368"/>
      <c r="V51" s="368"/>
      <c r="W51" s="368"/>
      <c r="X51" s="368"/>
      <c r="Y51" s="368"/>
      <c r="Z51" s="368"/>
      <c r="AA51" s="368"/>
      <c r="AB51" s="368"/>
      <c r="AC51" s="368"/>
      <c r="AD51" s="368"/>
      <c r="AE51" s="368"/>
      <c r="AF51" s="368"/>
      <c r="AG51" s="368"/>
      <c r="AH51" s="368"/>
      <c r="AI51" s="368"/>
      <c r="AJ51" s="368"/>
      <c r="AK51" s="368"/>
      <c r="AL51" s="4195"/>
      <c r="AM51" s="4196"/>
      <c r="AN51" s="4197"/>
      <c r="AO51" s="4198"/>
      <c r="AP51" s="4199"/>
      <c r="AQ51" s="4200"/>
      <c r="AR51" s="4201"/>
      <c r="AS51" s="5313"/>
      <c r="AT51" s="325"/>
      <c r="AU51" s="2256"/>
      <c r="AW51" s="501"/>
      <c r="AX51" s="501" t="str">
        <f>IF(T51="","",T51)</f>
        <v>Добавить вид теплоносителя (параметры теплоносителя)</v>
      </c>
      <c r="AY51" s="501"/>
      <c r="AZ51" s="501"/>
      <c r="BA51" s="1156">
        <v>11</v>
      </c>
    </row>
    <row customHeight="1" ht="11.549999999999999">
      <c r="A52" s="1364" t="s">
        <v>255</v>
      </c>
      <c r="B52" s="1364" t="s">
        <v>256</v>
      </c>
      <c r="C52" s="1364" t="s">
        <v>257</v>
      </c>
      <c r="D52" s="1364" t="s">
        <v>258</v>
      </c>
      <c r="E52" s="2260"/>
      <c r="F52" s="2260"/>
      <c r="G52" s="2260"/>
      <c r="H52" s="2260"/>
      <c r="I52" s="2257"/>
      <c r="J52" s="1364"/>
      <c r="K52" s="1364"/>
      <c r="L52" s="1365"/>
      <c r="P52" s="2258"/>
      <c r="Q52" s="1332"/>
      <c r="R52" s="357"/>
      <c r="S52" s="1279"/>
      <c r="T52" s="366" t="s">
        <v>542</v>
      </c>
      <c r="U52" s="368"/>
      <c r="V52" s="368"/>
      <c r="W52" s="368"/>
      <c r="X52" s="368"/>
      <c r="Y52" s="368"/>
      <c r="Z52" s="368"/>
      <c r="AA52" s="368"/>
      <c r="AB52" s="368"/>
      <c r="AC52" s="367"/>
      <c r="AD52" s="368"/>
      <c r="AE52" s="368"/>
      <c r="AF52" s="368"/>
      <c r="AG52" s="368"/>
      <c r="AH52" s="368"/>
      <c r="AI52" s="368"/>
      <c r="AJ52" s="368"/>
      <c r="AK52" s="367"/>
      <c r="AL52" s="4203"/>
      <c r="AM52" s="4204"/>
      <c r="AN52" s="4205"/>
      <c r="AO52" s="4206"/>
      <c r="AP52" s="4207"/>
      <c r="AQ52" s="4208"/>
      <c r="AR52" s="4209"/>
      <c r="AS52" s="5314"/>
      <c r="AT52" s="368"/>
      <c r="AU52" s="304"/>
      <c r="AW52" s="501"/>
      <c r="AX52" s="501" t="str">
        <f>IF(T52="","",T52)</f>
        <v>Добавить группу потребителей</v>
      </c>
      <c r="AY52" s="501"/>
      <c r="AZ52" s="501"/>
      <c r="BA52" s="1156">
        <v>11</v>
      </c>
    </row>
    <row customHeight="1" ht="0">
      <c r="A53" s="1364" t="s">
        <v>255</v>
      </c>
      <c r="B53" s="1364" t="s">
        <v>256</v>
      </c>
      <c r="C53" s="1364" t="s">
        <v>257</v>
      </c>
      <c r="D53" s="1364" t="s">
        <v>258</v>
      </c>
      <c r="E53" s="2260"/>
      <c r="F53" s="2260"/>
      <c r="G53" s="2260"/>
      <c r="H53" s="2259"/>
      <c r="I53" s="1364"/>
      <c r="J53" s="1364"/>
      <c r="K53" s="1364"/>
      <c r="L53" s="1365"/>
      <c r="M53" s="1366"/>
      <c r="N53" s="1366"/>
      <c r="O53" s="538"/>
      <c r="P53" s="361"/>
      <c r="Q53" s="376"/>
      <c r="R53" s="356"/>
      <c r="S53" s="1387"/>
      <c r="T53" s="1388"/>
      <c r="U53" s="1389"/>
      <c r="V53" s="1389"/>
      <c r="W53" s="1389"/>
      <c r="X53" s="1389"/>
      <c r="Y53" s="1389"/>
      <c r="Z53" s="1389"/>
      <c r="AA53" s="1389"/>
      <c r="AB53" s="1389"/>
      <c r="AC53" s="1389"/>
      <c r="AD53" s="1389"/>
      <c r="AE53" s="1389"/>
      <c r="AF53" s="1389"/>
      <c r="AG53" s="1389"/>
      <c r="AH53" s="1389"/>
      <c r="AI53" s="1389"/>
      <c r="AJ53" s="1389"/>
      <c r="AK53" s="1389"/>
      <c r="AL53" s="1389"/>
      <c r="AM53" s="1389"/>
      <c r="AN53" s="1389"/>
      <c r="AO53" s="1389"/>
      <c r="AP53" s="1389"/>
      <c r="AQ53" s="1389"/>
      <c r="AR53" s="1389"/>
      <c r="AS53" s="5312"/>
      <c r="AT53" s="1389"/>
      <c r="AU53" s="1390"/>
      <c r="AW53" s="501"/>
      <c r="AX53" s="501" t="str">
        <f>IF(T53="","",T53)</f>
        <v/>
      </c>
      <c r="AY53" s="501"/>
      <c r="AZ53" s="501"/>
      <c r="BA53" s="1156">
        <v>0</v>
      </c>
    </row>
    <row s="1643" customFormat="1" customHeight="1" ht="1.05">
      <c r="A54" s="1344" t="s">
        <v>255</v>
      </c>
      <c r="B54" s="1344" t="s">
        <v>256</v>
      </c>
      <c r="C54" s="1344" t="s">
        <v>257</v>
      </c>
      <c r="D54" s="1315"/>
      <c r="E54" s="2260"/>
      <c r="F54" s="2260"/>
      <c r="G54" s="2259"/>
      <c r="H54" s="1315"/>
      <c r="I54" s="1315"/>
      <c r="J54" s="1315"/>
      <c r="K54" s="1315"/>
      <c r="L54" s="1340"/>
      <c r="M54" s="1316"/>
      <c r="N54" s="1316"/>
      <c r="P54" s="1317"/>
      <c r="Q54" s="1318"/>
      <c r="R54" s="1317"/>
      <c r="S54" s="1323"/>
      <c r="T54" s="1326" t="s">
        <v>177</v>
      </c>
      <c r="U54" s="1325"/>
      <c r="V54" s="1325"/>
      <c r="W54" s="1325"/>
      <c r="X54" s="1325"/>
      <c r="Y54" s="1325"/>
      <c r="Z54" s="1325"/>
      <c r="AA54" s="1325"/>
      <c r="AB54" s="1325"/>
      <c r="AC54" s="1325"/>
      <c r="AD54" s="1325"/>
      <c r="AE54" s="1325"/>
      <c r="AF54" s="1325"/>
      <c r="AG54" s="1325"/>
      <c r="AH54" s="1325"/>
      <c r="AI54" s="1325"/>
      <c r="AJ54" s="1325"/>
      <c r="AK54" s="1325"/>
      <c r="AL54" s="1325"/>
      <c r="AM54" s="1325"/>
      <c r="AN54" s="1325"/>
      <c r="AO54" s="1325"/>
      <c r="AP54" s="1325"/>
      <c r="AQ54" s="1325"/>
      <c r="AR54" s="1325"/>
      <c r="AS54" s="1325"/>
      <c r="AT54" s="1325"/>
      <c r="AU54" s="1325"/>
      <c r="AW54" s="790"/>
      <c r="AX54" s="790" t="str">
        <f>IF(T54="","",T54)</f>
        <v>Добавить источник для дифференциации</v>
      </c>
      <c r="AY54" s="790"/>
      <c r="AZ54" s="790"/>
      <c r="BA54" s="519">
        <v>1</v>
      </c>
    </row>
    <row s="1643" customFormat="1" customHeight="1" ht="1.05">
      <c r="A55" s="1344" t="s">
        <v>255</v>
      </c>
      <c r="B55" s="1344" t="s">
        <v>256</v>
      </c>
      <c r="C55" s="1315"/>
      <c r="D55" s="1315"/>
      <c r="E55" s="2260"/>
      <c r="F55" s="2259"/>
      <c r="G55" s="1315"/>
      <c r="H55" s="1315"/>
      <c r="I55" s="1315"/>
      <c r="J55" s="1315"/>
      <c r="K55" s="1315"/>
      <c r="L55" s="1340"/>
      <c r="M55" s="1322"/>
      <c r="N55" s="1322"/>
      <c r="P55" s="1317"/>
      <c r="Q55" s="1318"/>
      <c r="R55" s="1317"/>
      <c r="S55" s="1323"/>
      <c r="T55" s="1326" t="s">
        <v>178</v>
      </c>
      <c r="U55" s="1325"/>
      <c r="V55" s="1325"/>
      <c r="W55" s="1325"/>
      <c r="X55" s="1325"/>
      <c r="Y55" s="1325"/>
      <c r="Z55" s="1325"/>
      <c r="AA55" s="1325"/>
      <c r="AB55" s="1325"/>
      <c r="AC55" s="1325"/>
      <c r="AD55" s="1325"/>
      <c r="AE55" s="1325"/>
      <c r="AF55" s="1325"/>
      <c r="AG55" s="1325"/>
      <c r="AH55" s="1325"/>
      <c r="AI55" s="1325"/>
      <c r="AJ55" s="1325"/>
      <c r="AK55" s="1325"/>
      <c r="AL55" s="1325"/>
      <c r="AM55" s="1325"/>
      <c r="AN55" s="1325"/>
      <c r="AO55" s="1325"/>
      <c r="AP55" s="1325"/>
      <c r="AQ55" s="1325"/>
      <c r="AR55" s="1325"/>
      <c r="AS55" s="1325"/>
      <c r="AT55" s="1325"/>
      <c r="AU55" s="1325"/>
      <c r="AW55" s="790"/>
      <c r="AX55" s="790" t="str">
        <f>IF(T55="","",T55)</f>
        <v>Добавить централизованную систему для дифференциации</v>
      </c>
      <c r="AY55" s="790"/>
      <c r="AZ55" s="790"/>
      <c r="BA55" s="519">
        <v>1</v>
      </c>
    </row>
    <row s="1851" customFormat="1" customHeight="1" ht="21">
      <c r="A56" s="1364"/>
      <c r="B56" s="1364" t="s">
        <v>259</v>
      </c>
      <c r="C56" s="1364"/>
      <c r="D56" s="1364"/>
      <c r="E56" s="2260"/>
      <c r="F56" s="2259" t="s">
        <v>107</v>
      </c>
      <c r="G56" s="1364"/>
      <c r="H56" s="1364"/>
      <c r="I56" s="1364"/>
      <c r="J56" s="1364"/>
      <c r="K56" s="1364"/>
      <c r="L56" s="1370"/>
      <c r="M56" s="1366"/>
      <c r="N56" s="1366"/>
      <c r="O56" s="1366"/>
      <c r="P56" s="2126"/>
      <c r="Q56" s="353"/>
      <c r="R56" s="354"/>
      <c r="S56" s="2274" t="str">
        <f>INDEX(PT_DIFFERENTIATION_NUM_TER,MATCH(B56,PT_DIFFERENTIATION_TER_ID,0))</f>
        <v>1.2</v>
      </c>
      <c r="T56" s="1523" t="s">
        <v>527</v>
      </c>
      <c r="U56" s="301"/>
      <c r="V56" s="2243"/>
      <c r="W56" s="2244"/>
      <c r="X56" s="2244"/>
      <c r="Y56" s="2244"/>
      <c r="Z56" s="2244"/>
      <c r="AA56" s="2244"/>
      <c r="AB56" s="2244"/>
      <c r="AC56" s="2245"/>
      <c r="AD56" s="2243" t="str">
        <f>INDEX(PT_DIFFERENTIATION_TER,MATCH(B56,PT_DIFFERENTIATION_TER_ID,0))</f>
        <v>Территория 2</v>
      </c>
      <c r="AE56" s="2244"/>
      <c r="AF56" s="2244"/>
      <c r="AG56" s="2244"/>
      <c r="AH56" s="2244"/>
      <c r="AI56" s="2244"/>
      <c r="AJ56" s="2244"/>
      <c r="AK56" s="2244"/>
      <c r="AL56" s="2243"/>
      <c r="AM56" s="2244"/>
      <c r="AN56" s="2244"/>
      <c r="AO56" s="2244"/>
      <c r="AP56" s="2244"/>
      <c r="AQ56" s="2244"/>
      <c r="AR56" s="2244"/>
      <c r="AS56" s="5240"/>
      <c r="AT56" s="2245"/>
      <c r="AU56" s="1259" t="s">
        <v>528</v>
      </c>
      <c r="AV56" s="1643"/>
      <c r="AW56" s="1625"/>
      <c r="AX56" s="1625" t="str">
        <f>IF(T56="","",T56)</f>
        <v>Территория действия тарифа</v>
      </c>
      <c r="AY56" s="1625"/>
      <c r="AZ56" s="1625"/>
      <c r="BA56" s="1636">
        <v>0</v>
      </c>
    </row>
    <row s="1851" customFormat="1" customHeight="1" ht="23.25">
      <c r="A57" s="1364"/>
      <c r="B57" s="1364"/>
      <c r="C57" s="1364" t="s">
        <v>260</v>
      </c>
      <c r="D57" s="1364"/>
      <c r="E57" s="2260"/>
      <c r="F57" s="2260">
        <v>1</v>
      </c>
      <c r="G57" s="2259">
        <v>1</v>
      </c>
      <c r="H57" s="1364"/>
      <c r="I57" s="1364"/>
      <c r="J57" s="1364"/>
      <c r="K57" s="1364"/>
      <c r="L57" s="1370"/>
      <c r="M57" s="1366"/>
      <c r="N57" s="1366"/>
      <c r="O57" s="1366"/>
      <c r="P57" s="355"/>
      <c r="Q57" s="353"/>
      <c r="R57" s="354"/>
      <c r="S57" s="2274" t="str">
        <f>INDEX(PT_DIFFERENTIATION_NUM_CS,MATCH(C57,PT_DIFFERENTIATION_CS_ID,0))</f>
        <v>1.2.1</v>
      </c>
      <c r="T57" s="310" t="s">
        <v>529</v>
      </c>
      <c r="U57" s="301"/>
      <c r="V57" s="2243"/>
      <c r="W57" s="2244"/>
      <c r="X57" s="2244"/>
      <c r="Y57" s="2244"/>
      <c r="Z57" s="2244"/>
      <c r="AA57" s="2244"/>
      <c r="AB57" s="2244"/>
      <c r="AC57" s="2245"/>
      <c r="AD57" s="2243" t="str">
        <f>INDEX(PT_DIFFERENTIATION_CS,MATCH(C57,PT_DIFFERENTIATION_CS_ID,0))</f>
        <v>открытая система теплоснабжения г. Кировск</v>
      </c>
      <c r="AE57" s="2244"/>
      <c r="AF57" s="2244"/>
      <c r="AG57" s="2244"/>
      <c r="AH57" s="2244"/>
      <c r="AI57" s="2244"/>
      <c r="AJ57" s="2244"/>
      <c r="AK57" s="2244"/>
      <c r="AL57" s="2243"/>
      <c r="AM57" s="2244"/>
      <c r="AN57" s="2244"/>
      <c r="AO57" s="2244"/>
      <c r="AP57" s="2244"/>
      <c r="AQ57" s="2244"/>
      <c r="AR57" s="2244"/>
      <c r="AS57" s="5240"/>
      <c r="AT57" s="2245"/>
      <c r="AU57" s="1259" t="s">
        <v>530</v>
      </c>
      <c r="AV57" s="1643"/>
      <c r="AW57" s="1625"/>
      <c r="AX57" s="1625" t="str">
        <f>IF(T57="","",T57)</f>
        <v>Наименование системы теплоснабжения </v>
      </c>
      <c r="AY57" s="1625"/>
      <c r="AZ57" s="1625"/>
      <c r="BA57" s="1636">
        <v>0</v>
      </c>
    </row>
    <row s="1851" customFormat="1" customHeight="1" ht="21">
      <c r="A58" s="1364"/>
      <c r="B58" s="1364"/>
      <c r="C58" s="1364"/>
      <c r="D58" s="1364" t="s">
        <v>261</v>
      </c>
      <c r="E58" s="2260"/>
      <c r="F58" s="2260">
        <v>1</v>
      </c>
      <c r="G58" s="2260"/>
      <c r="H58" s="2259">
        <v>1</v>
      </c>
      <c r="I58" s="1364"/>
      <c r="J58" s="1364"/>
      <c r="K58" s="1364"/>
      <c r="L58" s="1370"/>
      <c r="M58" s="1366"/>
      <c r="N58" s="1366"/>
      <c r="O58" s="1366"/>
      <c r="P58" s="355"/>
      <c r="Q58" s="353"/>
      <c r="R58" s="354"/>
      <c r="S58" s="2274" t="str">
        <f>INDEX(PT_DIFFERENTIATION_NUM_IST_TE,MATCH(D58,PT_DIFFERENTIATION_IST_TE_ID,0))</f>
        <v>1.2.1.1</v>
      </c>
      <c r="T58" s="311" t="s">
        <v>531</v>
      </c>
      <c r="U58" s="301"/>
      <c r="V58" s="2243"/>
      <c r="W58" s="2244"/>
      <c r="X58" s="2244"/>
      <c r="Y58" s="2244"/>
      <c r="Z58" s="2244"/>
      <c r="AA58" s="2244"/>
      <c r="AB58" s="2244"/>
      <c r="AC58" s="2245"/>
      <c r="AD58" s="2243" t="str">
        <f>INDEX(PT_DIFFERENTIATION_IST_TE,MATCH(D58,PT_DIFFERENTIATION_IST_TE_ID,0))</f>
        <v>Апатитская ТЭЦ</v>
      </c>
      <c r="AE58" s="2244"/>
      <c r="AF58" s="2244"/>
      <c r="AG58" s="2244"/>
      <c r="AH58" s="2244"/>
      <c r="AI58" s="2244"/>
      <c r="AJ58" s="2244"/>
      <c r="AK58" s="2244"/>
      <c r="AL58" s="2243"/>
      <c r="AM58" s="2244"/>
      <c r="AN58" s="2244"/>
      <c r="AO58" s="2244"/>
      <c r="AP58" s="2244"/>
      <c r="AQ58" s="2244"/>
      <c r="AR58" s="2244"/>
      <c r="AS58" s="5240"/>
      <c r="AT58" s="2245"/>
      <c r="AU58" s="1259" t="s">
        <v>532</v>
      </c>
      <c r="AV58" s="1643"/>
      <c r="AW58" s="1625"/>
      <c r="AX58" s="1625" t="str">
        <f>IF(T58="","",T58)</f>
        <v>Источник тепловой энергии  </v>
      </c>
      <c r="AY58" s="1625"/>
      <c r="AZ58" s="1625"/>
      <c r="BA58" s="1636">
        <v>0</v>
      </c>
    </row>
    <row s="1851" customFormat="1" customHeight="1" ht="14.25">
      <c r="A59" s="1364"/>
      <c r="B59" s="1364"/>
      <c r="C59" s="1364"/>
      <c r="D59" s="1364"/>
      <c r="E59" s="2260"/>
      <c r="F59" s="2260">
        <v>1</v>
      </c>
      <c r="G59" s="2260"/>
      <c r="H59" s="2260"/>
      <c r="I59" s="2257" t="str">
        <f>S58&amp;".1"</f>
        <v>1.2.1.1.1</v>
      </c>
      <c r="J59" s="1364"/>
      <c r="K59" s="1364"/>
      <c r="L59" s="1370" t="s">
        <v>533</v>
      </c>
      <c r="M59" s="1367"/>
      <c r="N59" s="1777"/>
      <c r="O59" s="1777"/>
      <c r="P59" s="2375">
        <v>1</v>
      </c>
      <c r="Q59" s="2375"/>
      <c r="R59" s="357"/>
      <c r="S59" s="2305"/>
      <c r="T59" s="1384"/>
      <c r="U59" s="1385"/>
      <c r="V59" s="2297"/>
      <c r="W59" s="2298"/>
      <c r="X59" s="2298"/>
      <c r="Y59" s="2298"/>
      <c r="Z59" s="2298"/>
      <c r="AA59" s="2298"/>
      <c r="AB59" s="2298"/>
      <c r="AC59" s="2299"/>
      <c r="AD59" s="2297"/>
      <c r="AE59" s="2298"/>
      <c r="AF59" s="2298"/>
      <c r="AG59" s="2298"/>
      <c r="AH59" s="2298"/>
      <c r="AI59" s="2298"/>
      <c r="AJ59" s="2298"/>
      <c r="AK59" s="2298"/>
      <c r="AL59" s="2297"/>
      <c r="AM59" s="2298"/>
      <c r="AN59" s="2298"/>
      <c r="AO59" s="2298"/>
      <c r="AP59" s="2298"/>
      <c r="AQ59" s="2298"/>
      <c r="AR59" s="2298"/>
      <c r="AS59" s="5309"/>
      <c r="AT59" s="2299"/>
      <c r="AU59" s="1386"/>
      <c r="AV59" s="1643"/>
      <c r="AW59" s="1625"/>
      <c r="AX59" s="1625" t="str">
        <f>IF(T59="","",T59)</f>
        <v/>
      </c>
      <c r="AY59" s="1625"/>
      <c r="AZ59" s="1625"/>
      <c r="BA59" s="1636">
        <v>0</v>
      </c>
    </row>
    <row s="1851" customFormat="1" customHeight="1" ht="21">
      <c r="A60" s="1364"/>
      <c r="B60" s="1364"/>
      <c r="C60" s="1364"/>
      <c r="D60" s="1364"/>
      <c r="E60" s="2260"/>
      <c r="F60" s="2260">
        <v>1</v>
      </c>
      <c r="G60" s="2260"/>
      <c r="H60" s="2260"/>
      <c r="I60" s="2287"/>
      <c r="J60" s="2257" t="str">
        <f>I59&amp;".1"</f>
        <v>1.2.1.1.1.1</v>
      </c>
      <c r="K60" s="1364"/>
      <c r="L60" s="1370" t="s">
        <v>536</v>
      </c>
      <c r="M60" s="1367"/>
      <c r="N60" s="1367"/>
      <c r="O60" s="1777"/>
      <c r="P60" s="2375"/>
      <c r="Q60" s="2375">
        <v>1</v>
      </c>
      <c r="R60" s="358"/>
      <c r="S60" s="2274" t="str">
        <f>$J60</f>
        <v>1.2.1.1.1.1</v>
      </c>
      <c r="T60" s="287" t="s">
        <v>537</v>
      </c>
      <c r="U60" s="301"/>
      <c r="V60" s="2246"/>
      <c r="W60" s="2247"/>
      <c r="X60" s="2247"/>
      <c r="Y60" s="2247"/>
      <c r="Z60" s="2247"/>
      <c r="AA60" s="2247"/>
      <c r="AB60" s="2247"/>
      <c r="AC60" s="2248"/>
      <c r="AD60" s="2246" t="s">
        <v>578</v>
      </c>
      <c r="AE60" s="2247"/>
      <c r="AF60" s="2247"/>
      <c r="AG60" s="2247"/>
      <c r="AH60" s="2247"/>
      <c r="AI60" s="2247"/>
      <c r="AJ60" s="2247"/>
      <c r="AK60" s="2247"/>
      <c r="AL60" s="2246"/>
      <c r="AM60" s="2247"/>
      <c r="AN60" s="2247"/>
      <c r="AO60" s="2247"/>
      <c r="AP60" s="2247"/>
      <c r="AQ60" s="2247"/>
      <c r="AR60" s="2247"/>
      <c r="AS60" s="5241"/>
      <c r="AT60" s="2248"/>
      <c r="AU60" s="1259" t="s">
        <v>538</v>
      </c>
      <c r="AV60" s="1643"/>
      <c r="AW60" s="1625"/>
      <c r="AX60" s="1625" t="str">
        <f>IF(T60="","",T60)</f>
        <v>Группа потребителей</v>
      </c>
      <c r="AY60" s="1625"/>
      <c r="AZ60" s="1625"/>
      <c r="BA60" s="1636">
        <v>0</v>
      </c>
    </row>
    <row s="1851" customFormat="1" customHeight="1" ht="21">
      <c r="A61" s="1364"/>
      <c r="B61" s="1364"/>
      <c r="C61" s="1364"/>
      <c r="D61" s="1364"/>
      <c r="E61" s="2260"/>
      <c r="F61" s="2260">
        <v>1</v>
      </c>
      <c r="G61" s="2260"/>
      <c r="H61" s="2260"/>
      <c r="I61" s="2287"/>
      <c r="J61" s="2287"/>
      <c r="K61" s="2257" t="str">
        <f>J60&amp;".1"</f>
        <v>1.2.1.1.1.1.1</v>
      </c>
      <c r="L61" s="1370" t="s">
        <v>539</v>
      </c>
      <c r="M61" s="1367"/>
      <c r="N61" s="1367"/>
      <c r="O61" s="1367"/>
      <c r="P61" s="2375"/>
      <c r="Q61" s="2375"/>
      <c r="R61" s="358">
        <v>1</v>
      </c>
      <c r="S61" s="2274" t="str">
        <f>$K61</f>
        <v>1.2.1.1.1.1.1</v>
      </c>
      <c r="T61" s="1348" t="s">
        <v>577</v>
      </c>
      <c r="U61" s="301"/>
      <c r="V61" s="752"/>
      <c r="W61" s="326"/>
      <c r="X61" s="752"/>
      <c r="Y61" s="1258"/>
      <c r="Z61" s="2603"/>
      <c r="AA61" s="2108" t="s">
        <v>65</v>
      </c>
      <c r="AB61" s="2603"/>
      <c r="AC61" s="2108" t="s">
        <v>65</v>
      </c>
      <c r="AD61" s="752">
        <v>39.33</v>
      </c>
      <c r="AE61" s="326"/>
      <c r="AF61" s="752"/>
      <c r="AG61" s="1258"/>
      <c r="AH61" s="2603">
        <v>46023</v>
      </c>
      <c r="AI61" s="2108" t="s">
        <v>65</v>
      </c>
      <c r="AJ61" s="2603">
        <v>46295</v>
      </c>
      <c r="AK61" s="2108" t="s">
        <v>65</v>
      </c>
      <c r="AL61" s="752">
        <v>52.33</v>
      </c>
      <c r="AM61" s="326"/>
      <c r="AN61" s="752"/>
      <c r="AO61" s="1258"/>
      <c r="AP61" s="2603">
        <v>46296</v>
      </c>
      <c r="AQ61" s="2108" t="s">
        <v>65</v>
      </c>
      <c r="AR61" s="2603">
        <v>46387</v>
      </c>
      <c r="AS61" s="2108" t="s">
        <v>65</v>
      </c>
      <c r="AT61" s="326"/>
      <c r="AU61" s="2254" t="s">
        <v>540</v>
      </c>
      <c r="AV61" s="1643">
        <f>STRCHECKDATE(V62:AT62)</f>
      </c>
      <c r="AW61" s="1625"/>
      <c r="AX61" s="1625" t="str">
        <f>IF(T61="","",T61)</f>
        <v>вода</v>
      </c>
      <c r="AY61" s="1625"/>
      <c r="AZ61" s="1625"/>
      <c r="BA61" s="1636">
        <v>0</v>
      </c>
    </row>
    <row s="1851" customFormat="1" customHeight="1" ht="0.75">
      <c r="A62" s="1364"/>
      <c r="B62" s="1364"/>
      <c r="C62" s="1364"/>
      <c r="D62" s="1364"/>
      <c r="E62" s="2260"/>
      <c r="F62" s="2260">
        <v>1</v>
      </c>
      <c r="G62" s="2260"/>
      <c r="H62" s="2260"/>
      <c r="I62" s="2287"/>
      <c r="J62" s="2287"/>
      <c r="K62" s="2257"/>
      <c r="L62" s="1370"/>
      <c r="M62" s="1367"/>
      <c r="N62" s="1367"/>
      <c r="O62" s="1367"/>
      <c r="P62" s="2375"/>
      <c r="Q62" s="2375"/>
      <c r="R62" s="358"/>
      <c r="S62" s="2514"/>
      <c r="T62" s="301"/>
      <c r="U62" s="301"/>
      <c r="V62" s="326"/>
      <c r="W62" s="326"/>
      <c r="X62" s="326"/>
      <c r="Y62" s="329" t="str">
        <f>Z61&amp;"-"&amp;AB61</f>
        <v>-</v>
      </c>
      <c r="Z62" s="2310"/>
      <c r="AA62" s="2108"/>
      <c r="AB62" s="2310"/>
      <c r="AC62" s="2108"/>
      <c r="AD62" s="326"/>
      <c r="AE62" s="326"/>
      <c r="AF62" s="326"/>
      <c r="AG62" s="329" t="str">
        <f>AH61&amp;"-"&amp;AJ61</f>
        <v>46023-46295</v>
      </c>
      <c r="AH62" s="2310"/>
      <c r="AI62" s="2108"/>
      <c r="AJ62" s="2310"/>
      <c r="AK62" s="2108"/>
      <c r="AL62" s="326"/>
      <c r="AM62" s="326"/>
      <c r="AN62" s="326"/>
      <c r="AO62" s="329" t="str">
        <f>AP61&amp;"-"&amp;AR61</f>
        <v>46296-46387</v>
      </c>
      <c r="AP62" s="2310"/>
      <c r="AQ62" s="2108"/>
      <c r="AR62" s="2310"/>
      <c r="AS62" s="2108"/>
      <c r="AT62" s="326"/>
      <c r="AU62" s="2255"/>
      <c r="AV62" s="1643"/>
      <c r="AW62" s="1625"/>
      <c r="AX62" s="1625" t="str">
        <f>IF(T62="","",T62)</f>
        <v/>
      </c>
      <c r="AY62" s="1625"/>
      <c r="AZ62" s="1625"/>
      <c r="BA62" s="1636">
        <v>0</v>
      </c>
    </row>
    <row s="1851" customFormat="1" customHeight="1" ht="15">
      <c r="A63" s="1364"/>
      <c r="B63" s="1364"/>
      <c r="C63" s="1364"/>
      <c r="D63" s="1364"/>
      <c r="E63" s="2260"/>
      <c r="F63" s="2260">
        <v>1</v>
      </c>
      <c r="G63" s="2260"/>
      <c r="H63" s="2260"/>
      <c r="I63" s="2287"/>
      <c r="J63" s="2257"/>
      <c r="K63" s="1364"/>
      <c r="L63" s="1370"/>
      <c r="M63" s="1367"/>
      <c r="N63" s="1367"/>
      <c r="O63" s="1777"/>
      <c r="P63" s="2375"/>
      <c r="Q63" s="2375"/>
      <c r="R63" s="357"/>
      <c r="S63" s="4211"/>
      <c r="T63" s="4212" t="s">
        <v>541</v>
      </c>
      <c r="U63" s="4213"/>
      <c r="V63" s="4214"/>
      <c r="W63" s="4215"/>
      <c r="X63" s="4216"/>
      <c r="Y63" s="4217"/>
      <c r="Z63" s="4218"/>
      <c r="AA63" s="4219"/>
      <c r="AB63" s="4220"/>
      <c r="AC63" s="4221"/>
      <c r="AD63" s="4222"/>
      <c r="AE63" s="4223"/>
      <c r="AF63" s="4224"/>
      <c r="AG63" s="4225"/>
      <c r="AH63" s="4226"/>
      <c r="AI63" s="4227"/>
      <c r="AJ63" s="4228"/>
      <c r="AK63" s="4229"/>
      <c r="AL63" s="4230"/>
      <c r="AM63" s="4231"/>
      <c r="AN63" s="4232"/>
      <c r="AO63" s="4233"/>
      <c r="AP63" s="4234"/>
      <c r="AQ63" s="4235"/>
      <c r="AR63" s="4236"/>
      <c r="AS63" s="5315"/>
      <c r="AT63" s="4238"/>
      <c r="AU63" s="2256"/>
      <c r="AV63" s="1643"/>
      <c r="AW63" s="1625"/>
      <c r="AX63" s="1625" t="str">
        <f>IF(T63="","",T63)</f>
        <v>Добавить вид теплоносителя (параметры теплоносителя)</v>
      </c>
      <c r="AY63" s="1625"/>
      <c r="AZ63" s="1625"/>
      <c r="BA63" s="1636">
        <v>0</v>
      </c>
    </row>
    <row s="1851" customFormat="1" customHeight="1" ht="15">
      <c r="A64" s="1364"/>
      <c r="B64" s="1364"/>
      <c r="C64" s="1364"/>
      <c r="D64" s="1364"/>
      <c r="E64" s="2260"/>
      <c r="F64" s="2260">
        <v>1</v>
      </c>
      <c r="G64" s="2260"/>
      <c r="H64" s="2260"/>
      <c r="I64" s="2257"/>
      <c r="J64" s="1364"/>
      <c r="K64" s="1364"/>
      <c r="L64" s="1370"/>
      <c r="M64" s="1367"/>
      <c r="N64" s="1777"/>
      <c r="O64" s="1777"/>
      <c r="P64" s="2375"/>
      <c r="Q64" s="2375"/>
      <c r="R64" s="357"/>
      <c r="S64" s="4239"/>
      <c r="T64" s="4240" t="s">
        <v>542</v>
      </c>
      <c r="U64" s="4241"/>
      <c r="V64" s="4242"/>
      <c r="W64" s="4243"/>
      <c r="X64" s="4244"/>
      <c r="Y64" s="4245"/>
      <c r="Z64" s="4246"/>
      <c r="AA64" s="4247"/>
      <c r="AB64" s="4248"/>
      <c r="AC64" s="4249"/>
      <c r="AD64" s="4250"/>
      <c r="AE64" s="4251"/>
      <c r="AF64" s="4252"/>
      <c r="AG64" s="4253"/>
      <c r="AH64" s="4254"/>
      <c r="AI64" s="4255"/>
      <c r="AJ64" s="4256"/>
      <c r="AK64" s="4257"/>
      <c r="AL64" s="4258"/>
      <c r="AM64" s="4259"/>
      <c r="AN64" s="4260"/>
      <c r="AO64" s="4261"/>
      <c r="AP64" s="4262"/>
      <c r="AQ64" s="4263"/>
      <c r="AR64" s="4264"/>
      <c r="AS64" s="5316"/>
      <c r="AT64" s="4266"/>
      <c r="AU64" s="4267"/>
      <c r="AV64" s="1643"/>
      <c r="AW64" s="1625"/>
      <c r="AX64" s="1625" t="str">
        <f>IF(T64="","",T64)</f>
        <v>Добавить группу потребителей</v>
      </c>
      <c r="AY64" s="1625"/>
      <c r="AZ64" s="1625"/>
      <c r="BA64" s="1636">
        <v>0</v>
      </c>
    </row>
    <row s="1851" customFormat="1" customHeight="1" ht="14.25">
      <c r="A65" s="1364"/>
      <c r="B65" s="1364"/>
      <c r="C65" s="1364"/>
      <c r="D65" s="1364"/>
      <c r="E65" s="2260"/>
      <c r="F65" s="2260">
        <v>1</v>
      </c>
      <c r="G65" s="2260"/>
      <c r="H65" s="2259"/>
      <c r="I65" s="1364"/>
      <c r="J65" s="1364"/>
      <c r="K65" s="1364"/>
      <c r="L65" s="1370"/>
      <c r="M65" s="1366"/>
      <c r="N65" s="1366"/>
      <c r="O65" s="1367"/>
      <c r="P65" s="1824"/>
      <c r="Q65" s="376"/>
      <c r="R65" s="356"/>
      <c r="S65" s="1387"/>
      <c r="T65" s="1388"/>
      <c r="U65" s="1389"/>
      <c r="V65" s="1389"/>
      <c r="W65" s="1389"/>
      <c r="X65" s="1389"/>
      <c r="Y65" s="1389"/>
      <c r="Z65" s="1389"/>
      <c r="AA65" s="1389"/>
      <c r="AB65" s="1389"/>
      <c r="AC65" s="1389"/>
      <c r="AD65" s="1389"/>
      <c r="AE65" s="1389"/>
      <c r="AF65" s="1389"/>
      <c r="AG65" s="1389"/>
      <c r="AH65" s="1389"/>
      <c r="AI65" s="1389"/>
      <c r="AJ65" s="1389"/>
      <c r="AK65" s="1389"/>
      <c r="AL65" s="1389"/>
      <c r="AM65" s="1389"/>
      <c r="AN65" s="1389"/>
      <c r="AO65" s="1389"/>
      <c r="AP65" s="1389"/>
      <c r="AQ65" s="1389"/>
      <c r="AR65" s="1389"/>
      <c r="AS65" s="1389"/>
      <c r="AT65" s="1389"/>
      <c r="AU65" s="1390"/>
      <c r="AV65" s="1643"/>
      <c r="AW65" s="1625"/>
      <c r="AX65" s="1625" t="str">
        <f>IF(T65="","",T65)</f>
        <v/>
      </c>
      <c r="AY65" s="1625"/>
      <c r="AZ65" s="1625"/>
      <c r="BA65" s="1636">
        <v>0</v>
      </c>
    </row>
    <row s="623" customFormat="1" customHeight="1" ht="0.75">
      <c r="A66" s="1344"/>
      <c r="B66" s="1344"/>
      <c r="C66" s="1344"/>
      <c r="D66" s="1344"/>
      <c r="E66" s="2260"/>
      <c r="F66" s="2260">
        <v>1</v>
      </c>
      <c r="G66" s="2259"/>
      <c r="H66" s="1344"/>
      <c r="I66" s="1344"/>
      <c r="J66" s="1344"/>
      <c r="K66" s="1344"/>
      <c r="L66" s="1546"/>
      <c r="M66" s="1316"/>
      <c r="N66" s="1316"/>
      <c r="O66" s="1643"/>
      <c r="P66" s="1317"/>
      <c r="Q66" s="1345"/>
      <c r="R66" s="1317"/>
      <c r="S66" s="1319"/>
      <c r="T66" s="1320" t="s">
        <v>177</v>
      </c>
      <c r="U66" s="1321"/>
      <c r="V66" s="1321"/>
      <c r="W66" s="1321"/>
      <c r="X66" s="1321"/>
      <c r="Y66" s="1321"/>
      <c r="Z66" s="1321"/>
      <c r="AA66" s="1321"/>
      <c r="AB66" s="1321"/>
      <c r="AC66" s="1321"/>
      <c r="AD66" s="1321"/>
      <c r="AE66" s="1321"/>
      <c r="AF66" s="1321"/>
      <c r="AG66" s="1321"/>
      <c r="AH66" s="1321"/>
      <c r="AI66" s="1321"/>
      <c r="AJ66" s="1321"/>
      <c r="AK66" s="1321"/>
      <c r="AL66" s="1321"/>
      <c r="AM66" s="1321"/>
      <c r="AN66" s="1321"/>
      <c r="AO66" s="1321"/>
      <c r="AP66" s="1321"/>
      <c r="AQ66" s="1321"/>
      <c r="AR66" s="1321"/>
      <c r="AS66" s="1321"/>
      <c r="AT66" s="1321"/>
      <c r="AU66" s="1321"/>
      <c r="AV66" s="1643"/>
      <c r="AW66" s="1625"/>
      <c r="AX66" s="1625" t="str">
        <f>IF(T66="","",T66)</f>
        <v>Добавить источник для дифференциации</v>
      </c>
      <c r="AY66" s="1625"/>
      <c r="AZ66" s="1625"/>
      <c r="BA66" s="1643">
        <v>0</v>
      </c>
    </row>
    <row s="623" customFormat="1" customHeight="1" ht="0.75">
      <c r="A67" s="1344"/>
      <c r="B67" s="1344"/>
      <c r="C67" s="1344"/>
      <c r="D67" s="1344"/>
      <c r="E67" s="2260"/>
      <c r="F67" s="2259">
        <v>1</v>
      </c>
      <c r="G67" s="1344"/>
      <c r="H67" s="1344"/>
      <c r="I67" s="1344"/>
      <c r="J67" s="1344"/>
      <c r="K67" s="1344"/>
      <c r="L67" s="1546"/>
      <c r="M67" s="1322"/>
      <c r="N67" s="1322"/>
      <c r="O67" s="1643"/>
      <c r="P67" s="1317"/>
      <c r="Q67" s="1345"/>
      <c r="R67" s="1317"/>
      <c r="S67" s="1323"/>
      <c r="T67" s="1324" t="s">
        <v>178</v>
      </c>
      <c r="U67" s="1325"/>
      <c r="V67" s="1325"/>
      <c r="W67" s="1325"/>
      <c r="X67" s="1325"/>
      <c r="Y67" s="1325"/>
      <c r="Z67" s="1325"/>
      <c r="AA67" s="1325"/>
      <c r="AB67" s="1325"/>
      <c r="AC67" s="1325"/>
      <c r="AD67" s="1325"/>
      <c r="AE67" s="1325"/>
      <c r="AF67" s="1325"/>
      <c r="AG67" s="1325"/>
      <c r="AH67" s="1325"/>
      <c r="AI67" s="1325"/>
      <c r="AJ67" s="1325"/>
      <c r="AK67" s="1325"/>
      <c r="AL67" s="1325"/>
      <c r="AM67" s="1325"/>
      <c r="AN67" s="1325"/>
      <c r="AO67" s="1325"/>
      <c r="AP67" s="1325"/>
      <c r="AQ67" s="1325"/>
      <c r="AR67" s="1325"/>
      <c r="AS67" s="1325"/>
      <c r="AT67" s="1325"/>
      <c r="AU67" s="1325"/>
      <c r="AV67" s="1643"/>
      <c r="AW67" s="1625"/>
      <c r="AX67" s="1625" t="str">
        <f>IF(T67="","",T67)</f>
        <v>Добавить централизованную систему для дифференциации</v>
      </c>
      <c r="AY67" s="1625"/>
      <c r="AZ67" s="1625"/>
      <c r="BA67" s="1643">
        <v>0</v>
      </c>
    </row>
    <row s="1643" customFormat="1" customHeight="1" ht="1.05">
      <c r="A68" s="1344" t="s">
        <v>255</v>
      </c>
      <c r="B68" s="1344"/>
      <c r="C68" s="1344"/>
      <c r="D68" s="1344"/>
      <c r="E68" s="2259"/>
      <c r="F68" s="1344"/>
      <c r="G68" s="1344"/>
      <c r="H68" s="1344"/>
      <c r="I68" s="1344"/>
      <c r="J68" s="1344"/>
      <c r="K68" s="1344"/>
      <c r="L68" s="1347"/>
      <c r="M68" s="1322"/>
      <c r="N68" s="1322"/>
      <c r="O68" s="519"/>
      <c r="P68" s="381"/>
      <c r="Q68" s="1345"/>
      <c r="R68" s="381"/>
      <c r="S68" s="1323"/>
      <c r="T68" s="1326" t="s">
        <v>183</v>
      </c>
      <c r="U68" s="1325"/>
      <c r="V68" s="1325"/>
      <c r="W68" s="1325"/>
      <c r="X68" s="1325"/>
      <c r="Y68" s="1325"/>
      <c r="Z68" s="1325"/>
      <c r="AA68" s="1325"/>
      <c r="AB68" s="1325"/>
      <c r="AC68" s="1325"/>
      <c r="AD68" s="1325"/>
      <c r="AE68" s="1325"/>
      <c r="AF68" s="1325"/>
      <c r="AG68" s="1325"/>
      <c r="AH68" s="1325"/>
      <c r="AI68" s="1325"/>
      <c r="AJ68" s="1325"/>
      <c r="AK68" s="1325"/>
      <c r="AL68" s="1325"/>
      <c r="AM68" s="1325"/>
      <c r="AN68" s="1325"/>
      <c r="AO68" s="1325"/>
      <c r="AP68" s="1325"/>
      <c r="AQ68" s="1325"/>
      <c r="AR68" s="1325"/>
      <c r="AS68" s="1325"/>
      <c r="AT68" s="1325"/>
      <c r="AU68" s="1325"/>
      <c r="AW68" s="501"/>
      <c r="AX68" s="501" t="str">
        <f>IF(T68="","",T68)</f>
        <v>Добавить территорию для дифференциации</v>
      </c>
      <c r="AY68" s="501"/>
      <c r="AZ68" s="501"/>
      <c r="BA68" s="512">
        <v>1</v>
      </c>
    </row>
    <row s="1851" customFormat="1" customHeight="1" ht="21">
      <c r="A69" s="1364" t="s">
        <v>263</v>
      </c>
      <c r="B69" s="1364"/>
      <c r="C69" s="1364"/>
      <c r="D69" s="1364"/>
      <c r="E69" s="2259" t="s">
        <v>107</v>
      </c>
      <c r="F69" s="1364"/>
      <c r="G69" s="1364"/>
      <c r="H69" s="1364"/>
      <c r="I69" s="1364"/>
      <c r="J69" s="1364"/>
      <c r="K69" s="1364"/>
      <c r="L69" s="1370"/>
      <c r="M69" s="1366"/>
      <c r="N69" s="1366"/>
      <c r="O69" s="1366"/>
      <c r="P69" s="2398"/>
      <c r="Q69" s="1824"/>
      <c r="R69" s="356"/>
      <c r="S69" s="2274" t="str">
        <f>INDEX(PT_DIFFERENTIATION_NUM_NTAR,MATCH(A69,PT_DIFFERENTIATION_NTAR_ID,0))</f>
        <v>2</v>
      </c>
      <c r="T69" s="1526" t="s">
        <v>136</v>
      </c>
      <c r="U69" s="301"/>
      <c r="V69" s="2243"/>
      <c r="W69" s="2244"/>
      <c r="X69" s="2244"/>
      <c r="Y69" s="2244"/>
      <c r="Z69" s="2244"/>
      <c r="AA69" s="2244"/>
      <c r="AB69" s="2244"/>
      <c r="AC69" s="2245"/>
      <c r="AD69" s="2243" t="str">
        <f>INDEX(PT_DIFFERENTIATION_NTAR,MATCH(A69,PT_DIFFERENTIATION_NTAR_ID,0))</f>
        <v>Тарифы на теплоноситель, поставляемый потребителям. Муниципальный округ город Апатиты с подведомственной территорией Мурманской области, муниципальный округ город Кировск с подведомственной территорией Мурманской области</v>
      </c>
      <c r="AE69" s="2244"/>
      <c r="AF69" s="2244"/>
      <c r="AG69" s="2244"/>
      <c r="AH69" s="2244"/>
      <c r="AI69" s="2244"/>
      <c r="AJ69" s="2244"/>
      <c r="AK69" s="2244"/>
      <c r="AL69" s="2243"/>
      <c r="AM69" s="2244"/>
      <c r="AN69" s="2244"/>
      <c r="AO69" s="2244"/>
      <c r="AP69" s="2244"/>
      <c r="AQ69" s="2244"/>
      <c r="AR69" s="2244"/>
      <c r="AS69" s="5240"/>
      <c r="AT69" s="2245"/>
      <c r="AU69" s="1259" t="s">
        <v>526</v>
      </c>
      <c r="AV69" s="1643"/>
      <c r="AW69" s="1625"/>
      <c r="AX69" s="1625" t="str">
        <f>IF(T69="","",T69)</f>
        <v>Наименование тарифа</v>
      </c>
      <c r="AY69" s="1625"/>
      <c r="AZ69" s="1625"/>
      <c r="BA69" s="1636">
        <v>0</v>
      </c>
    </row>
    <row s="1851" customFormat="1" customHeight="1" ht="21">
      <c r="A70" s="1364"/>
      <c r="B70" s="1364" t="s">
        <v>264</v>
      </c>
      <c r="C70" s="1364"/>
      <c r="D70" s="1364"/>
      <c r="E70" s="2260">
        <v>1</v>
      </c>
      <c r="F70" s="2259">
        <v>1</v>
      </c>
      <c r="G70" s="1364"/>
      <c r="H70" s="1364"/>
      <c r="I70" s="1364"/>
      <c r="J70" s="1364"/>
      <c r="K70" s="1364"/>
      <c r="L70" s="1370"/>
      <c r="M70" s="1366"/>
      <c r="N70" s="1366"/>
      <c r="O70" s="1366"/>
      <c r="P70" s="2126"/>
      <c r="Q70" s="353"/>
      <c r="R70" s="354"/>
      <c r="S70" s="2274" t="str">
        <f>INDEX(PT_DIFFERENTIATION_NUM_TER,MATCH(B70,PT_DIFFERENTIATION_TER_ID,0))</f>
        <v>2.1</v>
      </c>
      <c r="T70" s="1523" t="s">
        <v>527</v>
      </c>
      <c r="U70" s="301"/>
      <c r="V70" s="2243"/>
      <c r="W70" s="2244"/>
      <c r="X70" s="2244"/>
      <c r="Y70" s="2244"/>
      <c r="Z70" s="2244"/>
      <c r="AA70" s="2244"/>
      <c r="AB70" s="2244"/>
      <c r="AC70" s="2245"/>
      <c r="AD70" s="2243" t="str">
        <f>INDEX(PT_DIFFERENTIATION_TER,MATCH(B70,PT_DIFFERENTIATION_TER_ID,0))</f>
        <v>Территория 1</v>
      </c>
      <c r="AE70" s="2244"/>
      <c r="AF70" s="2244"/>
      <c r="AG70" s="2244"/>
      <c r="AH70" s="2244"/>
      <c r="AI70" s="2244"/>
      <c r="AJ70" s="2244"/>
      <c r="AK70" s="2244"/>
      <c r="AL70" s="2243"/>
      <c r="AM70" s="2244"/>
      <c r="AN70" s="2244"/>
      <c r="AO70" s="2244"/>
      <c r="AP70" s="2244"/>
      <c r="AQ70" s="2244"/>
      <c r="AR70" s="2244"/>
      <c r="AS70" s="5240"/>
      <c r="AT70" s="2245"/>
      <c r="AU70" s="1259" t="s">
        <v>528</v>
      </c>
      <c r="AV70" s="1643"/>
      <c r="AW70" s="1625"/>
      <c r="AX70" s="1625" t="str">
        <f>IF(T70="","",T70)</f>
        <v>Территория действия тарифа</v>
      </c>
      <c r="AY70" s="1625"/>
      <c r="AZ70" s="1625"/>
      <c r="BA70" s="1636">
        <v>0</v>
      </c>
    </row>
    <row s="1851" customFormat="1" customHeight="1" ht="23.25">
      <c r="A71" s="1364"/>
      <c r="B71" s="1364"/>
      <c r="C71" s="1364" t="s">
        <v>265</v>
      </c>
      <c r="D71" s="1364"/>
      <c r="E71" s="2260">
        <v>1</v>
      </c>
      <c r="F71" s="2260"/>
      <c r="G71" s="2259">
        <v>1</v>
      </c>
      <c r="H71" s="1364"/>
      <c r="I71" s="1364"/>
      <c r="J71" s="1364"/>
      <c r="K71" s="1364"/>
      <c r="L71" s="1370"/>
      <c r="M71" s="1366"/>
      <c r="N71" s="1366"/>
      <c r="O71" s="1366"/>
      <c r="P71" s="355"/>
      <c r="Q71" s="353"/>
      <c r="R71" s="354"/>
      <c r="S71" s="2274" t="str">
        <f>INDEX(PT_DIFFERENTIATION_NUM_CS,MATCH(C71,PT_DIFFERENTIATION_CS_ID,0))</f>
        <v>2.1.1</v>
      </c>
      <c r="T71" s="310" t="s">
        <v>529</v>
      </c>
      <c r="U71" s="301"/>
      <c r="V71" s="2243"/>
      <c r="W71" s="2244"/>
      <c r="X71" s="2244"/>
      <c r="Y71" s="2244"/>
      <c r="Z71" s="2244"/>
      <c r="AA71" s="2244"/>
      <c r="AB71" s="2244"/>
      <c r="AC71" s="2245"/>
      <c r="AD71" s="2243" t="str">
        <f>INDEX(PT_DIFFERENTIATION_CS,MATCH(C71,PT_DIFFERENTIATION_CS_ID,0))</f>
        <v>открытая система теплоснабжения г. Апатиты</v>
      </c>
      <c r="AE71" s="2244"/>
      <c r="AF71" s="2244"/>
      <c r="AG71" s="2244"/>
      <c r="AH71" s="2244"/>
      <c r="AI71" s="2244"/>
      <c r="AJ71" s="2244"/>
      <c r="AK71" s="2244"/>
      <c r="AL71" s="2243"/>
      <c r="AM71" s="2244"/>
      <c r="AN71" s="2244"/>
      <c r="AO71" s="2244"/>
      <c r="AP71" s="2244"/>
      <c r="AQ71" s="2244"/>
      <c r="AR71" s="2244"/>
      <c r="AS71" s="5240"/>
      <c r="AT71" s="2245"/>
      <c r="AU71" s="1259" t="s">
        <v>530</v>
      </c>
      <c r="AV71" s="1643"/>
      <c r="AW71" s="1625"/>
      <c r="AX71" s="1625" t="str">
        <f>IF(T71="","",T71)</f>
        <v>Наименование системы теплоснабжения </v>
      </c>
      <c r="AY71" s="1625"/>
      <c r="AZ71" s="1625"/>
      <c r="BA71" s="1636">
        <v>0</v>
      </c>
    </row>
    <row s="1851" customFormat="1" customHeight="1" ht="21">
      <c r="A72" s="1364"/>
      <c r="B72" s="1364"/>
      <c r="C72" s="1364"/>
      <c r="D72" s="1364" t="s">
        <v>266</v>
      </c>
      <c r="E72" s="2260">
        <v>1</v>
      </c>
      <c r="F72" s="2260"/>
      <c r="G72" s="2260"/>
      <c r="H72" s="2259">
        <v>1</v>
      </c>
      <c r="I72" s="1364"/>
      <c r="J72" s="1364"/>
      <c r="K72" s="1364"/>
      <c r="L72" s="1370"/>
      <c r="M72" s="1366"/>
      <c r="N72" s="1366"/>
      <c r="O72" s="1366"/>
      <c r="P72" s="355"/>
      <c r="Q72" s="353"/>
      <c r="R72" s="354"/>
      <c r="S72" s="2274" t="str">
        <f>INDEX(PT_DIFFERENTIATION_NUM_IST_TE,MATCH(D72,PT_DIFFERENTIATION_IST_TE_ID,0))</f>
        <v>2.1.1.1</v>
      </c>
      <c r="T72" s="311" t="s">
        <v>531</v>
      </c>
      <c r="U72" s="301"/>
      <c r="V72" s="2243"/>
      <c r="W72" s="2244"/>
      <c r="X72" s="2244"/>
      <c r="Y72" s="2244"/>
      <c r="Z72" s="2244"/>
      <c r="AA72" s="2244"/>
      <c r="AB72" s="2244"/>
      <c r="AC72" s="2245"/>
      <c r="AD72" s="2243" t="str">
        <f>INDEX(PT_DIFFERENTIATION_IST_TE,MATCH(D72,PT_DIFFERENTIATION_IST_TE_ID,0))</f>
        <v>Апатитская ТЭЦ</v>
      </c>
      <c r="AE72" s="2244"/>
      <c r="AF72" s="2244"/>
      <c r="AG72" s="2244"/>
      <c r="AH72" s="2244"/>
      <c r="AI72" s="2244"/>
      <c r="AJ72" s="2244"/>
      <c r="AK72" s="2244"/>
      <c r="AL72" s="2243"/>
      <c r="AM72" s="2244"/>
      <c r="AN72" s="2244"/>
      <c r="AO72" s="2244"/>
      <c r="AP72" s="2244"/>
      <c r="AQ72" s="2244"/>
      <c r="AR72" s="2244"/>
      <c r="AS72" s="5240"/>
      <c r="AT72" s="2245"/>
      <c r="AU72" s="1259" t="s">
        <v>532</v>
      </c>
      <c r="AV72" s="1643"/>
      <c r="AW72" s="1625"/>
      <c r="AX72" s="1625" t="str">
        <f>IF(T72="","",T72)</f>
        <v>Источник тепловой энергии  </v>
      </c>
      <c r="AY72" s="1625"/>
      <c r="AZ72" s="1625"/>
      <c r="BA72" s="1636">
        <v>0</v>
      </c>
    </row>
    <row s="1851" customFormat="1" customHeight="1" ht="14.25">
      <c r="A73" s="1364"/>
      <c r="B73" s="1364"/>
      <c r="C73" s="1364"/>
      <c r="D73" s="1364"/>
      <c r="E73" s="2260">
        <v>1</v>
      </c>
      <c r="F73" s="2260"/>
      <c r="G73" s="2260"/>
      <c r="H73" s="2260"/>
      <c r="I73" s="2257" t="str">
        <f>S72&amp;".1"</f>
        <v>2.1.1.1.1</v>
      </c>
      <c r="J73" s="1364"/>
      <c r="K73" s="1364"/>
      <c r="L73" s="1370" t="s">
        <v>533</v>
      </c>
      <c r="M73" s="1367"/>
      <c r="N73" s="1777"/>
      <c r="O73" s="1777"/>
      <c r="P73" s="2375">
        <v>1</v>
      </c>
      <c r="Q73" s="2375"/>
      <c r="R73" s="357"/>
      <c r="S73" s="2305"/>
      <c r="T73" s="1384"/>
      <c r="U73" s="1385"/>
      <c r="V73" s="2297"/>
      <c r="W73" s="2298"/>
      <c r="X73" s="2298"/>
      <c r="Y73" s="2298"/>
      <c r="Z73" s="2298"/>
      <c r="AA73" s="2298"/>
      <c r="AB73" s="2298"/>
      <c r="AC73" s="2299"/>
      <c r="AD73" s="2297"/>
      <c r="AE73" s="2298"/>
      <c r="AF73" s="2298"/>
      <c r="AG73" s="2298"/>
      <c r="AH73" s="2298"/>
      <c r="AI73" s="2298"/>
      <c r="AJ73" s="2298"/>
      <c r="AK73" s="2298"/>
      <c r="AL73" s="2297"/>
      <c r="AM73" s="2298"/>
      <c r="AN73" s="2298"/>
      <c r="AO73" s="2298"/>
      <c r="AP73" s="2298"/>
      <c r="AQ73" s="2298"/>
      <c r="AR73" s="2298"/>
      <c r="AS73" s="5309"/>
      <c r="AT73" s="2299"/>
      <c r="AU73" s="1386"/>
      <c r="AV73" s="1643"/>
      <c r="AW73" s="1625"/>
      <c r="AX73" s="1625" t="str">
        <f>IF(T73="","",T73)</f>
        <v/>
      </c>
      <c r="AY73" s="1625"/>
      <c r="AZ73" s="1625"/>
      <c r="BA73" s="1636">
        <v>0</v>
      </c>
    </row>
    <row s="1851" customFormat="1" customHeight="1" ht="21">
      <c r="A74" s="1364"/>
      <c r="B74" s="1364"/>
      <c r="C74" s="1364"/>
      <c r="D74" s="1364"/>
      <c r="E74" s="2260">
        <v>1</v>
      </c>
      <c r="F74" s="2260"/>
      <c r="G74" s="2260"/>
      <c r="H74" s="2260"/>
      <c r="I74" s="2287"/>
      <c r="J74" s="2257" t="str">
        <f>I73&amp;".1"</f>
        <v>2.1.1.1.1.1</v>
      </c>
      <c r="K74" s="1364"/>
      <c r="L74" s="1370" t="s">
        <v>536</v>
      </c>
      <c r="M74" s="1367"/>
      <c r="N74" s="1367"/>
      <c r="O74" s="1777"/>
      <c r="P74" s="2375"/>
      <c r="Q74" s="2375">
        <v>1</v>
      </c>
      <c r="R74" s="358"/>
      <c r="S74" s="2274" t="str">
        <f>$J74</f>
        <v>2.1.1.1.1.1</v>
      </c>
      <c r="T74" s="287" t="s">
        <v>537</v>
      </c>
      <c r="U74" s="301"/>
      <c r="V74" s="2246"/>
      <c r="W74" s="2247"/>
      <c r="X74" s="2247"/>
      <c r="Y74" s="2247"/>
      <c r="Z74" s="2247"/>
      <c r="AA74" s="2247"/>
      <c r="AB74" s="2247"/>
      <c r="AC74" s="2248"/>
      <c r="AD74" s="2246" t="s">
        <v>576</v>
      </c>
      <c r="AE74" s="2247"/>
      <c r="AF74" s="2247"/>
      <c r="AG74" s="2247"/>
      <c r="AH74" s="2247"/>
      <c r="AI74" s="2247"/>
      <c r="AJ74" s="2247"/>
      <c r="AK74" s="2247"/>
      <c r="AL74" s="2246"/>
      <c r="AM74" s="2247"/>
      <c r="AN74" s="2247"/>
      <c r="AO74" s="2247"/>
      <c r="AP74" s="2247"/>
      <c r="AQ74" s="2247"/>
      <c r="AR74" s="2247"/>
      <c r="AS74" s="5241"/>
      <c r="AT74" s="2248"/>
      <c r="AU74" s="1259" t="s">
        <v>538</v>
      </c>
      <c r="AV74" s="1643"/>
      <c r="AW74" s="1625"/>
      <c r="AX74" s="1625" t="str">
        <f>IF(T74="","",T74)</f>
        <v>Группа потребителей</v>
      </c>
      <c r="AY74" s="1625"/>
      <c r="AZ74" s="1625"/>
      <c r="BA74" s="1636">
        <v>0</v>
      </c>
    </row>
    <row s="1851" customFormat="1" customHeight="1" ht="21">
      <c r="A75" s="1364"/>
      <c r="B75" s="1364"/>
      <c r="C75" s="1364"/>
      <c r="D75" s="1364"/>
      <c r="E75" s="2260">
        <v>1</v>
      </c>
      <c r="F75" s="2260"/>
      <c r="G75" s="2260"/>
      <c r="H75" s="2260"/>
      <c r="I75" s="2287"/>
      <c r="J75" s="2287"/>
      <c r="K75" s="2257" t="str">
        <f>J74&amp;".1"</f>
        <v>2.1.1.1.1.1.1</v>
      </c>
      <c r="L75" s="1370" t="s">
        <v>539</v>
      </c>
      <c r="M75" s="1367"/>
      <c r="N75" s="1367"/>
      <c r="O75" s="1367"/>
      <c r="P75" s="2375"/>
      <c r="Q75" s="2375"/>
      <c r="R75" s="358">
        <v>1</v>
      </c>
      <c r="S75" s="2274" t="str">
        <f>$K75</f>
        <v>2.1.1.1.1.1.1</v>
      </c>
      <c r="T75" s="1348" t="s">
        <v>577</v>
      </c>
      <c r="U75" s="301"/>
      <c r="V75" s="752"/>
      <c r="W75" s="326"/>
      <c r="X75" s="752"/>
      <c r="Y75" s="1258"/>
      <c r="Z75" s="2603"/>
      <c r="AA75" s="2108" t="s">
        <v>65</v>
      </c>
      <c r="AB75" s="2603"/>
      <c r="AC75" s="2108" t="s">
        <v>65</v>
      </c>
      <c r="AD75" s="752">
        <v>53.82</v>
      </c>
      <c r="AE75" s="326"/>
      <c r="AF75" s="752"/>
      <c r="AG75" s="1258"/>
      <c r="AH75" s="2603">
        <v>46023</v>
      </c>
      <c r="AI75" s="2108" t="s">
        <v>65</v>
      </c>
      <c r="AJ75" s="2603">
        <v>46295</v>
      </c>
      <c r="AK75" s="2108" t="s">
        <v>65</v>
      </c>
      <c r="AL75" s="752">
        <v>53.82</v>
      </c>
      <c r="AM75" s="326"/>
      <c r="AN75" s="752"/>
      <c r="AO75" s="1258"/>
      <c r="AP75" s="2603">
        <v>46296</v>
      </c>
      <c r="AQ75" s="2108" t="s">
        <v>65</v>
      </c>
      <c r="AR75" s="2603">
        <v>46387</v>
      </c>
      <c r="AS75" s="2108" t="s">
        <v>65</v>
      </c>
      <c r="AT75" s="326"/>
      <c r="AU75" s="2254" t="s">
        <v>540</v>
      </c>
      <c r="AV75" s="1643">
        <f>STRCHECKDATE(V76:AT76)</f>
      </c>
      <c r="AW75" s="1625"/>
      <c r="AX75" s="1625" t="str">
        <f>IF(T75="","",T75)</f>
        <v>вода</v>
      </c>
      <c r="AY75" s="1625"/>
      <c r="AZ75" s="1625"/>
      <c r="BA75" s="1636">
        <v>0</v>
      </c>
    </row>
    <row s="1851" customFormat="1" customHeight="1" ht="0.75">
      <c r="A76" s="1364"/>
      <c r="B76" s="1364"/>
      <c r="C76" s="1364"/>
      <c r="D76" s="1364"/>
      <c r="E76" s="2260">
        <v>1</v>
      </c>
      <c r="F76" s="2260"/>
      <c r="G76" s="2260"/>
      <c r="H76" s="2260"/>
      <c r="I76" s="2287"/>
      <c r="J76" s="2287"/>
      <c r="K76" s="2257"/>
      <c r="L76" s="1370"/>
      <c r="M76" s="1367"/>
      <c r="N76" s="1367"/>
      <c r="O76" s="1367"/>
      <c r="P76" s="2375"/>
      <c r="Q76" s="2375"/>
      <c r="R76" s="358"/>
      <c r="S76" s="2514"/>
      <c r="T76" s="301"/>
      <c r="U76" s="301"/>
      <c r="V76" s="326"/>
      <c r="W76" s="326"/>
      <c r="X76" s="326"/>
      <c r="Y76" s="329" t="str">
        <f>Z75&amp;"-"&amp;AB75</f>
        <v>-</v>
      </c>
      <c r="Z76" s="2310"/>
      <c r="AA76" s="2108"/>
      <c r="AB76" s="2310"/>
      <c r="AC76" s="2108"/>
      <c r="AD76" s="326"/>
      <c r="AE76" s="326"/>
      <c r="AF76" s="326"/>
      <c r="AG76" s="329" t="str">
        <f>AH75&amp;"-"&amp;AJ75</f>
        <v>46023-46295</v>
      </c>
      <c r="AH76" s="2310"/>
      <c r="AI76" s="2108"/>
      <c r="AJ76" s="2310"/>
      <c r="AK76" s="2108"/>
      <c r="AL76" s="326"/>
      <c r="AM76" s="326"/>
      <c r="AN76" s="326"/>
      <c r="AO76" s="329" t="str">
        <f>AP75&amp;"-"&amp;AR75</f>
        <v>46296-46387</v>
      </c>
      <c r="AP76" s="2310"/>
      <c r="AQ76" s="2108"/>
      <c r="AR76" s="2310"/>
      <c r="AS76" s="2108"/>
      <c r="AT76" s="326"/>
      <c r="AU76" s="2255"/>
      <c r="AV76" s="1643"/>
      <c r="AW76" s="1625"/>
      <c r="AX76" s="1625" t="str">
        <f>IF(T76="","",T76)</f>
        <v/>
      </c>
      <c r="AY76" s="1625"/>
      <c r="AZ76" s="1625"/>
      <c r="BA76" s="1636">
        <v>0</v>
      </c>
    </row>
    <row s="1851" customFormat="1" customHeight="1" ht="15">
      <c r="A77" s="1364"/>
      <c r="B77" s="1364"/>
      <c r="C77" s="1364"/>
      <c r="D77" s="1364"/>
      <c r="E77" s="2260">
        <v>1</v>
      </c>
      <c r="F77" s="2260"/>
      <c r="G77" s="2260"/>
      <c r="H77" s="2260"/>
      <c r="I77" s="2287"/>
      <c r="J77" s="2257"/>
      <c r="K77" s="1364"/>
      <c r="L77" s="1370"/>
      <c r="M77" s="1367"/>
      <c r="N77" s="1367"/>
      <c r="O77" s="1777"/>
      <c r="P77" s="2375"/>
      <c r="Q77" s="2375"/>
      <c r="R77" s="357"/>
      <c r="S77" s="4268"/>
      <c r="T77" s="4269" t="s">
        <v>541</v>
      </c>
      <c r="U77" s="4270"/>
      <c r="V77" s="4271"/>
      <c r="W77" s="4272"/>
      <c r="X77" s="4273"/>
      <c r="Y77" s="4274"/>
      <c r="Z77" s="4275"/>
      <c r="AA77" s="4276"/>
      <c r="AB77" s="4277"/>
      <c r="AC77" s="4278"/>
      <c r="AD77" s="4279"/>
      <c r="AE77" s="4280"/>
      <c r="AF77" s="4281"/>
      <c r="AG77" s="4282"/>
      <c r="AH77" s="4283"/>
      <c r="AI77" s="4284"/>
      <c r="AJ77" s="4285"/>
      <c r="AK77" s="4286"/>
      <c r="AL77" s="4287"/>
      <c r="AM77" s="4288"/>
      <c r="AN77" s="4289"/>
      <c r="AO77" s="4290"/>
      <c r="AP77" s="4291"/>
      <c r="AQ77" s="4292"/>
      <c r="AR77" s="4293"/>
      <c r="AS77" s="5317"/>
      <c r="AT77" s="4295"/>
      <c r="AU77" s="2256"/>
      <c r="AV77" s="1643"/>
      <c r="AW77" s="1625"/>
      <c r="AX77" s="1625" t="str">
        <f>IF(T77="","",T77)</f>
        <v>Добавить вид теплоносителя (параметры теплоносителя)</v>
      </c>
      <c r="AY77" s="1625"/>
      <c r="AZ77" s="1625"/>
      <c r="BA77" s="1636">
        <v>0</v>
      </c>
    </row>
    <row s="1851" customFormat="1" customHeight="1" ht="15">
      <c r="A78" s="1364"/>
      <c r="B78" s="1364"/>
      <c r="C78" s="1364"/>
      <c r="D78" s="1364"/>
      <c r="E78" s="2260">
        <v>1</v>
      </c>
      <c r="F78" s="2260"/>
      <c r="G78" s="2260"/>
      <c r="H78" s="2260"/>
      <c r="I78" s="2257"/>
      <c r="J78" s="1364"/>
      <c r="K78" s="1364"/>
      <c r="L78" s="1370"/>
      <c r="M78" s="1367"/>
      <c r="N78" s="1777"/>
      <c r="O78" s="1777"/>
      <c r="P78" s="2375"/>
      <c r="Q78" s="2375"/>
      <c r="R78" s="357"/>
      <c r="S78" s="4296"/>
      <c r="T78" s="4297" t="s">
        <v>542</v>
      </c>
      <c r="U78" s="4298"/>
      <c r="V78" s="4299"/>
      <c r="W78" s="4300"/>
      <c r="X78" s="4301"/>
      <c r="Y78" s="4302"/>
      <c r="Z78" s="4303"/>
      <c r="AA78" s="4304"/>
      <c r="AB78" s="4305"/>
      <c r="AC78" s="4306"/>
      <c r="AD78" s="4307"/>
      <c r="AE78" s="4308"/>
      <c r="AF78" s="4309"/>
      <c r="AG78" s="4310"/>
      <c r="AH78" s="4311"/>
      <c r="AI78" s="4312"/>
      <c r="AJ78" s="4313"/>
      <c r="AK78" s="4314"/>
      <c r="AL78" s="4315"/>
      <c r="AM78" s="4316"/>
      <c r="AN78" s="4317"/>
      <c r="AO78" s="4318"/>
      <c r="AP78" s="4319"/>
      <c r="AQ78" s="4320"/>
      <c r="AR78" s="4321"/>
      <c r="AS78" s="5318"/>
      <c r="AT78" s="4323"/>
      <c r="AU78" s="4324"/>
      <c r="AV78" s="1643"/>
      <c r="AW78" s="1625"/>
      <c r="AX78" s="1625" t="str">
        <f>IF(T78="","",T78)</f>
        <v>Добавить группу потребителей</v>
      </c>
      <c r="AY78" s="1625"/>
      <c r="AZ78" s="1625"/>
      <c r="BA78" s="1636">
        <v>0</v>
      </c>
    </row>
    <row s="1851" customFormat="1" customHeight="1" ht="14.25">
      <c r="A79" s="1364"/>
      <c r="B79" s="1364"/>
      <c r="C79" s="1364"/>
      <c r="D79" s="1364"/>
      <c r="E79" s="2260">
        <v>1</v>
      </c>
      <c r="F79" s="2260"/>
      <c r="G79" s="2260"/>
      <c r="H79" s="2259"/>
      <c r="I79" s="1364"/>
      <c r="J79" s="1364"/>
      <c r="K79" s="1364"/>
      <c r="L79" s="1370"/>
      <c r="M79" s="1366"/>
      <c r="N79" s="1366"/>
      <c r="O79" s="1367"/>
      <c r="P79" s="1824"/>
      <c r="Q79" s="376"/>
      <c r="R79" s="356"/>
      <c r="S79" s="1387"/>
      <c r="T79" s="1388"/>
      <c r="U79" s="1389"/>
      <c r="V79" s="1389"/>
      <c r="W79" s="1389"/>
      <c r="X79" s="1389"/>
      <c r="Y79" s="1389"/>
      <c r="Z79" s="1389"/>
      <c r="AA79" s="1389"/>
      <c r="AB79" s="1389"/>
      <c r="AC79" s="1389"/>
      <c r="AD79" s="1389"/>
      <c r="AE79" s="1389"/>
      <c r="AF79" s="1389"/>
      <c r="AG79" s="1389"/>
      <c r="AH79" s="1389"/>
      <c r="AI79" s="1389"/>
      <c r="AJ79" s="1389"/>
      <c r="AK79" s="1389"/>
      <c r="AL79" s="1389"/>
      <c r="AM79" s="1389"/>
      <c r="AN79" s="1389"/>
      <c r="AO79" s="1389"/>
      <c r="AP79" s="1389"/>
      <c r="AQ79" s="1389"/>
      <c r="AR79" s="1389"/>
      <c r="AS79" s="1389"/>
      <c r="AT79" s="1389"/>
      <c r="AU79" s="1390"/>
      <c r="AV79" s="1643"/>
      <c r="AW79" s="1625"/>
      <c r="AX79" s="1625" t="str">
        <f>IF(T79="","",T79)</f>
        <v/>
      </c>
      <c r="AY79" s="1625"/>
      <c r="AZ79" s="1625"/>
      <c r="BA79" s="1636">
        <v>0</v>
      </c>
    </row>
    <row s="623" customFormat="1" customHeight="1" ht="0.75">
      <c r="A80" s="1344"/>
      <c r="B80" s="1344"/>
      <c r="C80" s="1344"/>
      <c r="D80" s="1344"/>
      <c r="E80" s="2260">
        <v>1</v>
      </c>
      <c r="F80" s="2260"/>
      <c r="G80" s="2259"/>
      <c r="H80" s="1344"/>
      <c r="I80" s="1344"/>
      <c r="J80" s="1344"/>
      <c r="K80" s="1344"/>
      <c r="L80" s="1546"/>
      <c r="M80" s="1316"/>
      <c r="N80" s="1316"/>
      <c r="O80" s="1643"/>
      <c r="P80" s="1317"/>
      <c r="Q80" s="1345"/>
      <c r="R80" s="1317"/>
      <c r="S80" s="1319"/>
      <c r="T80" s="1320" t="s">
        <v>177</v>
      </c>
      <c r="U80" s="1321"/>
      <c r="V80" s="1321"/>
      <c r="W80" s="1321"/>
      <c r="X80" s="1321"/>
      <c r="Y80" s="1321"/>
      <c r="Z80" s="1321"/>
      <c r="AA80" s="1321"/>
      <c r="AB80" s="1321"/>
      <c r="AC80" s="1321"/>
      <c r="AD80" s="1321"/>
      <c r="AE80" s="1321"/>
      <c r="AF80" s="1321"/>
      <c r="AG80" s="1321"/>
      <c r="AH80" s="1321"/>
      <c r="AI80" s="1321"/>
      <c r="AJ80" s="1321"/>
      <c r="AK80" s="1321"/>
      <c r="AL80" s="1321"/>
      <c r="AM80" s="1321"/>
      <c r="AN80" s="1321"/>
      <c r="AO80" s="1321"/>
      <c r="AP80" s="1321"/>
      <c r="AQ80" s="1321"/>
      <c r="AR80" s="1321"/>
      <c r="AS80" s="1321"/>
      <c r="AT80" s="1321"/>
      <c r="AU80" s="1321"/>
      <c r="AV80" s="1643"/>
      <c r="AW80" s="1625"/>
      <c r="AX80" s="1625" t="str">
        <f>IF(T80="","",T80)</f>
        <v>Добавить источник для дифференциации</v>
      </c>
      <c r="AY80" s="1625"/>
      <c r="AZ80" s="1625"/>
      <c r="BA80" s="1643">
        <v>0</v>
      </c>
    </row>
    <row s="623" customFormat="1" customHeight="1" ht="0.75">
      <c r="A81" s="1344"/>
      <c r="B81" s="1344"/>
      <c r="C81" s="1344"/>
      <c r="D81" s="1344"/>
      <c r="E81" s="2260">
        <v>1</v>
      </c>
      <c r="F81" s="2259"/>
      <c r="G81" s="1344"/>
      <c r="H81" s="1344"/>
      <c r="I81" s="1344"/>
      <c r="J81" s="1344"/>
      <c r="K81" s="1344"/>
      <c r="L81" s="1546"/>
      <c r="M81" s="1322"/>
      <c r="N81" s="1322"/>
      <c r="O81" s="1643"/>
      <c r="P81" s="1317"/>
      <c r="Q81" s="1345"/>
      <c r="R81" s="1317"/>
      <c r="S81" s="1323"/>
      <c r="T81" s="1324" t="s">
        <v>178</v>
      </c>
      <c r="U81" s="1325"/>
      <c r="V81" s="1325"/>
      <c r="W81" s="1325"/>
      <c r="X81" s="1325"/>
      <c r="Y81" s="1325"/>
      <c r="Z81" s="1325"/>
      <c r="AA81" s="1325"/>
      <c r="AB81" s="1325"/>
      <c r="AC81" s="1325"/>
      <c r="AD81" s="1325"/>
      <c r="AE81" s="1325"/>
      <c r="AF81" s="1325"/>
      <c r="AG81" s="1325"/>
      <c r="AH81" s="1325"/>
      <c r="AI81" s="1325"/>
      <c r="AJ81" s="1325"/>
      <c r="AK81" s="1325"/>
      <c r="AL81" s="1325"/>
      <c r="AM81" s="1325"/>
      <c r="AN81" s="1325"/>
      <c r="AO81" s="1325"/>
      <c r="AP81" s="1325"/>
      <c r="AQ81" s="1325"/>
      <c r="AR81" s="1325"/>
      <c r="AS81" s="1325"/>
      <c r="AT81" s="1325"/>
      <c r="AU81" s="1325"/>
      <c r="AV81" s="1643"/>
      <c r="AW81" s="1625"/>
      <c r="AX81" s="1625" t="str">
        <f>IF(T81="","",T81)</f>
        <v>Добавить централизованную систему для дифференциации</v>
      </c>
      <c r="AY81" s="1625"/>
      <c r="AZ81" s="1625"/>
      <c r="BA81" s="1643">
        <v>0</v>
      </c>
    </row>
    <row s="1851" customFormat="1" customHeight="1" ht="21">
      <c r="A82" s="1364"/>
      <c r="B82" s="1364" t="s">
        <v>267</v>
      </c>
      <c r="C82" s="1364"/>
      <c r="D82" s="1364"/>
      <c r="E82" s="2260"/>
      <c r="F82" s="2259" t="s">
        <v>107</v>
      </c>
      <c r="G82" s="1364"/>
      <c r="H82" s="1364"/>
      <c r="I82" s="1364"/>
      <c r="J82" s="1364"/>
      <c r="K82" s="1364"/>
      <c r="L82" s="1370"/>
      <c r="M82" s="1366"/>
      <c r="N82" s="1366"/>
      <c r="O82" s="1366"/>
      <c r="P82" s="2126"/>
      <c r="Q82" s="353"/>
      <c r="R82" s="354"/>
      <c r="S82" s="2274" t="str">
        <f>INDEX(PT_DIFFERENTIATION_NUM_TER,MATCH(B82,PT_DIFFERENTIATION_TER_ID,0))</f>
        <v>2.2</v>
      </c>
      <c r="T82" s="1523" t="s">
        <v>527</v>
      </c>
      <c r="U82" s="301"/>
      <c r="V82" s="2243"/>
      <c r="W82" s="2244"/>
      <c r="X82" s="2244"/>
      <c r="Y82" s="2244"/>
      <c r="Z82" s="2244"/>
      <c r="AA82" s="2244"/>
      <c r="AB82" s="2244"/>
      <c r="AC82" s="2245"/>
      <c r="AD82" s="2243" t="str">
        <f>INDEX(PT_DIFFERENTIATION_TER,MATCH(B82,PT_DIFFERENTIATION_TER_ID,0))</f>
        <v>Территория 2</v>
      </c>
      <c r="AE82" s="2244"/>
      <c r="AF82" s="2244"/>
      <c r="AG82" s="2244"/>
      <c r="AH82" s="2244"/>
      <c r="AI82" s="2244"/>
      <c r="AJ82" s="2244"/>
      <c r="AK82" s="2244"/>
      <c r="AL82" s="2243"/>
      <c r="AM82" s="2244"/>
      <c r="AN82" s="2244"/>
      <c r="AO82" s="2244"/>
      <c r="AP82" s="2244"/>
      <c r="AQ82" s="2244"/>
      <c r="AR82" s="2244"/>
      <c r="AS82" s="5240"/>
      <c r="AT82" s="2245"/>
      <c r="AU82" s="1259" t="s">
        <v>528</v>
      </c>
      <c r="AV82" s="1643"/>
      <c r="AW82" s="1625"/>
      <c r="AX82" s="1625" t="str">
        <f>IF(T82="","",T82)</f>
        <v>Территория действия тарифа</v>
      </c>
      <c r="AY82" s="1625"/>
      <c r="AZ82" s="1625"/>
      <c r="BA82" s="1636">
        <v>0</v>
      </c>
    </row>
    <row s="1851" customFormat="1" customHeight="1" ht="23.25">
      <c r="A83" s="1364"/>
      <c r="B83" s="1364"/>
      <c r="C83" s="1364" t="s">
        <v>268</v>
      </c>
      <c r="D83" s="1364"/>
      <c r="E83" s="2260"/>
      <c r="F83" s="2260">
        <v>1</v>
      </c>
      <c r="G83" s="2259">
        <v>1</v>
      </c>
      <c r="H83" s="1364"/>
      <c r="I83" s="1364"/>
      <c r="J83" s="1364"/>
      <c r="K83" s="1364"/>
      <c r="L83" s="1370"/>
      <c r="M83" s="1366"/>
      <c r="N83" s="1366"/>
      <c r="O83" s="1366"/>
      <c r="P83" s="355"/>
      <c r="Q83" s="353"/>
      <c r="R83" s="354"/>
      <c r="S83" s="2274" t="str">
        <f>INDEX(PT_DIFFERENTIATION_NUM_CS,MATCH(C83,PT_DIFFERENTIATION_CS_ID,0))</f>
        <v>2.2.1</v>
      </c>
      <c r="T83" s="310" t="s">
        <v>529</v>
      </c>
      <c r="U83" s="301"/>
      <c r="V83" s="2243"/>
      <c r="W83" s="2244"/>
      <c r="X83" s="2244"/>
      <c r="Y83" s="2244"/>
      <c r="Z83" s="2244"/>
      <c r="AA83" s="2244"/>
      <c r="AB83" s="2244"/>
      <c r="AC83" s="2245"/>
      <c r="AD83" s="2243" t="str">
        <f>INDEX(PT_DIFFERENTIATION_CS,MATCH(C83,PT_DIFFERENTIATION_CS_ID,0))</f>
        <v>открытая система теплоснабжения г. Кировск</v>
      </c>
      <c r="AE83" s="2244"/>
      <c r="AF83" s="2244"/>
      <c r="AG83" s="2244"/>
      <c r="AH83" s="2244"/>
      <c r="AI83" s="2244"/>
      <c r="AJ83" s="2244"/>
      <c r="AK83" s="2244"/>
      <c r="AL83" s="2243"/>
      <c r="AM83" s="2244"/>
      <c r="AN83" s="2244"/>
      <c r="AO83" s="2244"/>
      <c r="AP83" s="2244"/>
      <c r="AQ83" s="2244"/>
      <c r="AR83" s="2244"/>
      <c r="AS83" s="5240"/>
      <c r="AT83" s="2245"/>
      <c r="AU83" s="1259" t="s">
        <v>530</v>
      </c>
      <c r="AV83" s="1643"/>
      <c r="AW83" s="1625"/>
      <c r="AX83" s="1625" t="str">
        <f>IF(T83="","",T83)</f>
        <v>Наименование системы теплоснабжения </v>
      </c>
      <c r="AY83" s="1625"/>
      <c r="AZ83" s="1625"/>
      <c r="BA83" s="1636">
        <v>0</v>
      </c>
    </row>
    <row s="1851" customFormat="1" customHeight="1" ht="21">
      <c r="A84" s="1364"/>
      <c r="B84" s="1364"/>
      <c r="C84" s="1364"/>
      <c r="D84" s="1364" t="s">
        <v>269</v>
      </c>
      <c r="E84" s="2260"/>
      <c r="F84" s="2260">
        <v>1</v>
      </c>
      <c r="G84" s="2260"/>
      <c r="H84" s="2259">
        <v>1</v>
      </c>
      <c r="I84" s="1364"/>
      <c r="J84" s="1364"/>
      <c r="K84" s="1364"/>
      <c r="L84" s="1370"/>
      <c r="M84" s="1366"/>
      <c r="N84" s="1366"/>
      <c r="O84" s="1366"/>
      <c r="P84" s="355"/>
      <c r="Q84" s="353"/>
      <c r="R84" s="354"/>
      <c r="S84" s="2274" t="str">
        <f>INDEX(PT_DIFFERENTIATION_NUM_IST_TE,MATCH(D84,PT_DIFFERENTIATION_IST_TE_ID,0))</f>
        <v>2.2.1.1</v>
      </c>
      <c r="T84" s="311" t="s">
        <v>531</v>
      </c>
      <c r="U84" s="301"/>
      <c r="V84" s="2243"/>
      <c r="W84" s="2244"/>
      <c r="X84" s="2244"/>
      <c r="Y84" s="2244"/>
      <c r="Z84" s="2244"/>
      <c r="AA84" s="2244"/>
      <c r="AB84" s="2244"/>
      <c r="AC84" s="2245"/>
      <c r="AD84" s="2243" t="str">
        <f>INDEX(PT_DIFFERENTIATION_IST_TE,MATCH(D84,PT_DIFFERENTIATION_IST_TE_ID,0))</f>
        <v>Апатитская ТЭЦ</v>
      </c>
      <c r="AE84" s="2244"/>
      <c r="AF84" s="2244"/>
      <c r="AG84" s="2244"/>
      <c r="AH84" s="2244"/>
      <c r="AI84" s="2244"/>
      <c r="AJ84" s="2244"/>
      <c r="AK84" s="2244"/>
      <c r="AL84" s="2243"/>
      <c r="AM84" s="2244"/>
      <c r="AN84" s="2244"/>
      <c r="AO84" s="2244"/>
      <c r="AP84" s="2244"/>
      <c r="AQ84" s="2244"/>
      <c r="AR84" s="2244"/>
      <c r="AS84" s="5240"/>
      <c r="AT84" s="2245"/>
      <c r="AU84" s="1259" t="s">
        <v>532</v>
      </c>
      <c r="AV84" s="1643"/>
      <c r="AW84" s="1625"/>
      <c r="AX84" s="1625" t="str">
        <f>IF(T84="","",T84)</f>
        <v>Источник тепловой энергии  </v>
      </c>
      <c r="AY84" s="1625"/>
      <c r="AZ84" s="1625"/>
      <c r="BA84" s="1636">
        <v>0</v>
      </c>
    </row>
    <row s="1851" customFormat="1" customHeight="1" ht="14.25">
      <c r="A85" s="1364"/>
      <c r="B85" s="1364"/>
      <c r="C85" s="1364"/>
      <c r="D85" s="1364"/>
      <c r="E85" s="2260"/>
      <c r="F85" s="2260">
        <v>1</v>
      </c>
      <c r="G85" s="2260"/>
      <c r="H85" s="2260"/>
      <c r="I85" s="2257" t="str">
        <f>S84&amp;".1"</f>
        <v>2.2.1.1.1</v>
      </c>
      <c r="J85" s="1364"/>
      <c r="K85" s="1364"/>
      <c r="L85" s="1370" t="s">
        <v>533</v>
      </c>
      <c r="M85" s="1367"/>
      <c r="N85" s="1777"/>
      <c r="O85" s="1777"/>
      <c r="P85" s="2375">
        <v>1</v>
      </c>
      <c r="Q85" s="2375"/>
      <c r="R85" s="357"/>
      <c r="S85" s="2305"/>
      <c r="T85" s="1384"/>
      <c r="U85" s="1385"/>
      <c r="V85" s="2297"/>
      <c r="W85" s="2298"/>
      <c r="X85" s="2298"/>
      <c r="Y85" s="2298"/>
      <c r="Z85" s="2298"/>
      <c r="AA85" s="2298"/>
      <c r="AB85" s="2298"/>
      <c r="AC85" s="2299"/>
      <c r="AD85" s="2297"/>
      <c r="AE85" s="2298"/>
      <c r="AF85" s="2298"/>
      <c r="AG85" s="2298"/>
      <c r="AH85" s="2298"/>
      <c r="AI85" s="2298"/>
      <c r="AJ85" s="2298"/>
      <c r="AK85" s="2298"/>
      <c r="AL85" s="2297"/>
      <c r="AM85" s="2298"/>
      <c r="AN85" s="2298"/>
      <c r="AO85" s="2298"/>
      <c r="AP85" s="2298"/>
      <c r="AQ85" s="2298"/>
      <c r="AR85" s="2298"/>
      <c r="AS85" s="5309"/>
      <c r="AT85" s="2299"/>
      <c r="AU85" s="1386"/>
      <c r="AV85" s="1643"/>
      <c r="AW85" s="1625"/>
      <c r="AX85" s="1625" t="str">
        <f>IF(T85="","",T85)</f>
        <v/>
      </c>
      <c r="AY85" s="1625"/>
      <c r="AZ85" s="1625"/>
      <c r="BA85" s="1636">
        <v>0</v>
      </c>
    </row>
    <row s="1851" customFormat="1" customHeight="1" ht="21">
      <c r="A86" s="1364"/>
      <c r="B86" s="1364"/>
      <c r="C86" s="1364"/>
      <c r="D86" s="1364"/>
      <c r="E86" s="2260"/>
      <c r="F86" s="2260">
        <v>1</v>
      </c>
      <c r="G86" s="2260"/>
      <c r="H86" s="2260"/>
      <c r="I86" s="2287"/>
      <c r="J86" s="2257" t="str">
        <f>I85&amp;".1"</f>
        <v>2.2.1.1.1.1</v>
      </c>
      <c r="K86" s="1364"/>
      <c r="L86" s="1370" t="s">
        <v>536</v>
      </c>
      <c r="M86" s="1367"/>
      <c r="N86" s="1367"/>
      <c r="O86" s="1777"/>
      <c r="P86" s="2375"/>
      <c r="Q86" s="2375">
        <v>1</v>
      </c>
      <c r="R86" s="358"/>
      <c r="S86" s="2274" t="str">
        <f>$J86</f>
        <v>2.2.1.1.1.1</v>
      </c>
      <c r="T86" s="287" t="s">
        <v>537</v>
      </c>
      <c r="U86" s="301"/>
      <c r="V86" s="2246"/>
      <c r="W86" s="2247"/>
      <c r="X86" s="2247"/>
      <c r="Y86" s="2247"/>
      <c r="Z86" s="2247"/>
      <c r="AA86" s="2247"/>
      <c r="AB86" s="2247"/>
      <c r="AC86" s="2248"/>
      <c r="AD86" s="2246" t="s">
        <v>576</v>
      </c>
      <c r="AE86" s="2247"/>
      <c r="AF86" s="2247"/>
      <c r="AG86" s="2247"/>
      <c r="AH86" s="2247"/>
      <c r="AI86" s="2247"/>
      <c r="AJ86" s="2247"/>
      <c r="AK86" s="2247"/>
      <c r="AL86" s="2246"/>
      <c r="AM86" s="2247"/>
      <c r="AN86" s="2247"/>
      <c r="AO86" s="2247"/>
      <c r="AP86" s="2247"/>
      <c r="AQ86" s="2247"/>
      <c r="AR86" s="2247"/>
      <c r="AS86" s="5241"/>
      <c r="AT86" s="2248"/>
      <c r="AU86" s="1259" t="s">
        <v>538</v>
      </c>
      <c r="AV86" s="1643"/>
      <c r="AW86" s="1625"/>
      <c r="AX86" s="1625" t="str">
        <f>IF(T86="","",T86)</f>
        <v>Группа потребителей</v>
      </c>
      <c r="AY86" s="1625"/>
      <c r="AZ86" s="1625"/>
      <c r="BA86" s="1636">
        <v>0</v>
      </c>
    </row>
    <row s="1851" customFormat="1" customHeight="1" ht="21">
      <c r="A87" s="1364"/>
      <c r="B87" s="1364"/>
      <c r="C87" s="1364"/>
      <c r="D87" s="1364"/>
      <c r="E87" s="2260"/>
      <c r="F87" s="2260">
        <v>1</v>
      </c>
      <c r="G87" s="2260"/>
      <c r="H87" s="2260"/>
      <c r="I87" s="2287"/>
      <c r="J87" s="2287"/>
      <c r="K87" s="2257" t="str">
        <f>J86&amp;".1"</f>
        <v>2.2.1.1.1.1.1</v>
      </c>
      <c r="L87" s="1370" t="s">
        <v>539</v>
      </c>
      <c r="M87" s="1367"/>
      <c r="N87" s="1367"/>
      <c r="O87" s="1367"/>
      <c r="P87" s="2375"/>
      <c r="Q87" s="2375"/>
      <c r="R87" s="358">
        <v>1</v>
      </c>
      <c r="S87" s="2274" t="str">
        <f>$K87</f>
        <v>2.2.1.1.1.1.1</v>
      </c>
      <c r="T87" s="1348" t="s">
        <v>577</v>
      </c>
      <c r="U87" s="301"/>
      <c r="V87" s="752"/>
      <c r="W87" s="326"/>
      <c r="X87" s="752"/>
      <c r="Y87" s="1258"/>
      <c r="Z87" s="2603"/>
      <c r="AA87" s="2108" t="s">
        <v>65</v>
      </c>
      <c r="AB87" s="2603"/>
      <c r="AC87" s="2108" t="s">
        <v>65</v>
      </c>
      <c r="AD87" s="752">
        <v>53.82</v>
      </c>
      <c r="AE87" s="326"/>
      <c r="AF87" s="752"/>
      <c r="AG87" s="1258"/>
      <c r="AH87" s="2603">
        <v>46023</v>
      </c>
      <c r="AI87" s="2108" t="s">
        <v>65</v>
      </c>
      <c r="AJ87" s="2603">
        <v>46295</v>
      </c>
      <c r="AK87" s="2108" t="s">
        <v>65</v>
      </c>
      <c r="AL87" s="752">
        <v>53.82</v>
      </c>
      <c r="AM87" s="326"/>
      <c r="AN87" s="752"/>
      <c r="AO87" s="1258"/>
      <c r="AP87" s="2603">
        <v>46296</v>
      </c>
      <c r="AQ87" s="2108" t="s">
        <v>65</v>
      </c>
      <c r="AR87" s="2603">
        <v>46387</v>
      </c>
      <c r="AS87" s="2108" t="s">
        <v>65</v>
      </c>
      <c r="AT87" s="326"/>
      <c r="AU87" s="2254" t="s">
        <v>540</v>
      </c>
      <c r="AV87" s="1643">
        <f>STRCHECKDATE(V88:AT88)</f>
      </c>
      <c r="AW87" s="1625"/>
      <c r="AX87" s="1625" t="str">
        <f>IF(T87="","",T87)</f>
        <v>вода</v>
      </c>
      <c r="AY87" s="1625"/>
      <c r="AZ87" s="1625"/>
      <c r="BA87" s="1636">
        <v>0</v>
      </c>
    </row>
    <row s="1851" customFormat="1" customHeight="1" ht="0.75">
      <c r="A88" s="1364"/>
      <c r="B88" s="1364"/>
      <c r="C88" s="1364"/>
      <c r="D88" s="1364"/>
      <c r="E88" s="2260"/>
      <c r="F88" s="2260">
        <v>1</v>
      </c>
      <c r="G88" s="2260"/>
      <c r="H88" s="2260"/>
      <c r="I88" s="2287"/>
      <c r="J88" s="2287"/>
      <c r="K88" s="2257"/>
      <c r="L88" s="1370"/>
      <c r="M88" s="1367"/>
      <c r="N88" s="1367"/>
      <c r="O88" s="1367"/>
      <c r="P88" s="2375"/>
      <c r="Q88" s="2375"/>
      <c r="R88" s="358"/>
      <c r="S88" s="2514"/>
      <c r="T88" s="301"/>
      <c r="U88" s="301"/>
      <c r="V88" s="326"/>
      <c r="W88" s="326"/>
      <c r="X88" s="326"/>
      <c r="Y88" s="329" t="str">
        <f>Z87&amp;"-"&amp;AB87</f>
        <v>-</v>
      </c>
      <c r="Z88" s="2310"/>
      <c r="AA88" s="2108"/>
      <c r="AB88" s="2310"/>
      <c r="AC88" s="2108"/>
      <c r="AD88" s="326"/>
      <c r="AE88" s="326"/>
      <c r="AF88" s="326"/>
      <c r="AG88" s="329" t="str">
        <f>AH87&amp;"-"&amp;AJ87</f>
        <v>46023-46295</v>
      </c>
      <c r="AH88" s="2310"/>
      <c r="AI88" s="2108"/>
      <c r="AJ88" s="2310"/>
      <c r="AK88" s="2108"/>
      <c r="AL88" s="326"/>
      <c r="AM88" s="326"/>
      <c r="AN88" s="326"/>
      <c r="AO88" s="329" t="str">
        <f>AP87&amp;"-"&amp;AR87</f>
        <v>46296-46387</v>
      </c>
      <c r="AP88" s="2310"/>
      <c r="AQ88" s="2108"/>
      <c r="AR88" s="2310"/>
      <c r="AS88" s="2108"/>
      <c r="AT88" s="326"/>
      <c r="AU88" s="2255"/>
      <c r="AV88" s="1643"/>
      <c r="AW88" s="1625"/>
      <c r="AX88" s="1625" t="str">
        <f>IF(T88="","",T88)</f>
        <v/>
      </c>
      <c r="AY88" s="1625"/>
      <c r="AZ88" s="1625"/>
      <c r="BA88" s="1636">
        <v>0</v>
      </c>
    </row>
    <row s="1851" customFormat="1" customHeight="1" ht="15">
      <c r="A89" s="1364"/>
      <c r="B89" s="1364"/>
      <c r="C89" s="1364"/>
      <c r="D89" s="1364"/>
      <c r="E89" s="2260"/>
      <c r="F89" s="2260">
        <v>1</v>
      </c>
      <c r="G89" s="2260"/>
      <c r="H89" s="2260"/>
      <c r="I89" s="2287"/>
      <c r="J89" s="2257"/>
      <c r="K89" s="1364"/>
      <c r="L89" s="1370"/>
      <c r="M89" s="1367"/>
      <c r="N89" s="1367"/>
      <c r="O89" s="1777"/>
      <c r="P89" s="2375"/>
      <c r="Q89" s="2375"/>
      <c r="R89" s="357"/>
      <c r="S89" s="4325"/>
      <c r="T89" s="4326" t="s">
        <v>541</v>
      </c>
      <c r="U89" s="4327"/>
      <c r="V89" s="4328"/>
      <c r="W89" s="4329"/>
      <c r="X89" s="4330"/>
      <c r="Y89" s="4331"/>
      <c r="Z89" s="4332"/>
      <c r="AA89" s="4333"/>
      <c r="AB89" s="4334"/>
      <c r="AC89" s="4335"/>
      <c r="AD89" s="4336"/>
      <c r="AE89" s="4337"/>
      <c r="AF89" s="4338"/>
      <c r="AG89" s="4339"/>
      <c r="AH89" s="4340"/>
      <c r="AI89" s="4341"/>
      <c r="AJ89" s="4342"/>
      <c r="AK89" s="4343"/>
      <c r="AL89" s="4344"/>
      <c r="AM89" s="4345"/>
      <c r="AN89" s="4346"/>
      <c r="AO89" s="4347"/>
      <c r="AP89" s="4348"/>
      <c r="AQ89" s="4349"/>
      <c r="AR89" s="4350"/>
      <c r="AS89" s="5319"/>
      <c r="AT89" s="4352"/>
      <c r="AU89" s="2256"/>
      <c r="AV89" s="1643"/>
      <c r="AW89" s="1625"/>
      <c r="AX89" s="1625" t="str">
        <f>IF(T89="","",T89)</f>
        <v>Добавить вид теплоносителя (параметры теплоносителя)</v>
      </c>
      <c r="AY89" s="1625"/>
      <c r="AZ89" s="1625"/>
      <c r="BA89" s="1636">
        <v>0</v>
      </c>
    </row>
    <row s="1851" customFormat="1" customHeight="1" ht="15">
      <c r="A90" s="1364"/>
      <c r="B90" s="1364"/>
      <c r="C90" s="1364"/>
      <c r="D90" s="1364"/>
      <c r="E90" s="2260"/>
      <c r="F90" s="2260">
        <v>1</v>
      </c>
      <c r="G90" s="2260"/>
      <c r="H90" s="2260"/>
      <c r="I90" s="2257"/>
      <c r="J90" s="1364"/>
      <c r="K90" s="1364"/>
      <c r="L90" s="1370"/>
      <c r="M90" s="1367"/>
      <c r="N90" s="1777"/>
      <c r="O90" s="1777"/>
      <c r="P90" s="2375"/>
      <c r="Q90" s="2375"/>
      <c r="R90" s="357"/>
      <c r="S90" s="4353"/>
      <c r="T90" s="4354" t="s">
        <v>542</v>
      </c>
      <c r="U90" s="4355"/>
      <c r="V90" s="4356"/>
      <c r="W90" s="4357"/>
      <c r="X90" s="4358"/>
      <c r="Y90" s="4359"/>
      <c r="Z90" s="4360"/>
      <c r="AA90" s="4361"/>
      <c r="AB90" s="4362"/>
      <c r="AC90" s="4363"/>
      <c r="AD90" s="4364"/>
      <c r="AE90" s="4365"/>
      <c r="AF90" s="4366"/>
      <c r="AG90" s="4367"/>
      <c r="AH90" s="4368"/>
      <c r="AI90" s="4369"/>
      <c r="AJ90" s="4370"/>
      <c r="AK90" s="4371"/>
      <c r="AL90" s="4372"/>
      <c r="AM90" s="4373"/>
      <c r="AN90" s="4374"/>
      <c r="AO90" s="4375"/>
      <c r="AP90" s="4376"/>
      <c r="AQ90" s="4377"/>
      <c r="AR90" s="4378"/>
      <c r="AS90" s="5320"/>
      <c r="AT90" s="4380"/>
      <c r="AU90" s="4381"/>
      <c r="AV90" s="1643"/>
      <c r="AW90" s="1625"/>
      <c r="AX90" s="1625" t="str">
        <f>IF(T90="","",T90)</f>
        <v>Добавить группу потребителей</v>
      </c>
      <c r="AY90" s="1625"/>
      <c r="AZ90" s="1625"/>
      <c r="BA90" s="1636">
        <v>0</v>
      </c>
    </row>
    <row s="1851" customFormat="1" customHeight="1" ht="14.25">
      <c r="A91" s="1364"/>
      <c r="B91" s="1364"/>
      <c r="C91" s="1364"/>
      <c r="D91" s="1364"/>
      <c r="E91" s="2260"/>
      <c r="F91" s="2260">
        <v>1</v>
      </c>
      <c r="G91" s="2260"/>
      <c r="H91" s="2259"/>
      <c r="I91" s="1364"/>
      <c r="J91" s="1364"/>
      <c r="K91" s="1364"/>
      <c r="L91" s="1370"/>
      <c r="M91" s="1366"/>
      <c r="N91" s="1366"/>
      <c r="O91" s="1367"/>
      <c r="P91" s="1824"/>
      <c r="Q91" s="376"/>
      <c r="R91" s="356"/>
      <c r="S91" s="1387"/>
      <c r="T91" s="1388"/>
      <c r="U91" s="1389"/>
      <c r="V91" s="1389"/>
      <c r="W91" s="1389"/>
      <c r="X91" s="1389"/>
      <c r="Y91" s="1389"/>
      <c r="Z91" s="1389"/>
      <c r="AA91" s="1389"/>
      <c r="AB91" s="1389"/>
      <c r="AC91" s="1389"/>
      <c r="AD91" s="1389"/>
      <c r="AE91" s="1389"/>
      <c r="AF91" s="1389"/>
      <c r="AG91" s="1389"/>
      <c r="AH91" s="1389"/>
      <c r="AI91" s="1389"/>
      <c r="AJ91" s="1389"/>
      <c r="AK91" s="1389"/>
      <c r="AL91" s="1389"/>
      <c r="AM91" s="1389"/>
      <c r="AN91" s="1389"/>
      <c r="AO91" s="1389"/>
      <c r="AP91" s="1389"/>
      <c r="AQ91" s="1389"/>
      <c r="AR91" s="1389"/>
      <c r="AS91" s="1389"/>
      <c r="AT91" s="1389"/>
      <c r="AU91" s="1390"/>
      <c r="AV91" s="1643"/>
      <c r="AW91" s="1625"/>
      <c r="AX91" s="1625" t="str">
        <f>IF(T91="","",T91)</f>
        <v/>
      </c>
      <c r="AY91" s="1625"/>
      <c r="AZ91" s="1625"/>
      <c r="BA91" s="1636">
        <v>0</v>
      </c>
    </row>
    <row s="623" customFormat="1" customHeight="1" ht="0.75">
      <c r="A92" s="1344"/>
      <c r="B92" s="1344"/>
      <c r="C92" s="1344"/>
      <c r="D92" s="1344"/>
      <c r="E92" s="2260"/>
      <c r="F92" s="2260">
        <v>1</v>
      </c>
      <c r="G92" s="2259"/>
      <c r="H92" s="1344"/>
      <c r="I92" s="1344"/>
      <c r="J92" s="1344"/>
      <c r="K92" s="1344"/>
      <c r="L92" s="1546"/>
      <c r="M92" s="1316"/>
      <c r="N92" s="1316"/>
      <c r="O92" s="1643"/>
      <c r="P92" s="1317"/>
      <c r="Q92" s="1345"/>
      <c r="R92" s="1317"/>
      <c r="S92" s="1319"/>
      <c r="T92" s="1320" t="s">
        <v>177</v>
      </c>
      <c r="U92" s="1321"/>
      <c r="V92" s="1321"/>
      <c r="W92" s="1321"/>
      <c r="X92" s="1321"/>
      <c r="Y92" s="1321"/>
      <c r="Z92" s="1321"/>
      <c r="AA92" s="1321"/>
      <c r="AB92" s="1321"/>
      <c r="AC92" s="1321"/>
      <c r="AD92" s="1321"/>
      <c r="AE92" s="1321"/>
      <c r="AF92" s="1321"/>
      <c r="AG92" s="1321"/>
      <c r="AH92" s="1321"/>
      <c r="AI92" s="1321"/>
      <c r="AJ92" s="1321"/>
      <c r="AK92" s="1321"/>
      <c r="AL92" s="1321"/>
      <c r="AM92" s="1321"/>
      <c r="AN92" s="1321"/>
      <c r="AO92" s="1321"/>
      <c r="AP92" s="1321"/>
      <c r="AQ92" s="1321"/>
      <c r="AR92" s="1321"/>
      <c r="AS92" s="1321"/>
      <c r="AT92" s="1321"/>
      <c r="AU92" s="1321"/>
      <c r="AV92" s="1643"/>
      <c r="AW92" s="1625"/>
      <c r="AX92" s="1625" t="str">
        <f>IF(T92="","",T92)</f>
        <v>Добавить источник для дифференциации</v>
      </c>
      <c r="AY92" s="1625"/>
      <c r="AZ92" s="1625"/>
      <c r="BA92" s="1643">
        <v>0</v>
      </c>
    </row>
    <row s="623" customFormat="1" customHeight="1" ht="0.75">
      <c r="A93" s="1344"/>
      <c r="B93" s="1344"/>
      <c r="C93" s="1344"/>
      <c r="D93" s="1344"/>
      <c r="E93" s="2260"/>
      <c r="F93" s="2259">
        <v>1</v>
      </c>
      <c r="G93" s="1344"/>
      <c r="H93" s="1344"/>
      <c r="I93" s="1344"/>
      <c r="J93" s="1344"/>
      <c r="K93" s="1344"/>
      <c r="L93" s="1546"/>
      <c r="M93" s="1322"/>
      <c r="N93" s="1322"/>
      <c r="O93" s="1643"/>
      <c r="P93" s="1317"/>
      <c r="Q93" s="1345"/>
      <c r="R93" s="1317"/>
      <c r="S93" s="1323"/>
      <c r="T93" s="1324" t="s">
        <v>178</v>
      </c>
      <c r="U93" s="1325"/>
      <c r="V93" s="1325"/>
      <c r="W93" s="1325"/>
      <c r="X93" s="1325"/>
      <c r="Y93" s="1325"/>
      <c r="Z93" s="1325"/>
      <c r="AA93" s="1325"/>
      <c r="AB93" s="1325"/>
      <c r="AC93" s="1325"/>
      <c r="AD93" s="1325"/>
      <c r="AE93" s="1325"/>
      <c r="AF93" s="1325"/>
      <c r="AG93" s="1325"/>
      <c r="AH93" s="1325"/>
      <c r="AI93" s="1325"/>
      <c r="AJ93" s="1325"/>
      <c r="AK93" s="1325"/>
      <c r="AL93" s="1325"/>
      <c r="AM93" s="1325"/>
      <c r="AN93" s="1325"/>
      <c r="AO93" s="1325"/>
      <c r="AP93" s="1325"/>
      <c r="AQ93" s="1325"/>
      <c r="AR93" s="1325"/>
      <c r="AS93" s="1325"/>
      <c r="AT93" s="1325"/>
      <c r="AU93" s="1325"/>
      <c r="AV93" s="1643"/>
      <c r="AW93" s="1625"/>
      <c r="AX93" s="1625" t="str">
        <f>IF(T93="","",T93)</f>
        <v>Добавить централизованную систему для дифференциации</v>
      </c>
      <c r="AY93" s="1625"/>
      <c r="AZ93" s="1625"/>
      <c r="BA93" s="1643">
        <v>0</v>
      </c>
    </row>
    <row s="623" customFormat="1" customHeight="1" ht="0.75">
      <c r="A94" s="1344"/>
      <c r="B94" s="1344"/>
      <c r="C94" s="1344"/>
      <c r="D94" s="1344"/>
      <c r="E94" s="2259">
        <v>1</v>
      </c>
      <c r="F94" s="1344"/>
      <c r="G94" s="1344"/>
      <c r="H94" s="1344"/>
      <c r="I94" s="1344"/>
      <c r="J94" s="1344"/>
      <c r="K94" s="1344"/>
      <c r="L94" s="1546"/>
      <c r="M94" s="1322"/>
      <c r="N94" s="1322"/>
      <c r="O94" s="1643"/>
      <c r="P94" s="1317"/>
      <c r="Q94" s="1345"/>
      <c r="R94" s="1317"/>
      <c r="S94" s="1323"/>
      <c r="T94" s="1326" t="s">
        <v>183</v>
      </c>
      <c r="U94" s="1325"/>
      <c r="V94" s="1325"/>
      <c r="W94" s="1325"/>
      <c r="X94" s="1325"/>
      <c r="Y94" s="1325"/>
      <c r="Z94" s="1325"/>
      <c r="AA94" s="1325"/>
      <c r="AB94" s="1325"/>
      <c r="AC94" s="1325"/>
      <c r="AD94" s="1325"/>
      <c r="AE94" s="1325"/>
      <c r="AF94" s="1325"/>
      <c r="AG94" s="1325"/>
      <c r="AH94" s="1325"/>
      <c r="AI94" s="1325"/>
      <c r="AJ94" s="1325"/>
      <c r="AK94" s="1325"/>
      <c r="AL94" s="1325"/>
      <c r="AM94" s="1325"/>
      <c r="AN94" s="1325"/>
      <c r="AO94" s="1325"/>
      <c r="AP94" s="1325"/>
      <c r="AQ94" s="1325"/>
      <c r="AR94" s="1325"/>
      <c r="AS94" s="1325"/>
      <c r="AT94" s="1325"/>
      <c r="AU94" s="1325"/>
      <c r="AV94" s="1643"/>
      <c r="AW94" s="1625"/>
      <c r="AX94" s="1625" t="str">
        <f>IF(T94="","",T94)</f>
        <v>Добавить территорию для дифференциации</v>
      </c>
      <c r="AY94" s="1625"/>
      <c r="AZ94" s="1625"/>
      <c r="BA94" s="1643">
        <v>0</v>
      </c>
    </row>
    <row s="1643" customFormat="1" customHeight="1" ht="1.05">
      <c r="A95" s="1315"/>
      <c r="B95" s="1315"/>
      <c r="C95" s="1315"/>
      <c r="D95" s="1315"/>
      <c r="E95" s="1344"/>
      <c r="F95" s="1315"/>
      <c r="G95" s="1315"/>
      <c r="H95" s="1315"/>
      <c r="I95" s="1315"/>
      <c r="J95" s="1315"/>
      <c r="K95" s="1315"/>
      <c r="L95" s="1340"/>
      <c r="M95" s="1322"/>
      <c r="N95" s="1322"/>
      <c r="P95" s="1317"/>
      <c r="Q95" s="1318"/>
      <c r="R95" s="1317"/>
      <c r="S95" s="1323"/>
      <c r="T95" s="1326" t="s">
        <v>222</v>
      </c>
      <c r="U95" s="1325"/>
      <c r="V95" s="1325"/>
      <c r="W95" s="1325"/>
      <c r="X95" s="1325"/>
      <c r="Y95" s="1325"/>
      <c r="Z95" s="1325"/>
      <c r="AA95" s="1325"/>
      <c r="AB95" s="1325"/>
      <c r="AC95" s="1325"/>
      <c r="AD95" s="1325"/>
      <c r="AE95" s="1325"/>
      <c r="AF95" s="1325"/>
      <c r="AG95" s="1325"/>
      <c r="AH95" s="1325"/>
      <c r="AI95" s="1325"/>
      <c r="AJ95" s="1325"/>
      <c r="AK95" s="1325"/>
      <c r="AL95" s="1325"/>
      <c r="AM95" s="1325"/>
      <c r="AN95" s="1325"/>
      <c r="AO95" s="1325"/>
      <c r="AP95" s="1325"/>
      <c r="AQ95" s="1325"/>
      <c r="AR95" s="1325"/>
      <c r="AS95" s="1325"/>
      <c r="AT95" s="1325"/>
      <c r="AU95" s="1325"/>
      <c r="AW95" s="790"/>
      <c r="AX95" s="790" t="str">
        <f>IF(T95="","",T95)</f>
        <v>Добавить наименование тарифа</v>
      </c>
      <c r="AY95" s="790"/>
      <c r="AZ95" s="790"/>
      <c r="BA95" s="519">
        <v>1</v>
      </c>
    </row>
    <row customHeight="1" ht="11.549999999999999">
      <c r="M96" s="1161"/>
      <c r="N96" s="1161"/>
      <c r="O96" s="538"/>
      <c r="P96" s="1156"/>
      <c r="Q96" s="1156"/>
      <c r="R96" s="1156"/>
      <c r="S96" s="1156"/>
      <c r="AL96" s="1636"/>
      <c r="AM96" s="1636"/>
      <c r="AN96" s="1636"/>
      <c r="AO96" s="1636"/>
      <c r="AP96" s="1636"/>
      <c r="AQ96" s="1636"/>
      <c r="AR96" s="1636"/>
      <c r="AS96" s="5239"/>
      <c r="AV96" s="1156"/>
      <c r="AW96" s="1156"/>
      <c r="AX96" s="1156"/>
      <c r="AY96" s="1156"/>
      <c r="AZ96" s="1156"/>
      <c r="BA96" s="1156">
        <v>11</v>
      </c>
    </row>
    <row customHeight="1" ht="19.95">
      <c r="O97" s="538"/>
      <c r="S97" s="1254"/>
      <c r="T97" s="2286"/>
      <c r="U97" s="2286"/>
      <c r="V97" s="2286"/>
      <c r="W97" s="2286"/>
      <c r="X97" s="2286"/>
      <c r="Y97" s="2286"/>
      <c r="Z97" s="2286"/>
      <c r="AA97" s="2286"/>
      <c r="AB97" s="2286"/>
      <c r="AC97" s="2286"/>
      <c r="AD97" s="2286"/>
      <c r="AE97" s="2286"/>
      <c r="AF97" s="2286"/>
      <c r="AG97" s="2286"/>
      <c r="AH97" s="2286"/>
      <c r="AI97" s="2286"/>
      <c r="AJ97" s="2286"/>
      <c r="AK97" s="2286"/>
      <c r="AL97" s="2386"/>
      <c r="AM97" s="2386"/>
      <c r="AN97" s="2386"/>
      <c r="AO97" s="2386"/>
      <c r="AP97" s="2386"/>
      <c r="AQ97" s="2386"/>
      <c r="AR97" s="2386"/>
      <c r="AS97" s="5290"/>
      <c r="AT97" s="2286"/>
      <c r="AU97" s="2286"/>
      <c r="BA97" s="1156">
        <v>19</v>
      </c>
    </row>
    <row customHeight="1" ht="29.25">
      <c r="O98" s="538"/>
      <c r="T98" s="2286"/>
      <c r="U98" s="2286"/>
      <c r="V98" s="2286"/>
      <c r="W98" s="2286"/>
      <c r="X98" s="2286"/>
      <c r="Y98" s="2286"/>
      <c r="Z98" s="2286"/>
      <c r="AA98" s="2286"/>
      <c r="AB98" s="2286"/>
      <c r="AC98" s="2286"/>
      <c r="AD98" s="2286"/>
      <c r="AE98" s="2286"/>
      <c r="AF98" s="2286"/>
      <c r="AG98" s="2286"/>
      <c r="AH98" s="2286"/>
      <c r="AI98" s="2286"/>
      <c r="AJ98" s="2286"/>
      <c r="AK98" s="2286"/>
      <c r="AL98" s="2386"/>
      <c r="AM98" s="2386"/>
      <c r="AN98" s="2386"/>
      <c r="AO98" s="2386"/>
      <c r="AP98" s="2386"/>
      <c r="AQ98" s="2386"/>
      <c r="AR98" s="2386"/>
      <c r="AS98" s="5290"/>
      <c r="AT98" s="2286"/>
      <c r="AU98" s="2286"/>
      <c r="BA98" s="1156">
        <v>28</v>
      </c>
    </row>
    <row customHeight="1" ht="42">
      <c r="O99" s="538"/>
      <c r="T99" s="2286"/>
      <c r="U99" s="2286"/>
      <c r="V99" s="2286"/>
      <c r="W99" s="2286"/>
      <c r="X99" s="2286"/>
      <c r="Y99" s="2286"/>
      <c r="Z99" s="2286"/>
      <c r="AA99" s="2286"/>
      <c r="AB99" s="2286"/>
      <c r="AC99" s="2286"/>
      <c r="AD99" s="2286"/>
      <c r="AE99" s="2286"/>
      <c r="AF99" s="2286"/>
      <c r="AG99" s="2286"/>
      <c r="AH99" s="2286"/>
      <c r="AI99" s="2286"/>
      <c r="AJ99" s="2286"/>
      <c r="AK99" s="2286"/>
      <c r="AL99" s="2386"/>
      <c r="AM99" s="2386"/>
      <c r="AN99" s="2386"/>
      <c r="AO99" s="2386"/>
      <c r="AP99" s="2386"/>
      <c r="AQ99" s="2386"/>
      <c r="AR99" s="2386"/>
      <c r="AS99" s="5290"/>
      <c r="AT99" s="2286"/>
      <c r="AU99" s="2286"/>
      <c r="BA99" s="1156">
        <v>40</v>
      </c>
    </row>
    <row customHeight="1" ht="14.699999999999998">
      <c r="O100" s="538"/>
      <c r="AL100" s="1636"/>
      <c r="AM100" s="1636"/>
      <c r="AN100" s="1636"/>
      <c r="AO100" s="1636"/>
      <c r="AP100" s="1636"/>
      <c r="AQ100" s="1636"/>
      <c r="AR100" s="1636"/>
      <c r="AS100" s="5239"/>
      <c r="BA100" s="1156">
        <v>14</v>
      </c>
    </row>
    <row customHeight="1" ht="21">
      <c r="O101" s="538"/>
      <c r="S101" s="1254"/>
      <c r="T101" s="2300"/>
      <c r="U101" s="2286"/>
      <c r="V101" s="2286"/>
      <c r="W101" s="2286"/>
      <c r="X101" s="2286"/>
      <c r="Y101" s="2286"/>
      <c r="Z101" s="2286"/>
      <c r="AA101" s="2286"/>
      <c r="AB101" s="2286"/>
      <c r="AC101" s="2286"/>
      <c r="AD101" s="2286"/>
      <c r="AE101" s="2286"/>
      <c r="AF101" s="2286"/>
      <c r="AG101" s="2286"/>
      <c r="AH101" s="2286"/>
      <c r="AI101" s="2286"/>
      <c r="AJ101" s="2286"/>
      <c r="AK101" s="2286"/>
      <c r="AL101" s="2386"/>
      <c r="AM101" s="2386"/>
      <c r="AN101" s="2386"/>
      <c r="AO101" s="2386"/>
      <c r="AP101" s="2386"/>
      <c r="AQ101" s="2386"/>
      <c r="AR101" s="2386"/>
      <c r="AS101" s="5290"/>
      <c r="AT101" s="2286"/>
      <c r="AU101" s="2286"/>
      <c r="BA101" s="1156">
        <v>20</v>
      </c>
    </row>
    <row customHeight="1" ht="29.25">
      <c r="O102" s="538"/>
      <c r="T102" s="2286"/>
      <c r="U102" s="2286"/>
      <c r="V102" s="2286"/>
      <c r="W102" s="2286"/>
      <c r="X102" s="2286"/>
      <c r="Y102" s="2286"/>
      <c r="Z102" s="2286"/>
      <c r="AA102" s="2286"/>
      <c r="AB102" s="2286"/>
      <c r="AC102" s="2286"/>
      <c r="AD102" s="2286"/>
      <c r="AE102" s="2286"/>
      <c r="AF102" s="2286"/>
      <c r="AG102" s="2286"/>
      <c r="AH102" s="2286"/>
      <c r="AI102" s="2286"/>
      <c r="AJ102" s="2286"/>
      <c r="AK102" s="2286"/>
      <c r="AL102" s="2386"/>
      <c r="AM102" s="2386"/>
      <c r="AN102" s="2386"/>
      <c r="AO102" s="2386"/>
      <c r="AP102" s="2386"/>
      <c r="AQ102" s="2386"/>
      <c r="AR102" s="2386"/>
      <c r="AS102" s="5290"/>
      <c r="AT102" s="2286"/>
      <c r="AU102" s="2286"/>
      <c r="BA102" s="1156">
        <v>28</v>
      </c>
    </row>
    <row customHeight="1" ht="35.699999999999996">
      <c r="T103" s="2286"/>
      <c r="U103" s="2286"/>
      <c r="V103" s="2286"/>
      <c r="W103" s="2286"/>
      <c r="X103" s="2286"/>
      <c r="Y103" s="2286"/>
      <c r="Z103" s="2286"/>
      <c r="AA103" s="2286"/>
      <c r="AB103" s="2286"/>
      <c r="AC103" s="2286"/>
      <c r="AD103" s="2286"/>
      <c r="AE103" s="2286"/>
      <c r="AF103" s="2286"/>
      <c r="AG103" s="2286"/>
      <c r="AH103" s="2286"/>
      <c r="AI103" s="2286"/>
      <c r="AJ103" s="2286"/>
      <c r="AK103" s="2286"/>
      <c r="AL103" s="2386"/>
      <c r="AM103" s="2386"/>
      <c r="AN103" s="2386"/>
      <c r="AO103" s="2386"/>
      <c r="AP103" s="2386"/>
      <c r="AQ103" s="2386"/>
      <c r="AR103" s="2386"/>
      <c r="AS103" s="5290"/>
      <c r="AT103" s="2286"/>
      <c r="AU103" s="2286"/>
      <c r="BA103" s="1156">
        <v>34</v>
      </c>
    </row>
    <row customHeight="1" ht="22.5" hidden="1">
      <c r="A104" s="1161" t="s">
        <v>86</v>
      </c>
      <c r="B104" s="1161">
        <v>0</v>
      </c>
      <c r="C104" s="1161">
        <v>0</v>
      </c>
      <c r="D104" s="1161">
        <v>0</v>
      </c>
      <c r="E104" s="1161">
        <v>0</v>
      </c>
      <c r="F104" s="1161">
        <v>0</v>
      </c>
      <c r="G104" s="1161">
        <v>0</v>
      </c>
      <c r="H104" s="1161">
        <v>0</v>
      </c>
      <c r="I104" s="1161">
        <v>0</v>
      </c>
      <c r="J104" s="1161">
        <v>0</v>
      </c>
      <c r="K104" s="1161">
        <v>0</v>
      </c>
      <c r="L104" s="1330">
        <v>0</v>
      </c>
      <c r="M104" s="1363">
        <v>0</v>
      </c>
      <c r="N104" s="1363">
        <v>0</v>
      </c>
      <c r="O104" s="1363">
        <v>0</v>
      </c>
      <c r="P104" s="1329">
        <v>0</v>
      </c>
      <c r="Q104" s="345">
        <v>3</v>
      </c>
      <c r="R104" s="345">
        <v>3</v>
      </c>
      <c r="S104" s="582">
        <v>12</v>
      </c>
      <c r="T104" s="1156">
        <v>31</v>
      </c>
      <c r="U104" s="1156">
        <v>0</v>
      </c>
      <c r="V104" s="1156">
        <v>0</v>
      </c>
      <c r="W104" s="1156">
        <v>0</v>
      </c>
      <c r="X104" s="1156">
        <v>0</v>
      </c>
      <c r="Y104" s="1156">
        <v>0</v>
      </c>
      <c r="Z104" s="1156">
        <v>0</v>
      </c>
      <c r="AA104" s="1156">
        <v>0</v>
      </c>
      <c r="AB104" s="1156">
        <v>0</v>
      </c>
      <c r="AC104" s="1156">
        <v>0</v>
      </c>
      <c r="AD104" s="1156">
        <v>24</v>
      </c>
      <c r="AE104" s="1156">
        <v>0</v>
      </c>
      <c r="AF104" s="1156">
        <v>24</v>
      </c>
      <c r="AG104" s="1156">
        <v>24</v>
      </c>
      <c r="AH104" s="1156">
        <v>11</v>
      </c>
      <c r="AI104" s="1156">
        <v>3</v>
      </c>
      <c r="AJ104" s="1156">
        <v>11</v>
      </c>
      <c r="AK104" s="1156">
        <v>0</v>
      </c>
      <c r="AL104" s="1636">
        <v>0</v>
      </c>
      <c r="AM104" s="1636">
        <v>0</v>
      </c>
      <c r="AN104" s="1636">
        <v>0</v>
      </c>
      <c r="AO104" s="1636">
        <v>0</v>
      </c>
      <c r="AP104" s="1636">
        <v>0</v>
      </c>
      <c r="AQ104" s="1636">
        <v>0</v>
      </c>
      <c r="AR104" s="1636">
        <v>0</v>
      </c>
      <c r="AS104" s="5239">
        <v>0</v>
      </c>
      <c r="AT104" s="1156">
        <v>4</v>
      </c>
      <c r="AU104" s="1156">
        <v>115</v>
      </c>
      <c r="AV104" s="512">
        <v>10</v>
      </c>
      <c r="AW104" s="512">
        <v>10</v>
      </c>
      <c r="AX104" s="512">
        <v>10</v>
      </c>
      <c r="AY104" s="512">
        <v>10</v>
      </c>
      <c r="AZ104" s="512">
        <v>10</v>
      </c>
      <c r="BA104" s="1156">
        <v>23</v>
      </c>
    </row>
  </sheetData>
  <sheetProtection formatColumns="0" formatRows="0" autoFilter="0" sort="0" insertRows="0" insertColumns="1" deleteRows="0" deleteColumns="0"/>
  <mergeCells count="232">
    <mergeCell ref="T102:AU102"/>
    <mergeCell ref="T103:AU103"/>
    <mergeCell ref="S35:T35"/>
    <mergeCell ref="V35:AB35"/>
    <mergeCell ref="AD35:AJ35"/>
    <mergeCell ref="S34:T34"/>
    <mergeCell ref="V34:AB34"/>
    <mergeCell ref="AD34:AJ34"/>
    <mergeCell ref="V2:AC2"/>
    <mergeCell ref="AD2:AT2"/>
    <mergeCell ref="V3:AC3"/>
    <mergeCell ref="AD3:AT3"/>
    <mergeCell ref="V4:AC4"/>
    <mergeCell ref="AD4:AT4"/>
    <mergeCell ref="V5:AC5"/>
    <mergeCell ref="AD5:AT5"/>
    <mergeCell ref="V6:AC6"/>
    <mergeCell ref="AD6:AT6"/>
    <mergeCell ref="V7:AC7"/>
    <mergeCell ref="AD7:AT7"/>
    <mergeCell ref="T101:AU101"/>
    <mergeCell ref="T99:AU99"/>
    <mergeCell ref="AJ49:AJ50"/>
    <mergeCell ref="AK49:AK50"/>
    <mergeCell ref="AU49:AU51"/>
    <mergeCell ref="T97:AU97"/>
    <mergeCell ref="T98:AU98"/>
    <mergeCell ref="AA42:AB42"/>
    <mergeCell ref="AI42:AJ42"/>
    <mergeCell ref="E43:E68"/>
    <mergeCell ref="V43:AC43"/>
    <mergeCell ref="AD43:AT43"/>
    <mergeCell ref="F44:F55"/>
    <mergeCell ref="V44:AC44"/>
    <mergeCell ref="AD44:AT44"/>
    <mergeCell ref="G45:G54"/>
    <mergeCell ref="V45:AC45"/>
    <mergeCell ref="AD45:AT45"/>
    <mergeCell ref="H46:H53"/>
    <mergeCell ref="V46:AC46"/>
    <mergeCell ref="AD46:AT46"/>
    <mergeCell ref="P47:P52"/>
    <mergeCell ref="J48:J51"/>
    <mergeCell ref="Q48:Q51"/>
    <mergeCell ref="V48:AC48"/>
    <mergeCell ref="AD48:AT48"/>
    <mergeCell ref="K49:K50"/>
    <mergeCell ref="Z49:Z50"/>
    <mergeCell ref="AU38:AU41"/>
    <mergeCell ref="S39:S41"/>
    <mergeCell ref="T39:T41"/>
    <mergeCell ref="V39:AB39"/>
    <mergeCell ref="AC39:AC41"/>
    <mergeCell ref="AD39:AJ39"/>
    <mergeCell ref="AK39:AK41"/>
    <mergeCell ref="AT39:AT41"/>
    <mergeCell ref="V40:V41"/>
    <mergeCell ref="W40:W41"/>
    <mergeCell ref="X40:Y40"/>
    <mergeCell ref="Z40:AB40"/>
    <mergeCell ref="AD40:AD41"/>
    <mergeCell ref="AU8:AU10"/>
    <mergeCell ref="AH17:AH18"/>
    <mergeCell ref="AI17:AI18"/>
    <mergeCell ref="AJ17:AJ18"/>
    <mergeCell ref="AK17:AK18"/>
    <mergeCell ref="Z8:Z9"/>
    <mergeCell ref="AA8:AA9"/>
    <mergeCell ref="S29:T29"/>
    <mergeCell ref="S30:T30"/>
    <mergeCell ref="V29:AB29"/>
    <mergeCell ref="AD29:AJ29"/>
    <mergeCell ref="V30:AB30"/>
    <mergeCell ref="AD30:AJ30"/>
    <mergeCell ref="AH8:AH9"/>
    <mergeCell ref="AI8:AI9"/>
    <mergeCell ref="AJ8:AJ9"/>
    <mergeCell ref="AK8:AK9"/>
    <mergeCell ref="AB8:AB9"/>
    <mergeCell ref="AC8:AC9"/>
    <mergeCell ref="I47:I52"/>
    <mergeCell ref="V32:AB32"/>
    <mergeCell ref="E2:E15"/>
    <mergeCell ref="F3:F14"/>
    <mergeCell ref="G4:G13"/>
    <mergeCell ref="H5:H12"/>
    <mergeCell ref="I6:I11"/>
    <mergeCell ref="P6:P11"/>
    <mergeCell ref="J7:J10"/>
    <mergeCell ref="Q7:Q10"/>
    <mergeCell ref="K8:K9"/>
    <mergeCell ref="S31:T31"/>
    <mergeCell ref="V31:AB31"/>
    <mergeCell ref="S32:T32"/>
    <mergeCell ref="AA41:AB41"/>
    <mergeCell ref="V37:AC37"/>
    <mergeCell ref="S38:AT38"/>
    <mergeCell ref="S26:AJ26"/>
    <mergeCell ref="S27:AJ27"/>
    <mergeCell ref="AC49:AC50"/>
    <mergeCell ref="AA49:AA50"/>
    <mergeCell ref="AB49:AB50"/>
    <mergeCell ref="AH49:AH50"/>
    <mergeCell ref="AI49:AI50"/>
    <mergeCell ref="V47:AC47"/>
    <mergeCell ref="AD47:AT47"/>
    <mergeCell ref="AD31:AJ31"/>
    <mergeCell ref="AD32:AJ32"/>
    <mergeCell ref="AE40:AE41"/>
    <mergeCell ref="AF40:AG40"/>
    <mergeCell ref="AH40:AJ40"/>
    <mergeCell ref="AI41:AJ41"/>
    <mergeCell ref="AD37:AK37"/>
    <mergeCell ref="V69:AC69"/>
    <mergeCell ref="AD69:AT69"/>
    <mergeCell ref="V70:AC70"/>
    <mergeCell ref="AD70:AT70"/>
    <mergeCell ref="V71:AC71"/>
    <mergeCell ref="AD71:AT71"/>
    <mergeCell ref="V72:AC72"/>
    <mergeCell ref="AD72:AT72"/>
    <mergeCell ref="V73:AC73"/>
    <mergeCell ref="AD73:AT73"/>
    <mergeCell ref="V74:AC74"/>
    <mergeCell ref="AD74:AT74"/>
    <mergeCell ref="AU75:AU77"/>
    <mergeCell ref="Z75:Z76"/>
    <mergeCell ref="AA75:AA76"/>
    <mergeCell ref="AH75:AH76"/>
    <mergeCell ref="AI75:AI76"/>
    <mergeCell ref="AJ75:AJ76"/>
    <mergeCell ref="AK75:AK76"/>
    <mergeCell ref="AB75:AB76"/>
    <mergeCell ref="AC75:AC76"/>
    <mergeCell ref="E69:E94"/>
    <mergeCell ref="F70:F81"/>
    <mergeCell ref="G71:G80"/>
    <mergeCell ref="H72:H79"/>
    <mergeCell ref="I73:I78"/>
    <mergeCell ref="P73:P78"/>
    <mergeCell ref="J74:J77"/>
    <mergeCell ref="Q74:Q77"/>
    <mergeCell ref="K75:K76"/>
    <mergeCell ref="V56:AC56"/>
    <mergeCell ref="AD56:AT56"/>
    <mergeCell ref="V57:AC57"/>
    <mergeCell ref="AD57:AT57"/>
    <mergeCell ref="V58:AC58"/>
    <mergeCell ref="AD58:AT58"/>
    <mergeCell ref="V59:AC59"/>
    <mergeCell ref="AD59:AT59"/>
    <mergeCell ref="V60:AC60"/>
    <mergeCell ref="AD60:AT60"/>
    <mergeCell ref="AU61:AU63"/>
    <mergeCell ref="Z61:Z62"/>
    <mergeCell ref="AA61:AA62"/>
    <mergeCell ref="AH61:AH62"/>
    <mergeCell ref="AI61:AI62"/>
    <mergeCell ref="AJ61:AJ62"/>
    <mergeCell ref="AK61:AK62"/>
    <mergeCell ref="AB61:AB62"/>
    <mergeCell ref="AC61:AC62"/>
    <mergeCell ref="F56:F67"/>
    <mergeCell ref="G57:G66"/>
    <mergeCell ref="H58:H65"/>
    <mergeCell ref="I59:I64"/>
    <mergeCell ref="P59:P64"/>
    <mergeCell ref="J60:J63"/>
    <mergeCell ref="Q60:Q63"/>
    <mergeCell ref="K61:K62"/>
    <mergeCell ref="V82:AC82"/>
    <mergeCell ref="AD82:AT82"/>
    <mergeCell ref="V83:AC83"/>
    <mergeCell ref="AD83:AT83"/>
    <mergeCell ref="V84:AC84"/>
    <mergeCell ref="AD84:AT84"/>
    <mergeCell ref="V85:AC85"/>
    <mergeCell ref="AD85:AT85"/>
    <mergeCell ref="V86:AC86"/>
    <mergeCell ref="AD86:AT86"/>
    <mergeCell ref="AU87:AU89"/>
    <mergeCell ref="Z87:Z88"/>
    <mergeCell ref="AA87:AA88"/>
    <mergeCell ref="AH87:AH88"/>
    <mergeCell ref="AI87:AI88"/>
    <mergeCell ref="AJ87:AJ88"/>
    <mergeCell ref="AK87:AK88"/>
    <mergeCell ref="AB87:AB88"/>
    <mergeCell ref="AC87:AC88"/>
    <mergeCell ref="F82:F93"/>
    <mergeCell ref="G83:G92"/>
    <mergeCell ref="H84:H91"/>
    <mergeCell ref="I85:I90"/>
    <mergeCell ref="P85:P90"/>
    <mergeCell ref="J86:J89"/>
    <mergeCell ref="Q86:Q89"/>
    <mergeCell ref="K87:K88"/>
    <mergeCell ref="AL35:AR35"/>
    <mergeCell ref="AL34:AR34"/>
    <mergeCell ref="AP8:AP9"/>
    <mergeCell ref="AQ8:AQ9"/>
    <mergeCell ref="AR8:AR9"/>
    <mergeCell ref="AS8:AS9"/>
    <mergeCell ref="AL29:AR29"/>
    <mergeCell ref="AL30:AR30"/>
    <mergeCell ref="AL31:AR31"/>
    <mergeCell ref="AL32:AR32"/>
    <mergeCell ref="AL37:AS37"/>
    <mergeCell ref="AL39:AR39"/>
    <mergeCell ref="AS39:AS41"/>
    <mergeCell ref="AL40:AL41"/>
    <mergeCell ref="AM40:AM41"/>
    <mergeCell ref="AN40:AO40"/>
    <mergeCell ref="AP40:AR40"/>
    <mergeCell ref="AQ41:AR41"/>
    <mergeCell ref="AQ42:AR42"/>
    <mergeCell ref="AP49:AP50"/>
    <mergeCell ref="AQ49:AQ50"/>
    <mergeCell ref="AR49:AR50"/>
    <mergeCell ref="AS49:AS50"/>
    <mergeCell ref="AP61:AP62"/>
    <mergeCell ref="AQ61:AQ62"/>
    <mergeCell ref="AR61:AR62"/>
    <mergeCell ref="AS61:AS62"/>
    <mergeCell ref="AP75:AP76"/>
    <mergeCell ref="AQ75:AQ76"/>
    <mergeCell ref="AR75:AR76"/>
    <mergeCell ref="AS75:AS76"/>
    <mergeCell ref="AP87:AP88"/>
    <mergeCell ref="AQ87:AQ88"/>
    <mergeCell ref="AR87:AR88"/>
    <mergeCell ref="AS87:AS88"/>
  </mergeCells>
  <dataValidations count="8">
    <dataValidation allowBlank="1" sqref="S131161:AU131167 S196697:AU196703 S262233:AU262239 S327769:AU327775 S393305:AU393311 S458841:AU458847 S524377:AU524383 S589913:AU589919 S655449:AU655455 S720985:AU720991 S786521:AU786527 S852057:AU852063 S917593:AU917599 S983129:AU983135 S65625:AU65631"/>
    <dataValidation type="list" allowBlank="1" showInputMessage="1" errorTitle="Ошибка" error="Выберите значение из списка" prompt="Выберите значение из списка" sqref="V983126:AT983126 V65622:AT65622 V131158:AT131158 V196694:AT196694 V262230:AT262230 V327766:AT327766 V393302:AT393302 V458838:AT458838 V524374:AT524374 V589910:AT589910 V655446:AT655446 V720982:AT720982 V786518:AT786518 V852054:AT852054 V917590:AT917590">
      <formula1>kind_of_cons</formula1>
    </dataValidation>
    <dataValidation type="list" allowBlank="1" showInputMessage="1" showErrorMessage="1" errorTitle="Ошибка" error="Выберите значение из списка" sqref="V983125:W983125 V65621:W65621 V131157:W131157 V196693:W196693 V262229:W262229 V327765:W327765 V393301:W393301 V458837:W458837 V524373:W524373 V589909:W589909 V655445:W655445 V720981:W720981 V786517:W786517 V852053:W852053 V917589:W917589 AD983125:AE983125 AD65621:AE65621 AD131157:AE131157 AD196693:AE196693 AD262229:AE262229 AD327765:AE327765 AD393301:AE393301 AD458837:AE458837 AD524373:AE524373 AD589909:AE589909 AD655445:AE655445 AD720981:AE720981 AD786517:AE786517 AD852053:AE852053 AD917589:AE917589">
      <formula1>kind_of_scheme_in</formula1>
    </dataValidation>
    <dataValidation type="textLength" operator="lessThanOrEqual" allowBlank="1" showInputMessage="1" showErrorMessage="1" errorTitle="Ошибка" error="Допускается ввод не более 900 символов!" sqref="AU65617:AU65624 AU131153:AU131160 AU196689:AU196696 AU262225:AU262232 AU327761:AU327768 AU393297:AU393304 AU458833:AU458840 AU524369:AU524376 AU589905:AU589912 AU655441:AU655448 AU720977:AU720984 AU786513:AU786520 AU852049:AU852056 AU917585:AU917592 AU983121:AU983128">
      <formula1>900</formula1>
    </dataValidation>
    <dataValidation type="list" allowBlank="1" showInputMessage="1" showErrorMessage="1" errorTitle="Ошибка" error="Выберите значение из списка" sqref="T65623 T131159 T196695 T262231 T327767 T393303 T458839 T524375 T589911 T655447 T720983 T786519 T852055 T917591 T983127">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623 Z131159 Z196695 Z262231 Z327767 Z393303 Z458839 Z524375 Z589911 Z655447 Z720983 Z786519 Z852055 Z917591 Z983127 AB65623 AB131159 AB196695 AB262231 AB327767 AB393303 AB458839 AB524375 AB589911 AB655447 AB720983 AB786519 AB852055 AB917591 AB983127 Z8 AH65623 AH131159 AH196695 AH262231 AH327767 AH393303 AH458839 AH524375 AH589911 AH655447 AH720983 AH786519 AH852055 AH917591 AH983127 AJ65623 AJ131159 AJ196695 AJ262231 AJ327767 AJ393303 AJ458839 AJ524375 AJ589911 AJ655447 AJ720983 AJ786519 AJ852055 AJ917591 AJ983127 AJ49 AH49 AH8 AJ8 AB8 AH17 AJ17 Z49 AB49 Z75 AB75 AH75 AJ75 Z61 AB61 AH61 AJ61 Z87 AB87 AH87 AJ87 AP8 AR8 AP49 AR49 AP61 AR61 AP75 AR75 AP87 AR87"/>
    <dataValidation allowBlank="1" showInputMessage="1" showErrorMessage="1" prompt="Для выбора выполните двойной щелчок левой клавиши мыши по соответствующей ячейке." sqref="AA65623 AA131159 AA196695 AA262231 AA327767 AA393303 AA458839 AA524375 AA589911 AA655447 AA720983 AA786519 AA852055 AA917591 AA983127 AC131159 AC458839 AC196695 AC262231 AC327767 AC393303 AC524375 AC589911 AC655447 AC720983 AC786519 AC852055 AC917591 AC983127 AC65623 AI65623 AI131159 AI196695 AI262231 AI327767 AI393303 AI458839 AI524375 AI589911 AI655447 AI720983 AI786519 AI852055 AI917591 AI983127 AK393303:AS393303 AK49 AQ49 AS49 AK524375:AS524375 AK8 AQ8 AS8 AK589911:AS589911 AK655447:AS655447 AK17 AK720983:AS720983 AK786519:AS786519 AK852055:AS852055 AK917591:AS917591 AK983127:AS983127 AK65623:AS65623 AK131159:AS131159 AK458839:AS458839 AI49 AK196695:AS196695 AI8 AC8 AA8 AI17 AK262231:AS262231 AA49 AC49 AK327767:AS327767 AA75 AC75 AI75 AK75 AQ75 AS75 AA61 AC61 AI61 AK61 AQ61 AS61 AA87 AC87 AI87 AK87 AQ87 AS87"/>
    <dataValidation allowBlank="1" promptTitle="checkPeriodRange" sqref="Y65624 Y131160 Y196696 Y262232 Y327768 Y393304 Y458840 Y524376 Y589912 Y655448 Y720984 Y786520 Y852056 Y917592 Y983128 Y9 AG65624 AG131160 AG196696 AG262232 AG327768 AG393304 AG458840 AG524376 AG589912 AG655448 AG720984 AG786520 AG852056 AG917592 AG983128 AG9 AG50 AG18 Y50 Y76 AG76 Y62 AG62 Y88 AG88 AO9 AO50 AO62 AO76 AO88"/>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D00BB75-F2A8-9D06-F2D8-03C66675B96D}" mc:Ignorable="x14ac xr xr2 xr3">
  <sheetPr>
    <tabColor theme="6" tint="0.4"/>
  </sheetPr>
  <dimension ref="A1:AS66"/>
  <sheetViews>
    <sheetView showGridLines="0" zoomScale="90" workbookViewId="0">
      <pane xSplit="29" ySplit="42" topLeftCell="AD43" activePane="bottomRight" state="frozen"/>
      <selection pane="bottomLeft" activeCell="A43" sqref="A43"/>
      <selection pane="topRight" activeCell="AD1" sqref="AD1"/>
      <selection pane="bottomRight" activeCell="A1" sqref="A1"/>
    </sheetView>
  </sheetViews>
  <sheetFormatPr defaultColWidth="10.57421875" customHeight="1" defaultRowHeight="14.25"/>
  <cols>
    <col min="1" max="1" style="1367" width="10.57421875" hidden="1"/>
    <col min="2" max="2" style="1367" width="11.00390625" hidden="1" customWidth="1"/>
    <col min="3" max="3" style="1367" width="10.57421875" hidden="1"/>
    <col min="4" max="4" style="1367" width="11.8515625" hidden="1" customWidth="1"/>
    <col min="5" max="5" style="1367" width="10.00390625" hidden="1" customWidth="1"/>
    <col min="6" max="6" style="1367" width="8.7109375" hidden="1" customWidth="1"/>
    <col min="7" max="7" style="1367" width="7.57421875" hidden="1" customWidth="1"/>
    <col min="8" max="8" style="1367" width="11.421875" hidden="1" customWidth="1"/>
    <col min="9" max="9" style="1367" width="12.00390625" hidden="1" customWidth="1"/>
    <col min="10" max="10" style="1367" width="9.8515625" hidden="1" customWidth="1"/>
    <col min="11" max="11" style="1367" width="11.421875" hidden="1" customWidth="1"/>
    <col min="12" max="12" style="2608" width="19.140625" hidden="1" customWidth="1"/>
    <col min="13" max="14" style="1777" width="12.28125" hidden="1" customWidth="1"/>
    <col min="15" max="15" style="1777" width="23.421875" hidden="1" customWidth="1"/>
    <col min="16" max="16" style="2398" width="3.7109375" hidden="1" customWidth="1"/>
    <col min="17" max="18" style="345" width="3.00390625" customWidth="1"/>
    <col min="19" max="19" style="2408" width="12.00390625" customWidth="1"/>
    <col min="20" max="20" style="1636" width="31.00390625" customWidth="1"/>
    <col min="21" max="21" style="1636" width="0.140625" customWidth="1"/>
    <col min="22" max="22" style="1636" width="24.7109375" hidden="1" customWidth="1"/>
    <col min="23" max="23" style="1636" width="0.140625" hidden="1" customWidth="1"/>
    <col min="24" max="25" style="1636" width="24.7109375" hidden="1" customWidth="1"/>
    <col min="26" max="26" style="1636" width="11.7109375" hidden="1" customWidth="1"/>
    <col min="27" max="27" style="1636" width="3.7109375" hidden="1" customWidth="1"/>
    <col min="28" max="28" style="1636" width="11.7109375" hidden="1" customWidth="1"/>
    <col min="29" max="29" style="1636" width="8.57421875" hidden="1" customWidth="1"/>
    <col min="30" max="30" style="1636" width="24.7109375" customWidth="1"/>
    <col min="31" max="31" style="1636" width="0.140625" customWidth="1"/>
    <col min="32" max="33" style="1636" width="24.00390625" customWidth="1"/>
    <col min="34" max="34" style="1636" width="11.00390625" customWidth="1"/>
    <col min="35" max="35" style="1636" width="3.7109375" customWidth="1"/>
    <col min="36" max="36" style="1636" width="11.00390625" customWidth="1"/>
    <col min="37" max="37" style="1636" width="8.57421875" hidden="1" customWidth="1"/>
    <col min="38" max="38" style="1636" width="4.00390625" customWidth="1"/>
    <col min="39" max="39" style="1636" width="115.00390625" customWidth="1"/>
    <col min="40" max="44" style="1643" width="10.00390625" customWidth="1"/>
    <col min="45" max="45" style="1636" width="10.57421875" hidden="1"/>
  </cols>
  <sheetData>
    <row customHeight="1" ht="22.5" hidden="1">
      <c r="A1" s="1872"/>
      <c r="Y1" s="328"/>
      <c r="Z1" s="328"/>
      <c r="AG1" s="328"/>
      <c r="AH1" s="328"/>
      <c r="AS1" s="1156" t="s">
        <v>14</v>
      </c>
    </row>
    <row customHeight="1" ht="21" hidden="1">
      <c r="A2" s="1364"/>
      <c r="B2" s="1364"/>
      <c r="C2" s="1364"/>
      <c r="D2" s="1364"/>
      <c r="E2" s="2259">
        <v>1</v>
      </c>
      <c r="F2" s="1364"/>
      <c r="G2" s="1364"/>
      <c r="H2" s="1364"/>
      <c r="I2" s="1364"/>
      <c r="J2" s="1364"/>
      <c r="K2" s="1364"/>
      <c r="L2" s="1365"/>
      <c r="M2" s="1366"/>
      <c r="N2" s="1366"/>
      <c r="O2" s="1366"/>
      <c r="P2" s="362"/>
      <c r="Q2" s="361"/>
      <c r="R2" s="356"/>
      <c r="S2" s="1337">
        <f>INDEX(PT_DIFFERENTIATION_NUM_NTAR,MATCH(A2,PT_DIFFERENTIATION_NTAR_ID,0))</f>
      </c>
      <c r="T2" s="299" t="s">
        <v>136</v>
      </c>
      <c r="U2" s="301"/>
      <c r="V2" s="2243"/>
      <c r="W2" s="2244"/>
      <c r="X2" s="2244"/>
      <c r="Y2" s="2244"/>
      <c r="Z2" s="2244"/>
      <c r="AA2" s="2244"/>
      <c r="AB2" s="2244"/>
      <c r="AC2" s="2245"/>
      <c r="AD2" s="2243">
        <f>INDEX(PT_DIFFERENTIATION_NTAR,MATCH(A2,PT_DIFFERENTIATION_NTAR_ID,0))</f>
      </c>
      <c r="AE2" s="2244"/>
      <c r="AF2" s="2244"/>
      <c r="AG2" s="2244"/>
      <c r="AH2" s="2244"/>
      <c r="AI2" s="2244"/>
      <c r="AJ2" s="2244"/>
      <c r="AK2" s="2244"/>
      <c r="AL2" s="2245"/>
      <c r="AM2" s="1259" t="s">
        <v>526</v>
      </c>
      <c r="AO2" s="501"/>
      <c r="AP2" s="501" t="str">
        <f>IF(T2="","",T2)</f>
        <v>Наименование тарифа</v>
      </c>
      <c r="AQ2" s="501"/>
      <c r="AR2" s="501"/>
      <c r="AS2" s="1156">
        <v>0</v>
      </c>
    </row>
    <row customHeight="1" ht="21" hidden="1">
      <c r="A3" s="1364"/>
      <c r="B3" s="1364"/>
      <c r="C3" s="1364"/>
      <c r="D3" s="1364"/>
      <c r="E3" s="2260"/>
      <c r="F3" s="2259">
        <v>1</v>
      </c>
      <c r="G3" s="1364"/>
      <c r="H3" s="1364"/>
      <c r="I3" s="1364"/>
      <c r="J3" s="1364"/>
      <c r="K3" s="1364"/>
      <c r="L3" s="1365"/>
      <c r="M3" s="1366"/>
      <c r="N3" s="1366"/>
      <c r="O3" s="1366"/>
      <c r="P3" s="1333"/>
      <c r="Q3" s="353"/>
      <c r="R3" s="354"/>
      <c r="S3" s="1337">
        <f>INDEX(PT_DIFFERENTIATION_NUM_TER,MATCH(B3,PT_DIFFERENTIATION_TER_ID,0))</f>
      </c>
      <c r="T3" s="309" t="s">
        <v>527</v>
      </c>
      <c r="U3" s="301"/>
      <c r="V3" s="2243"/>
      <c r="W3" s="2244"/>
      <c r="X3" s="2244"/>
      <c r="Y3" s="2244"/>
      <c r="Z3" s="2244"/>
      <c r="AA3" s="2244"/>
      <c r="AB3" s="2244"/>
      <c r="AC3" s="2245"/>
      <c r="AD3" s="2243">
        <f>INDEX(PT_DIFFERENTIATION_TER,MATCH(B3,PT_DIFFERENTIATION_TER_ID,0))</f>
      </c>
      <c r="AE3" s="2244"/>
      <c r="AF3" s="2244"/>
      <c r="AG3" s="2244"/>
      <c r="AH3" s="2244"/>
      <c r="AI3" s="2244"/>
      <c r="AJ3" s="2244"/>
      <c r="AK3" s="2244"/>
      <c r="AL3" s="2245"/>
      <c r="AM3" s="1259" t="s">
        <v>528</v>
      </c>
      <c r="AO3" s="501"/>
      <c r="AP3" s="501" t="str">
        <f>IF(T3="","",T3)</f>
        <v>Территория действия тарифа</v>
      </c>
      <c r="AQ3" s="501"/>
      <c r="AR3" s="501"/>
      <c r="AS3" s="1156">
        <v>0</v>
      </c>
    </row>
    <row customHeight="1" ht="23.25" hidden="1">
      <c r="A4" s="1364"/>
      <c r="B4" s="1364"/>
      <c r="C4" s="1364"/>
      <c r="D4" s="1364"/>
      <c r="E4" s="2260"/>
      <c r="F4" s="2260"/>
      <c r="G4" s="2259">
        <v>1</v>
      </c>
      <c r="H4" s="1364"/>
      <c r="I4" s="1364"/>
      <c r="J4" s="1364"/>
      <c r="K4" s="1364"/>
      <c r="L4" s="1365"/>
      <c r="M4" s="1366"/>
      <c r="N4" s="1366"/>
      <c r="O4" s="1366"/>
      <c r="P4" s="355"/>
      <c r="Q4" s="353"/>
      <c r="R4" s="354"/>
      <c r="S4" s="2009">
        <f>INDEX(PT_DIFFERENTIATION_NUM_CS,MATCH(C4,PT_DIFFERENTIATION_CS_ID,0))</f>
      </c>
      <c r="T4" s="2013" t="s">
        <v>529</v>
      </c>
      <c r="U4" s="2014"/>
      <c r="V4" s="2301"/>
      <c r="W4" s="2302"/>
      <c r="X4" s="2302"/>
      <c r="Y4" s="2302"/>
      <c r="Z4" s="2302"/>
      <c r="AA4" s="2302"/>
      <c r="AB4" s="2302"/>
      <c r="AC4" s="2303"/>
      <c r="AD4" s="2301">
        <f>INDEX(PT_DIFFERENTIATION_CS,MATCH(C4,PT_DIFFERENTIATION_CS_ID,0))</f>
      </c>
      <c r="AE4" s="2302"/>
      <c r="AF4" s="2302"/>
      <c r="AG4" s="2302"/>
      <c r="AH4" s="2302"/>
      <c r="AI4" s="2302"/>
      <c r="AJ4" s="2302"/>
      <c r="AK4" s="2302"/>
      <c r="AL4" s="2303"/>
      <c r="AM4" s="1259" t="s">
        <v>530</v>
      </c>
      <c r="AO4" s="501"/>
      <c r="AP4" s="501" t="str">
        <f>IF(T4="","",T4)</f>
        <v>Наименование системы теплоснабжения </v>
      </c>
      <c r="AQ4" s="501"/>
      <c r="AR4" s="501"/>
      <c r="AS4" s="1156">
        <v>0</v>
      </c>
    </row>
    <row customHeight="1" ht="21" hidden="1">
      <c r="A5" s="1364"/>
      <c r="B5" s="1364"/>
      <c r="C5" s="1364"/>
      <c r="D5" s="1364"/>
      <c r="E5" s="2260"/>
      <c r="F5" s="2260"/>
      <c r="G5" s="2260"/>
      <c r="H5" s="2259">
        <v>1</v>
      </c>
      <c r="I5" s="1364"/>
      <c r="J5" s="1364"/>
      <c r="K5" s="1364"/>
      <c r="L5" s="1365"/>
      <c r="M5" s="1366"/>
      <c r="N5" s="1366"/>
      <c r="O5" s="1366"/>
      <c r="P5" s="355"/>
      <c r="Q5" s="353"/>
      <c r="R5" s="1636"/>
      <c r="S5" s="2008">
        <f>INDEX(PT_DIFFERENTIATION_NUM_IST_TE,MATCH(D5,PT_DIFFERENTIATION_IST_TE_ID,0))</f>
      </c>
      <c r="T5" s="311" t="s">
        <v>531</v>
      </c>
      <c r="U5" s="301"/>
      <c r="V5" s="2304"/>
      <c r="W5" s="2304"/>
      <c r="X5" s="2304"/>
      <c r="Y5" s="2304"/>
      <c r="Z5" s="2304"/>
      <c r="AA5" s="2304"/>
      <c r="AB5" s="2304"/>
      <c r="AC5" s="2304"/>
      <c r="AD5" s="2304">
        <f>INDEX(PT_DIFFERENTIATION_IST_TE,MATCH(D5,PT_DIFFERENTIATION_IST_TE_ID,0))</f>
      </c>
      <c r="AE5" s="2304"/>
      <c r="AF5" s="2304"/>
      <c r="AG5" s="2304"/>
      <c r="AH5" s="2304"/>
      <c r="AI5" s="2304"/>
      <c r="AJ5" s="2304"/>
      <c r="AK5" s="2304"/>
      <c r="AL5" s="2304"/>
      <c r="AM5" s="2011" t="s">
        <v>532</v>
      </c>
      <c r="AO5" s="501"/>
      <c r="AP5" s="501" t="str">
        <f>IF(T5="","",T5)</f>
        <v>Источник тепловой энергии  </v>
      </c>
      <c r="AQ5" s="501"/>
      <c r="AR5" s="501"/>
      <c r="AS5" s="1156">
        <v>0</v>
      </c>
    </row>
    <row customHeight="1" ht="0.75" hidden="1">
      <c r="A6" s="1364"/>
      <c r="B6" s="1364"/>
      <c r="C6" s="1364"/>
      <c r="D6" s="1364"/>
      <c r="E6" s="2260"/>
      <c r="F6" s="2260"/>
      <c r="G6" s="2260"/>
      <c r="H6" s="2260"/>
      <c r="I6" s="2257">
        <f>S5&amp;".1"</f>
      </c>
      <c r="J6" s="1364"/>
      <c r="K6" s="1364"/>
      <c r="L6" s="1365" t="s">
        <v>533</v>
      </c>
      <c r="M6" s="538"/>
      <c r="P6" s="2258">
        <v>1</v>
      </c>
      <c r="Q6" s="1332"/>
      <c r="R6" s="2007"/>
      <c r="S6" s="1043"/>
      <c r="T6" s="1384"/>
      <c r="U6" s="1385"/>
      <c r="V6" s="2305"/>
      <c r="W6" s="2305"/>
      <c r="X6" s="2305"/>
      <c r="Y6" s="2305"/>
      <c r="Z6" s="2305"/>
      <c r="AA6" s="2305"/>
      <c r="AB6" s="2305"/>
      <c r="AC6" s="2305"/>
      <c r="AD6" s="2305"/>
      <c r="AE6" s="2305"/>
      <c r="AF6" s="2305"/>
      <c r="AG6" s="2305"/>
      <c r="AH6" s="2305"/>
      <c r="AI6" s="2305"/>
      <c r="AJ6" s="2305"/>
      <c r="AK6" s="2305"/>
      <c r="AL6" s="2305"/>
      <c r="AM6" s="2012"/>
      <c r="AO6" s="501"/>
      <c r="AP6" s="501" t="str">
        <f>IF(T6="","",T6)</f>
        <v/>
      </c>
      <c r="AQ6" s="501"/>
      <c r="AR6" s="501"/>
      <c r="AS6" s="1156">
        <v>0</v>
      </c>
    </row>
    <row customHeight="1" ht="84" hidden="1">
      <c r="A7" s="1364"/>
      <c r="B7" s="1364"/>
      <c r="C7" s="1364"/>
      <c r="D7" s="1364"/>
      <c r="E7" s="2260"/>
      <c r="F7" s="2260"/>
      <c r="G7" s="2260"/>
      <c r="H7" s="2260"/>
      <c r="I7" s="2287"/>
      <c r="J7" s="2257">
        <f>I6&amp;".1"</f>
      </c>
      <c r="K7" s="1364"/>
      <c r="L7" s="1365" t="s">
        <v>536</v>
      </c>
      <c r="M7" s="538"/>
      <c r="N7" s="1367"/>
      <c r="P7" s="2258"/>
      <c r="Q7" s="2258">
        <v>1</v>
      </c>
      <c r="R7" s="1643"/>
      <c r="S7" s="2008">
        <f>$J7</f>
      </c>
      <c r="T7" s="287" t="s">
        <v>537</v>
      </c>
      <c r="U7" s="301"/>
      <c r="V7" s="2306"/>
      <c r="W7" s="2306"/>
      <c r="X7" s="2306"/>
      <c r="Y7" s="2306"/>
      <c r="Z7" s="2306"/>
      <c r="AA7" s="2306"/>
      <c r="AB7" s="2306"/>
      <c r="AC7" s="2306"/>
      <c r="AD7" s="2306"/>
      <c r="AE7" s="2306"/>
      <c r="AF7" s="2306"/>
      <c r="AG7" s="2306"/>
      <c r="AH7" s="2306"/>
      <c r="AI7" s="2306"/>
      <c r="AJ7" s="2306"/>
      <c r="AK7" s="2306"/>
      <c r="AL7" s="2306"/>
      <c r="AM7" s="2011" t="s">
        <v>538</v>
      </c>
      <c r="AO7" s="501"/>
      <c r="AP7" s="501" t="str">
        <f>IF(T7="","",T7)</f>
        <v>Группа потребителей</v>
      </c>
      <c r="AQ7" s="501"/>
      <c r="AR7" s="501"/>
      <c r="AS7" s="1156">
        <v>0</v>
      </c>
    </row>
    <row customHeight="1" ht="11.25" hidden="1">
      <c r="A8" s="1364"/>
      <c r="B8" s="1364"/>
      <c r="C8" s="1364"/>
      <c r="D8" s="1364"/>
      <c r="E8" s="2260"/>
      <c r="F8" s="2260"/>
      <c r="G8" s="2260"/>
      <c r="H8" s="2260"/>
      <c r="I8" s="2287"/>
      <c r="J8" s="2287"/>
      <c r="K8" s="2257">
        <f>J7&amp;".1"</f>
      </c>
      <c r="L8" s="1365" t="s">
        <v>539</v>
      </c>
      <c r="M8" s="538"/>
      <c r="N8" s="1367"/>
      <c r="O8" s="1367"/>
      <c r="P8" s="2258"/>
      <c r="Q8" s="2258"/>
      <c r="R8" s="358">
        <v>1</v>
      </c>
      <c r="S8" s="2010">
        <f>$K8</f>
      </c>
      <c r="T8" s="2015"/>
      <c r="U8" s="2016"/>
      <c r="V8" s="2017"/>
      <c r="W8" s="1350"/>
      <c r="X8" s="2017"/>
      <c r="Y8" s="2018"/>
      <c r="Z8" s="2307"/>
      <c r="AA8" s="2113" t="s">
        <v>65</v>
      </c>
      <c r="AB8" s="2307"/>
      <c r="AC8" s="2113" t="s">
        <v>65</v>
      </c>
      <c r="AD8" s="2017"/>
      <c r="AE8" s="1350"/>
      <c r="AF8" s="2017"/>
      <c r="AG8" s="2018"/>
      <c r="AH8" s="2307"/>
      <c r="AI8" s="2113" t="s">
        <v>65</v>
      </c>
      <c r="AJ8" s="2307"/>
      <c r="AK8" s="2113" t="s">
        <v>65</v>
      </c>
      <c r="AL8" s="1350"/>
      <c r="AM8" s="2254" t="s">
        <v>540</v>
      </c>
      <c r="AN8" s="512">
        <f>STRCHECKDATE(V9:AL9)</f>
      </c>
      <c r="AO8" s="501"/>
      <c r="AP8" s="501" t="str">
        <f>IF(T8="","",T8)</f>
        <v/>
      </c>
      <c r="AQ8" s="501"/>
      <c r="AR8" s="501"/>
      <c r="AS8" s="1156">
        <v>0</v>
      </c>
    </row>
    <row customHeight="1" ht="0.75" hidden="1">
      <c r="A9" s="1364"/>
      <c r="B9" s="1364"/>
      <c r="C9" s="1364"/>
      <c r="D9" s="1364"/>
      <c r="E9" s="2260"/>
      <c r="F9" s="2260"/>
      <c r="G9" s="2260"/>
      <c r="H9" s="2260"/>
      <c r="I9" s="2287"/>
      <c r="J9" s="2287"/>
      <c r="K9" s="2257"/>
      <c r="L9" s="1365"/>
      <c r="M9" s="538"/>
      <c r="N9" s="1367"/>
      <c r="O9" s="1367"/>
      <c r="P9" s="2258"/>
      <c r="Q9" s="2258"/>
      <c r="R9" s="358"/>
      <c r="S9" s="1343"/>
      <c r="T9" s="301"/>
      <c r="U9" s="301"/>
      <c r="V9" s="326"/>
      <c r="W9" s="326"/>
      <c r="X9" s="326"/>
      <c r="Y9" s="329" t="str">
        <f>Z8&amp;"-"&amp;AB8</f>
        <v>-</v>
      </c>
      <c r="Z9" s="2267"/>
      <c r="AA9" s="2108"/>
      <c r="AB9" s="2267"/>
      <c r="AC9" s="2108"/>
      <c r="AD9" s="326"/>
      <c r="AE9" s="326"/>
      <c r="AF9" s="326"/>
      <c r="AG9" s="329" t="str">
        <f>AH8&amp;"-"&amp;AJ8</f>
        <v>-</v>
      </c>
      <c r="AH9" s="2267"/>
      <c r="AI9" s="2108"/>
      <c r="AJ9" s="2267"/>
      <c r="AK9" s="2108"/>
      <c r="AL9" s="326"/>
      <c r="AM9" s="2255"/>
      <c r="AO9" s="501"/>
      <c r="AP9" s="501" t="str">
        <f>IF(T9="","",T9)</f>
        <v/>
      </c>
      <c r="AQ9" s="501"/>
      <c r="AR9" s="501"/>
      <c r="AS9" s="1156">
        <v>0</v>
      </c>
    </row>
    <row customHeight="1" ht="11.25" hidden="1">
      <c r="A10" s="1364"/>
      <c r="B10" s="1364"/>
      <c r="C10" s="1364"/>
      <c r="D10" s="1364"/>
      <c r="E10" s="2260"/>
      <c r="F10" s="2260"/>
      <c r="G10" s="2260"/>
      <c r="H10" s="2260"/>
      <c r="I10" s="2287"/>
      <c r="J10" s="2257"/>
      <c r="K10" s="1364"/>
      <c r="L10" s="1365"/>
      <c r="M10" s="538"/>
      <c r="N10" s="1367"/>
      <c r="P10" s="2258"/>
      <c r="Q10" s="2258"/>
      <c r="R10" s="357"/>
      <c r="S10" s="1279"/>
      <c r="T10" s="288" t="s">
        <v>541</v>
      </c>
      <c r="U10" s="368"/>
      <c r="V10" s="368"/>
      <c r="W10" s="368"/>
      <c r="X10" s="368"/>
      <c r="Y10" s="368"/>
      <c r="Z10" s="368"/>
      <c r="AA10" s="368"/>
      <c r="AB10" s="368"/>
      <c r="AC10" s="368"/>
      <c r="AD10" s="368"/>
      <c r="AE10" s="368"/>
      <c r="AF10" s="368"/>
      <c r="AG10" s="368"/>
      <c r="AH10" s="368"/>
      <c r="AI10" s="368"/>
      <c r="AJ10" s="368"/>
      <c r="AK10" s="368"/>
      <c r="AL10" s="325"/>
      <c r="AM10" s="2256"/>
      <c r="AO10" s="501"/>
      <c r="AP10" s="501" t="str">
        <f>IF(T10="","",T10)</f>
        <v>Добавить вид теплоносителя (параметры теплоносителя)</v>
      </c>
      <c r="AQ10" s="501"/>
      <c r="AR10" s="501"/>
      <c r="AS10" s="1156">
        <v>0</v>
      </c>
    </row>
    <row customHeight="1" ht="11.25" hidden="1">
      <c r="A11" s="1364"/>
      <c r="B11" s="1364"/>
      <c r="C11" s="1364"/>
      <c r="D11" s="1364"/>
      <c r="E11" s="2260"/>
      <c r="F11" s="2260"/>
      <c r="G11" s="2260"/>
      <c r="H11" s="2260"/>
      <c r="I11" s="2257"/>
      <c r="J11" s="1364"/>
      <c r="K11" s="1364"/>
      <c r="L11" s="1365"/>
      <c r="M11" s="538"/>
      <c r="P11" s="2258"/>
      <c r="Q11" s="1332"/>
      <c r="R11" s="357"/>
      <c r="S11" s="1279"/>
      <c r="T11" s="366" t="s">
        <v>542</v>
      </c>
      <c r="U11" s="368"/>
      <c r="V11" s="368"/>
      <c r="W11" s="368"/>
      <c r="X11" s="368"/>
      <c r="Y11" s="368"/>
      <c r="Z11" s="368"/>
      <c r="AA11" s="368"/>
      <c r="AB11" s="368"/>
      <c r="AC11" s="367"/>
      <c r="AD11" s="368"/>
      <c r="AE11" s="368"/>
      <c r="AF11" s="368"/>
      <c r="AG11" s="368"/>
      <c r="AH11" s="368"/>
      <c r="AI11" s="368"/>
      <c r="AJ11" s="368"/>
      <c r="AK11" s="367"/>
      <c r="AL11" s="368"/>
      <c r="AM11" s="304"/>
      <c r="AO11" s="501"/>
      <c r="AP11" s="501" t="str">
        <f>IF(T11="","",T11)</f>
        <v>Добавить группу потребителей</v>
      </c>
      <c r="AQ11" s="501"/>
      <c r="AR11" s="501"/>
      <c r="AS11" s="1156">
        <v>0</v>
      </c>
    </row>
    <row customHeight="1" ht="0.75" hidden="1">
      <c r="A12" s="1364"/>
      <c r="B12" s="1364"/>
      <c r="C12" s="1364"/>
      <c r="D12" s="1364"/>
      <c r="E12" s="2260"/>
      <c r="F12" s="2260"/>
      <c r="G12" s="2260"/>
      <c r="H12" s="2259"/>
      <c r="I12" s="1364"/>
      <c r="J12" s="1364"/>
      <c r="K12" s="1364"/>
      <c r="L12" s="1365"/>
      <c r="M12" s="1366"/>
      <c r="N12" s="1366"/>
      <c r="O12" s="538"/>
      <c r="P12" s="361"/>
      <c r="Q12" s="376"/>
      <c r="R12" s="356"/>
      <c r="S12" s="1387"/>
      <c r="T12" s="1388"/>
      <c r="U12" s="1389"/>
      <c r="V12" s="1389"/>
      <c r="W12" s="1389"/>
      <c r="X12" s="1389"/>
      <c r="Y12" s="1389"/>
      <c r="Z12" s="1389"/>
      <c r="AA12" s="1389"/>
      <c r="AB12" s="1389"/>
      <c r="AC12" s="1389"/>
      <c r="AD12" s="1389"/>
      <c r="AE12" s="1389"/>
      <c r="AF12" s="1389"/>
      <c r="AG12" s="1389"/>
      <c r="AH12" s="1389"/>
      <c r="AI12" s="1389"/>
      <c r="AJ12" s="1389"/>
      <c r="AK12" s="1389"/>
      <c r="AL12" s="1389"/>
      <c r="AM12" s="1390"/>
      <c r="AO12" s="501"/>
      <c r="AP12" s="501" t="str">
        <f>IF(T12="","",T12)</f>
        <v/>
      </c>
      <c r="AQ12" s="501"/>
      <c r="AR12" s="501"/>
      <c r="AS12" s="1156">
        <v>0</v>
      </c>
    </row>
    <row s="1643" customFormat="1" customHeight="1" ht="0.75" hidden="1">
      <c r="A13" s="1315"/>
      <c r="B13" s="1315"/>
      <c r="C13" s="1315"/>
      <c r="D13" s="1315"/>
      <c r="E13" s="2260"/>
      <c r="F13" s="2260"/>
      <c r="G13" s="2259"/>
      <c r="H13" s="1315"/>
      <c r="I13" s="1315"/>
      <c r="J13" s="1315"/>
      <c r="K13" s="1315"/>
      <c r="L13" s="1340"/>
      <c r="M13" s="1316"/>
      <c r="N13" s="1316"/>
      <c r="P13" s="1317"/>
      <c r="Q13" s="1318"/>
      <c r="R13" s="1317"/>
      <c r="S13" s="1319"/>
      <c r="T13" s="1320" t="s">
        <v>177</v>
      </c>
      <c r="U13" s="1321"/>
      <c r="V13" s="1321"/>
      <c r="W13" s="1321"/>
      <c r="X13" s="1321"/>
      <c r="Y13" s="1321"/>
      <c r="Z13" s="1321"/>
      <c r="AA13" s="1321"/>
      <c r="AB13" s="1321"/>
      <c r="AC13" s="1321"/>
      <c r="AD13" s="1321"/>
      <c r="AE13" s="1321"/>
      <c r="AF13" s="1321"/>
      <c r="AG13" s="1321"/>
      <c r="AH13" s="1321"/>
      <c r="AI13" s="1321"/>
      <c r="AJ13" s="1321"/>
      <c r="AK13" s="1321"/>
      <c r="AL13" s="1321"/>
      <c r="AM13" s="1321"/>
      <c r="AO13" s="790"/>
      <c r="AP13" s="790" t="str">
        <f>IF(T13="","",T13)</f>
        <v>Добавить источник для дифференциации</v>
      </c>
      <c r="AQ13" s="790"/>
      <c r="AR13" s="790"/>
      <c r="AS13" s="519">
        <v>0</v>
      </c>
    </row>
    <row s="1643" customFormat="1" customHeight="1" ht="0.75" hidden="1">
      <c r="A14" s="1315"/>
      <c r="B14" s="1315"/>
      <c r="C14" s="1315"/>
      <c r="D14" s="1315"/>
      <c r="E14" s="2260"/>
      <c r="F14" s="2259"/>
      <c r="G14" s="1315"/>
      <c r="H14" s="1315"/>
      <c r="I14" s="1315"/>
      <c r="J14" s="1315"/>
      <c r="K14" s="1315"/>
      <c r="L14" s="1340"/>
      <c r="M14" s="1322"/>
      <c r="N14" s="1322"/>
      <c r="P14" s="1317"/>
      <c r="Q14" s="1318"/>
      <c r="R14" s="1317"/>
      <c r="S14" s="1323"/>
      <c r="T14" s="1324" t="s">
        <v>178</v>
      </c>
      <c r="U14" s="1325"/>
      <c r="V14" s="1325"/>
      <c r="W14" s="1325"/>
      <c r="X14" s="1325"/>
      <c r="Y14" s="1325"/>
      <c r="Z14" s="1325"/>
      <c r="AA14" s="1325"/>
      <c r="AB14" s="1325"/>
      <c r="AC14" s="1325"/>
      <c r="AD14" s="1325"/>
      <c r="AE14" s="1325"/>
      <c r="AF14" s="1325"/>
      <c r="AG14" s="1325"/>
      <c r="AH14" s="1325"/>
      <c r="AI14" s="1325"/>
      <c r="AJ14" s="1325"/>
      <c r="AK14" s="1325"/>
      <c r="AL14" s="1325"/>
      <c r="AM14" s="1325"/>
      <c r="AO14" s="790"/>
      <c r="AP14" s="790" t="str">
        <f>IF(T14="","",T14)</f>
        <v>Добавить централизованную систему для дифференциации</v>
      </c>
      <c r="AQ14" s="790"/>
      <c r="AR14" s="790"/>
      <c r="AS14" s="519">
        <v>0</v>
      </c>
    </row>
    <row s="1643" customFormat="1" customHeight="1" ht="0.75" hidden="1">
      <c r="A15" s="1315"/>
      <c r="B15" s="1315"/>
      <c r="C15" s="1315"/>
      <c r="D15" s="1315"/>
      <c r="E15" s="2259"/>
      <c r="F15" s="1315"/>
      <c r="G15" s="1315"/>
      <c r="H15" s="1315"/>
      <c r="I15" s="1315"/>
      <c r="J15" s="1315"/>
      <c r="K15" s="1315"/>
      <c r="L15" s="1340"/>
      <c r="M15" s="1322"/>
      <c r="N15" s="1322"/>
      <c r="P15" s="1317"/>
      <c r="Q15" s="1318"/>
      <c r="R15" s="1317"/>
      <c r="S15" s="1323"/>
      <c r="T15" s="1326" t="s">
        <v>183</v>
      </c>
      <c r="U15" s="1325"/>
      <c r="V15" s="1325"/>
      <c r="W15" s="1325"/>
      <c r="X15" s="1325"/>
      <c r="Y15" s="1325"/>
      <c r="Z15" s="1325"/>
      <c r="AA15" s="1325"/>
      <c r="AB15" s="1325"/>
      <c r="AC15" s="1325"/>
      <c r="AD15" s="1325"/>
      <c r="AE15" s="1325"/>
      <c r="AF15" s="1325"/>
      <c r="AG15" s="1325"/>
      <c r="AH15" s="1325"/>
      <c r="AI15" s="1325"/>
      <c r="AJ15" s="1325"/>
      <c r="AK15" s="1325"/>
      <c r="AL15" s="1325"/>
      <c r="AM15" s="1325"/>
      <c r="AO15" s="790"/>
      <c r="AP15" s="790" t="str">
        <f>IF(T15="","",T15)</f>
        <v>Добавить территорию для дифференциации</v>
      </c>
      <c r="AQ15" s="790"/>
      <c r="AR15" s="790"/>
      <c r="AS15" s="519">
        <v>0</v>
      </c>
    </row>
    <row customHeight="1" ht="14.25" hidden="1">
      <c r="AC16" s="328"/>
      <c r="AK16" s="328"/>
      <c r="AS16" s="1156">
        <v>0</v>
      </c>
    </row>
    <row customHeight="1" ht="14.25" hidden="1">
      <c r="AD17" s="1361"/>
      <c r="AE17" s="1361"/>
      <c r="AF17" s="1361"/>
      <c r="AG17" s="1362"/>
      <c r="AH17" s="2268"/>
      <c r="AI17" s="2269" t="s">
        <v>65</v>
      </c>
      <c r="AJ17" s="2268"/>
      <c r="AK17" s="2269" t="s">
        <v>65</v>
      </c>
      <c r="AS17" s="1156">
        <v>0</v>
      </c>
    </row>
    <row customHeight="1" ht="14.25" hidden="1">
      <c r="AD18" s="1361"/>
      <c r="AE18" s="1361"/>
      <c r="AF18" s="1361"/>
      <c r="AG18" s="329" t="str">
        <f>AH17&amp;"-"&amp;AJ17</f>
        <v>-</v>
      </c>
      <c r="AH18" s="2269"/>
      <c r="AI18" s="2269"/>
      <c r="AJ18" s="2269"/>
      <c r="AK18" s="2269"/>
      <c r="AS18" s="1156">
        <v>0</v>
      </c>
    </row>
    <row customHeight="1" ht="14.25" hidden="1">
      <c r="AK19" s="328"/>
      <c r="AS19" s="1156">
        <v>0</v>
      </c>
    </row>
    <row s="1367" customFormat="1" customHeight="1" ht="22.5" hidden="1">
      <c r="L20" s="1330"/>
      <c r="M20" s="1363"/>
      <c r="N20" s="1363"/>
      <c r="O20" s="1368" t="s">
        <v>544</v>
      </c>
      <c r="P20" s="1363"/>
      <c r="Q20" s="1372"/>
      <c r="R20" s="1372"/>
      <c r="S20" s="730"/>
      <c r="Z20" s="1368"/>
      <c r="AB20" s="1368"/>
      <c r="AC20" s="1367"/>
      <c r="AH20" s="1368"/>
      <c r="AJ20" s="1368"/>
      <c r="AK20" s="1367"/>
      <c r="AN20" s="512"/>
      <c r="AO20" s="512"/>
      <c r="AP20" s="512"/>
      <c r="AQ20" s="512"/>
      <c r="AR20" s="512"/>
      <c r="AS20" s="1161">
        <v>0</v>
      </c>
    </row>
    <row s="1367" customFormat="1" customHeight="1" ht="14.25" hidden="1">
      <c r="L21" s="1330"/>
      <c r="M21" s="1363"/>
      <c r="N21" s="1363"/>
      <c r="O21" s="1363"/>
      <c r="P21" s="1363"/>
      <c r="Q21" s="1372"/>
      <c r="R21" s="1372"/>
      <c r="S21" s="730"/>
      <c r="AC21" s="1367"/>
      <c r="AK21" s="1367"/>
      <c r="AN21" s="512"/>
      <c r="AO21" s="512"/>
      <c r="AP21" s="512"/>
      <c r="AQ21" s="512"/>
      <c r="AR21" s="512"/>
      <c r="AS21" s="1161">
        <v>0</v>
      </c>
    </row>
    <row s="1367" customFormat="1" customHeight="1" ht="14.25" hidden="1">
      <c r="L22" s="1330"/>
      <c r="M22" s="1363"/>
      <c r="N22" s="1363"/>
      <c r="O22" s="1365" t="s">
        <v>545</v>
      </c>
      <c r="P22" s="1363"/>
      <c r="Q22" s="1372"/>
      <c r="R22" s="1372"/>
      <c r="S22" s="730"/>
      <c r="T22" s="1161" t="s">
        <v>546</v>
      </c>
      <c r="AA22" s="187" t="s">
        <v>547</v>
      </c>
      <c r="AC22" s="187" t="s">
        <v>548</v>
      </c>
      <c r="AD22" s="1161" t="s">
        <v>546</v>
      </c>
      <c r="AI22" s="187" t="s">
        <v>549</v>
      </c>
      <c r="AK22" s="187" t="s">
        <v>548</v>
      </c>
      <c r="AN22" s="512"/>
      <c r="AO22" s="512"/>
      <c r="AP22" s="512"/>
      <c r="AQ22" s="512"/>
      <c r="AR22" s="512"/>
      <c r="AS22" s="1161">
        <v>0</v>
      </c>
    </row>
    <row customHeight="1" ht="14.25" hidden="1">
      <c r="O23" s="1365"/>
      <c r="AS23" s="1156">
        <v>0</v>
      </c>
    </row>
    <row customHeight="1" ht="14.25" hidden="1">
      <c r="O24" s="1365"/>
      <c r="AS24" s="1156">
        <v>0</v>
      </c>
    </row>
    <row customHeight="1" ht="14.699999999999998">
      <c r="Q25" s="377"/>
      <c r="R25" s="377"/>
      <c r="S25" s="1276"/>
      <c r="T25" s="364"/>
      <c r="U25" s="364"/>
      <c r="V25" s="510"/>
      <c r="W25" s="510"/>
      <c r="X25" s="510"/>
      <c r="Y25" s="510"/>
      <c r="Z25" s="510"/>
      <c r="AA25" s="510"/>
      <c r="AB25" s="510"/>
      <c r="AC25" s="510"/>
      <c r="AD25" s="510"/>
      <c r="AE25" s="510"/>
      <c r="AF25" s="510"/>
      <c r="AG25" s="510"/>
      <c r="AH25" s="510"/>
      <c r="AI25" s="510"/>
      <c r="AJ25" s="510"/>
      <c r="AK25" s="510"/>
      <c r="AS25" s="1156">
        <v>14</v>
      </c>
    </row>
    <row customHeight="1" ht="54.75">
      <c r="Q26" s="377"/>
      <c r="R26" s="377"/>
      <c r="S26" s="2308" t="str">
        <f>IF(TEMPLATE_GROUP="P",PT_P_FORM_HEAT_5_NAME_FORM,PT_R_FORM_HEAT_22_NAME_FORM)</f>
        <v>Форма 4. Информация об установленных тарифах на теплоноситель, поставляемый теплоснабжающими организациями потребителям, другим теплоснабжающим организациям, об установленных тарифах на услуги по передаче тепловой энергии, теплоносителя, о тарифах на теплоноситель в виде воды, поставляемый единой теплоснабжающей организацией в ценовых зонах теплоснабжения потребителям и теплоснабжающими организациями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v>
      </c>
      <c r="T26" s="2308"/>
      <c r="U26" s="2308"/>
      <c r="V26" s="2308"/>
      <c r="W26" s="2308"/>
      <c r="X26" s="2308"/>
      <c r="Y26" s="2308"/>
      <c r="Z26" s="2308"/>
      <c r="AA26" s="2308"/>
      <c r="AB26" s="2308"/>
      <c r="AC26" s="2308"/>
      <c r="AD26" s="2308"/>
      <c r="AE26" s="2308"/>
      <c r="AF26" s="2308"/>
      <c r="AG26" s="2308"/>
      <c r="AH26" s="2308"/>
      <c r="AI26" s="2308"/>
      <c r="AJ26" s="2308"/>
      <c r="AK26" s="1244"/>
      <c r="AS26" s="1156">
        <v>52</v>
      </c>
    </row>
    <row customHeight="1" ht="14.699999999999998">
      <c r="Q27" s="377"/>
      <c r="R27" s="377"/>
      <c r="S27" s="2250" t="str">
        <f>IF(org=0,"Не определено",org)</f>
        <v>ПАО "ТГК-1" (филиал "Кольский")</v>
      </c>
      <c r="T27" s="2250"/>
      <c r="U27" s="2250"/>
      <c r="V27" s="2250"/>
      <c r="W27" s="2250"/>
      <c r="X27" s="2250"/>
      <c r="Y27" s="2250"/>
      <c r="Z27" s="2250"/>
      <c r="AA27" s="2250"/>
      <c r="AB27" s="2250"/>
      <c r="AC27" s="2250"/>
      <c r="AD27" s="2250"/>
      <c r="AE27" s="2250"/>
      <c r="AF27" s="2250"/>
      <c r="AG27" s="2250"/>
      <c r="AH27" s="2250"/>
      <c r="AI27" s="2250"/>
      <c r="AJ27" s="2250"/>
      <c r="AK27" s="1244"/>
      <c r="AS27" s="1156">
        <v>14</v>
      </c>
    </row>
    <row customHeight="1" ht="14.25">
      <c r="Q28" s="377"/>
      <c r="R28" s="377"/>
      <c r="S28" s="1276"/>
      <c r="T28" s="364"/>
      <c r="U28" s="364"/>
      <c r="V28" s="323"/>
      <c r="W28" s="323"/>
      <c r="X28" s="323"/>
      <c r="Y28" s="323"/>
      <c r="Z28" s="323"/>
      <c r="AA28" s="323"/>
      <c r="AB28" s="323"/>
      <c r="AC28" s="323"/>
      <c r="AD28" s="323"/>
      <c r="AE28" s="323"/>
      <c r="AF28" s="323"/>
      <c r="AG28" s="323"/>
      <c r="AH28" s="323"/>
      <c r="AI28" s="323"/>
      <c r="AJ28" s="323"/>
      <c r="AK28" s="323"/>
      <c r="AL28" s="510"/>
      <c r="AS28" s="1156">
        <v>0</v>
      </c>
    </row>
    <row s="1854" customFormat="1" customHeight="1" ht="25.5">
      <c r="A29" s="1369"/>
      <c r="B29" s="1369"/>
      <c r="C29" s="1369"/>
      <c r="D29" s="1369"/>
      <c r="E29" s="1369"/>
      <c r="F29" s="1369"/>
      <c r="G29" s="1369"/>
      <c r="H29" s="1369"/>
      <c r="I29" s="1369"/>
      <c r="J29" s="1369"/>
      <c r="K29" s="1369"/>
      <c r="L29" s="1370"/>
      <c r="M29" s="1369"/>
      <c r="N29" s="1369"/>
      <c r="O29" s="1369"/>
      <c r="S29" s="2251" t="s">
        <v>42</v>
      </c>
      <c r="T29" s="2251"/>
      <c r="U29" s="1373"/>
      <c r="V29" s="2252" t="str">
        <f>IF(TITLE_NAME_OR_PR_CHANGE="",IF(TITLE_NAME_OR_PR="","",TITLE_NAME_OR_PR),TITLE_NAME_OR_PR_CHANGE)</f>
        <v>Комитет по тарифному регулированию Мурманской области</v>
      </c>
      <c r="W29" s="2252"/>
      <c r="X29" s="2252"/>
      <c r="Y29" s="2252"/>
      <c r="Z29" s="2252"/>
      <c r="AA29" s="2252"/>
      <c r="AB29" s="2252"/>
      <c r="AC29" s="327"/>
      <c r="AD29" s="2252" t="str">
        <f>IF(TITLE_NAME_OR_PR_CHANGE="",IF(TITLE_NAME_OR_PR="","",TITLE_NAME_OR_PR),TITLE_NAME_OR_PR_CHANGE)</f>
        <v>Комитет по тарифному регулированию Мурманской области</v>
      </c>
      <c r="AE29" s="2252"/>
      <c r="AF29" s="2252"/>
      <c r="AG29" s="2252"/>
      <c r="AH29" s="2252"/>
      <c r="AI29" s="2252"/>
      <c r="AJ29" s="2252"/>
      <c r="AK29" s="327"/>
      <c r="AL29" s="327"/>
      <c r="AM29" s="281"/>
      <c r="AN29" s="369"/>
      <c r="AO29" s="369"/>
      <c r="AP29" s="369"/>
      <c r="AQ29" s="369"/>
      <c r="AR29" s="369"/>
      <c r="AS29" s="419">
        <v>0</v>
      </c>
    </row>
    <row s="1854" customFormat="1" customHeight="1" ht="18.75">
      <c r="A30" s="1369"/>
      <c r="B30" s="1369"/>
      <c r="C30" s="1369"/>
      <c r="D30" s="1369"/>
      <c r="E30" s="1369"/>
      <c r="F30" s="1369"/>
      <c r="G30" s="1369"/>
      <c r="H30" s="1369"/>
      <c r="I30" s="1369"/>
      <c r="J30" s="1369"/>
      <c r="K30" s="1369"/>
      <c r="L30" s="1370"/>
      <c r="M30" s="1369"/>
      <c r="N30" s="1369"/>
      <c r="O30" s="1369"/>
      <c r="S30" s="2251" t="s">
        <v>550</v>
      </c>
      <c r="T30" s="2251"/>
      <c r="U30" s="1373"/>
      <c r="V30" s="2265" t="str">
        <f>IF(TITLE_DATE_PR_CHANGE="",IF(TITLE_DATE_PR="","",TITLE_DATE_PR),TITLE_DATE_PR_CHANGE)</f>
        <v>46010</v>
      </c>
      <c r="W30" s="2265"/>
      <c r="X30" s="2265"/>
      <c r="Y30" s="2265"/>
      <c r="Z30" s="2265"/>
      <c r="AA30" s="2265"/>
      <c r="AB30" s="2265"/>
      <c r="AC30" s="327"/>
      <c r="AD30" s="2265" t="str">
        <f>IF(TITLE_DATE_PR_CHANGE="",IF(TITLE_DATE_PR="","",TITLE_DATE_PR),TITLE_DATE_PR_CHANGE)</f>
        <v>46010</v>
      </c>
      <c r="AE30" s="2265"/>
      <c r="AF30" s="2265"/>
      <c r="AG30" s="2265"/>
      <c r="AH30" s="2265"/>
      <c r="AI30" s="2265"/>
      <c r="AJ30" s="2265"/>
      <c r="AK30" s="327"/>
      <c r="AL30" s="327"/>
      <c r="AM30" s="281"/>
      <c r="AN30" s="369"/>
      <c r="AO30" s="369"/>
      <c r="AP30" s="369"/>
      <c r="AQ30" s="369"/>
      <c r="AR30" s="369"/>
      <c r="AS30" s="419">
        <v>0</v>
      </c>
    </row>
    <row s="1854" customFormat="1" customHeight="1" ht="18.75">
      <c r="A31" s="1369"/>
      <c r="B31" s="1369"/>
      <c r="C31" s="1369"/>
      <c r="D31" s="1369"/>
      <c r="E31" s="1369"/>
      <c r="F31" s="1369"/>
      <c r="G31" s="1369"/>
      <c r="H31" s="1369"/>
      <c r="I31" s="1369"/>
      <c r="J31" s="1369"/>
      <c r="K31" s="1369"/>
      <c r="L31" s="1370"/>
      <c r="M31" s="1369"/>
      <c r="N31" s="1369"/>
      <c r="O31" s="1369"/>
      <c r="S31" s="2251" t="s">
        <v>551</v>
      </c>
      <c r="T31" s="2251"/>
      <c r="U31" s="1373"/>
      <c r="V31" s="2252" t="str">
        <f>IF(TITLE_NUMBER_PR_CHANGE="",IF(TITLE_NUMBER_PR="","",TITLE_NUMBER_PR),TITLE_NUMBER_PR_CHANGE)</f>
        <v>53/77; 53/49</v>
      </c>
      <c r="W31" s="2252"/>
      <c r="X31" s="2252"/>
      <c r="Y31" s="2252"/>
      <c r="Z31" s="2252"/>
      <c r="AA31" s="2252"/>
      <c r="AB31" s="2252"/>
      <c r="AC31" s="327"/>
      <c r="AD31" s="2252" t="str">
        <f>IF(TITLE_NUMBER_PR_CHANGE="",IF(TITLE_NUMBER_PR="","",TITLE_NUMBER_PR),TITLE_NUMBER_PR_CHANGE)</f>
        <v>53/77; 53/49</v>
      </c>
      <c r="AE31" s="2252"/>
      <c r="AF31" s="2252"/>
      <c r="AG31" s="2252"/>
      <c r="AH31" s="2252"/>
      <c r="AI31" s="2252"/>
      <c r="AJ31" s="2252"/>
      <c r="AK31" s="327"/>
      <c r="AL31" s="327"/>
      <c r="AM31" s="281"/>
      <c r="AN31" s="369"/>
      <c r="AO31" s="369"/>
      <c r="AP31" s="369"/>
      <c r="AQ31" s="369"/>
      <c r="AR31" s="369"/>
      <c r="AS31" s="419">
        <v>0</v>
      </c>
    </row>
    <row s="1854" customFormat="1" customHeight="1" ht="18.75">
      <c r="A32" s="1369"/>
      <c r="B32" s="1369"/>
      <c r="C32" s="1369"/>
      <c r="D32" s="1369"/>
      <c r="E32" s="1369"/>
      <c r="F32" s="1369"/>
      <c r="G32" s="1369"/>
      <c r="H32" s="1369"/>
      <c r="I32" s="1369"/>
      <c r="J32" s="1369"/>
      <c r="K32" s="1369"/>
      <c r="L32" s="1370"/>
      <c r="M32" s="1369"/>
      <c r="N32" s="1369"/>
      <c r="O32" s="1369"/>
      <c r="S32" s="2251" t="s">
        <v>44</v>
      </c>
      <c r="T32" s="2251"/>
      <c r="U32" s="1373"/>
      <c r="V32" s="2252" t="str">
        <f>IF(TITLE_IST_PUB_CHANGE="",IF(TITLE_IST_PUB="","",TITLE_IST_PUB),TITLE_IST_PUB_CHANGE)</f>
        <v>Официальный электронный бюллетень Правительства Мурманской области</v>
      </c>
      <c r="W32" s="2252"/>
      <c r="X32" s="2252"/>
      <c r="Y32" s="2252"/>
      <c r="Z32" s="2252"/>
      <c r="AA32" s="2252"/>
      <c r="AB32" s="2252"/>
      <c r="AC32" s="327"/>
      <c r="AD32" s="2252" t="str">
        <f>IF(TITLE_IST_PUB_CHANGE="",IF(TITLE_IST_PUB="","",TITLE_IST_PUB),TITLE_IST_PUB_CHANGE)</f>
        <v>Официальный электронный бюллетень Правительства Мурманской области</v>
      </c>
      <c r="AE32" s="2252"/>
      <c r="AF32" s="2252"/>
      <c r="AG32" s="2252"/>
      <c r="AH32" s="2252"/>
      <c r="AI32" s="2252"/>
      <c r="AJ32" s="2252"/>
      <c r="AK32" s="327"/>
      <c r="AL32" s="327"/>
      <c r="AM32" s="281"/>
      <c r="AN32" s="369"/>
      <c r="AO32" s="369"/>
      <c r="AP32" s="369"/>
      <c r="AQ32" s="369"/>
      <c r="AR32" s="369"/>
      <c r="AS32" s="419">
        <v>0</v>
      </c>
    </row>
    <row customHeight="1" ht="14.25" hidden="1">
      <c r="Q33" s="377"/>
      <c r="R33" s="377"/>
      <c r="S33" s="1276"/>
      <c r="T33" s="364"/>
      <c r="U33" s="364"/>
      <c r="V33" s="323"/>
      <c r="W33" s="323"/>
      <c r="X33" s="323"/>
      <c r="Y33" s="323"/>
      <c r="Z33" s="323"/>
      <c r="AA33" s="323"/>
      <c r="AB33" s="323"/>
      <c r="AC33" s="323"/>
      <c r="AD33" s="323"/>
      <c r="AE33" s="323"/>
      <c r="AF33" s="323"/>
      <c r="AG33" s="323"/>
      <c r="AH33" s="323"/>
      <c r="AI33" s="323"/>
      <c r="AJ33" s="323"/>
      <c r="AK33" s="323"/>
      <c r="AL33" s="510"/>
      <c r="AS33" s="1156">
        <v>0</v>
      </c>
    </row>
    <row s="1854" customFormat="1" customHeight="1" ht="18.75" hidden="1">
      <c r="A34" s="1369"/>
      <c r="B34" s="1369"/>
      <c r="C34" s="1369"/>
      <c r="D34" s="1369"/>
      <c r="E34" s="1369"/>
      <c r="F34" s="1369"/>
      <c r="G34" s="1369"/>
      <c r="H34" s="1369"/>
      <c r="I34" s="1369"/>
      <c r="J34" s="1369"/>
      <c r="K34" s="1369"/>
      <c r="L34" s="1370"/>
      <c r="M34" s="1369"/>
      <c r="N34" s="1369"/>
      <c r="O34" s="1369"/>
      <c r="S34" s="2251" t="s">
        <v>552</v>
      </c>
      <c r="T34" s="2251"/>
      <c r="U34" s="1373"/>
      <c r="V34" s="2265" t="str">
        <f>IF(TITLE_DATE_PR_CHANGE="",IF(TITLE_DATE_PR="","",TITLE_DATE_PR),TITLE_DATE_PR_CHANGE)</f>
        <v>46010</v>
      </c>
      <c r="W34" s="2265"/>
      <c r="X34" s="2265"/>
      <c r="Y34" s="2265"/>
      <c r="Z34" s="2265"/>
      <c r="AA34" s="2265"/>
      <c r="AB34" s="2265"/>
      <c r="AC34" s="327"/>
      <c r="AD34" s="2265" t="str">
        <f>IF(TITLE_DATE_PR_CHANGE="",IF(TITLE_DATE_PR="","",TITLE_DATE_PR),TITLE_DATE_PR_CHANGE)</f>
        <v>46010</v>
      </c>
      <c r="AE34" s="2265"/>
      <c r="AF34" s="2265"/>
      <c r="AG34" s="2265"/>
      <c r="AH34" s="2265"/>
      <c r="AI34" s="2265"/>
      <c r="AJ34" s="2265"/>
      <c r="AK34" s="327"/>
      <c r="AL34" s="327"/>
      <c r="AM34" s="281"/>
      <c r="AN34" s="369"/>
      <c r="AO34" s="369"/>
      <c r="AP34" s="369"/>
      <c r="AQ34" s="369"/>
      <c r="AR34" s="369"/>
      <c r="AS34" s="419">
        <v>0</v>
      </c>
    </row>
    <row s="1854" customFormat="1" customHeight="1" ht="18.75" hidden="1">
      <c r="A35" s="1369"/>
      <c r="B35" s="1369"/>
      <c r="C35" s="1369"/>
      <c r="D35" s="1369"/>
      <c r="E35" s="1369"/>
      <c r="F35" s="1369"/>
      <c r="G35" s="1369"/>
      <c r="H35" s="1369"/>
      <c r="I35" s="1369"/>
      <c r="J35" s="1369"/>
      <c r="K35" s="1369"/>
      <c r="L35" s="1370"/>
      <c r="M35" s="1369"/>
      <c r="N35" s="1369"/>
      <c r="O35" s="1369"/>
      <c r="S35" s="2251" t="s">
        <v>553</v>
      </c>
      <c r="T35" s="2251"/>
      <c r="U35" s="1373"/>
      <c r="V35" s="2252" t="str">
        <f>IF(TITLE_NUMBER_PR_CHANGE="",IF(TITLE_NUMBER_PR="","",TITLE_NUMBER_PR),TITLE_NUMBER_PR_CHANGE)</f>
        <v>53/77; 53/49</v>
      </c>
      <c r="W35" s="2252"/>
      <c r="X35" s="2252"/>
      <c r="Y35" s="2252"/>
      <c r="Z35" s="2252"/>
      <c r="AA35" s="2252"/>
      <c r="AB35" s="2252"/>
      <c r="AC35" s="327"/>
      <c r="AD35" s="2252" t="str">
        <f>IF(TITLE_NUMBER_PR_CHANGE="",IF(TITLE_NUMBER_PR="","",TITLE_NUMBER_PR),TITLE_NUMBER_PR_CHANGE)</f>
        <v>53/77; 53/49</v>
      </c>
      <c r="AE35" s="2252"/>
      <c r="AF35" s="2252"/>
      <c r="AG35" s="2252"/>
      <c r="AH35" s="2252"/>
      <c r="AI35" s="2252"/>
      <c r="AJ35" s="2252"/>
      <c r="AK35" s="327"/>
      <c r="AL35" s="327"/>
      <c r="AM35" s="281"/>
      <c r="AN35" s="369"/>
      <c r="AO35" s="369"/>
      <c r="AP35" s="369"/>
      <c r="AQ35" s="369"/>
      <c r="AR35" s="369"/>
      <c r="AS35" s="419">
        <v>0</v>
      </c>
    </row>
    <row s="1854" customFormat="1" customHeight="1" ht="0">
      <c r="A36" s="1369"/>
      <c r="B36" s="1369"/>
      <c r="C36" s="1369"/>
      <c r="D36" s="1369"/>
      <c r="E36" s="1369"/>
      <c r="F36" s="1369"/>
      <c r="G36" s="1369"/>
      <c r="H36" s="1369"/>
      <c r="I36" s="1369"/>
      <c r="J36" s="1369"/>
      <c r="K36" s="1369"/>
      <c r="L36" s="1370"/>
      <c r="M36" s="1369"/>
      <c r="N36" s="1369"/>
      <c r="O36" s="1369"/>
      <c r="S36" s="324"/>
      <c r="T36" s="324"/>
      <c r="U36" s="1341"/>
      <c r="V36" s="327"/>
      <c r="W36" s="327"/>
      <c r="X36" s="327"/>
      <c r="Y36" s="327"/>
      <c r="Z36" s="327"/>
      <c r="AA36" s="327"/>
      <c r="AB36" s="327"/>
      <c r="AC36" s="279" t="s">
        <v>554</v>
      </c>
      <c r="AD36" s="327"/>
      <c r="AE36" s="327"/>
      <c r="AF36" s="327"/>
      <c r="AG36" s="327"/>
      <c r="AH36" s="327"/>
      <c r="AI36" s="327"/>
      <c r="AJ36" s="327"/>
      <c r="AK36" s="279" t="s">
        <v>554</v>
      </c>
      <c r="AN36" s="369"/>
      <c r="AO36" s="369"/>
      <c r="AP36" s="369"/>
      <c r="AQ36" s="369"/>
      <c r="AR36" s="369"/>
      <c r="AS36" s="419">
        <v>0</v>
      </c>
    </row>
    <row customHeight="1" ht="14.699999999999998">
      <c r="Q37" s="377"/>
      <c r="R37" s="377"/>
      <c r="S37" s="1276"/>
      <c r="T37" s="364"/>
      <c r="U37" s="1245"/>
      <c r="V37" s="2253"/>
      <c r="W37" s="2253"/>
      <c r="X37" s="2253"/>
      <c r="Y37" s="2253"/>
      <c r="Z37" s="2253"/>
      <c r="AA37" s="2253"/>
      <c r="AB37" s="2253"/>
      <c r="AC37" s="2253"/>
      <c r="AD37" s="2253"/>
      <c r="AE37" s="2253"/>
      <c r="AF37" s="2253"/>
      <c r="AG37" s="2253"/>
      <c r="AH37" s="2253"/>
      <c r="AI37" s="2253"/>
      <c r="AJ37" s="2253"/>
      <c r="AK37" s="2253"/>
      <c r="AS37" s="1156">
        <v>14</v>
      </c>
    </row>
    <row customHeight="1" ht="14.699999999999998">
      <c r="Q38" s="377"/>
      <c r="R38" s="377"/>
      <c r="S38" s="2128" t="s">
        <v>430</v>
      </c>
      <c r="T38" s="2128"/>
      <c r="U38" s="2128"/>
      <c r="V38" s="2128"/>
      <c r="W38" s="2128"/>
      <c r="X38" s="2128"/>
      <c r="Y38" s="2128"/>
      <c r="Z38" s="2128"/>
      <c r="AA38" s="2128"/>
      <c r="AB38" s="2128"/>
      <c r="AC38" s="2128"/>
      <c r="AD38" s="2128"/>
      <c r="AE38" s="2128"/>
      <c r="AF38" s="2128"/>
      <c r="AG38" s="2128"/>
      <c r="AH38" s="2128"/>
      <c r="AI38" s="2128"/>
      <c r="AJ38" s="2128"/>
      <c r="AK38" s="2128"/>
      <c r="AL38" s="2128"/>
      <c r="AM38" s="2128" t="s">
        <v>431</v>
      </c>
      <c r="AS38" s="1156">
        <v>14</v>
      </c>
    </row>
    <row customHeight="1" ht="14.699999999999998">
      <c r="Q39" s="377"/>
      <c r="R39" s="377"/>
      <c r="S39" s="2274" t="s">
        <v>92</v>
      </c>
      <c r="T39" s="2210" t="s">
        <v>555</v>
      </c>
      <c r="U39" s="302"/>
      <c r="V39" s="2275" t="s">
        <v>556</v>
      </c>
      <c r="W39" s="2276"/>
      <c r="X39" s="2276"/>
      <c r="Y39" s="2276"/>
      <c r="Z39" s="2276"/>
      <c r="AA39" s="2276"/>
      <c r="AB39" s="2277"/>
      <c r="AC39" s="2278" t="s">
        <v>557</v>
      </c>
      <c r="AD39" s="2275" t="s">
        <v>556</v>
      </c>
      <c r="AE39" s="2276"/>
      <c r="AF39" s="2276"/>
      <c r="AG39" s="2276"/>
      <c r="AH39" s="2276"/>
      <c r="AI39" s="2276"/>
      <c r="AJ39" s="2277"/>
      <c r="AK39" s="2278" t="s">
        <v>558</v>
      </c>
      <c r="AL39" s="2281" t="s">
        <v>559</v>
      </c>
      <c r="AM39" s="2128"/>
      <c r="AS39" s="1156">
        <v>14</v>
      </c>
    </row>
    <row customHeight="1" ht="35.699999999999996">
      <c r="Q40" s="377"/>
      <c r="R40" s="377"/>
      <c r="S40" s="2274"/>
      <c r="T40" s="2210"/>
      <c r="U40" s="1032"/>
      <c r="V40" s="2261" t="s">
        <v>560</v>
      </c>
      <c r="W40" s="2284"/>
      <c r="X40" s="2263" t="s">
        <v>562</v>
      </c>
      <c r="Y40" s="2264"/>
      <c r="Z40" s="2263" t="s">
        <v>563</v>
      </c>
      <c r="AA40" s="2270"/>
      <c r="AB40" s="2264"/>
      <c r="AC40" s="2279"/>
      <c r="AD40" s="2261" t="s">
        <v>580</v>
      </c>
      <c r="AE40" s="2284"/>
      <c r="AF40" s="2263" t="s">
        <v>562</v>
      </c>
      <c r="AG40" s="2264"/>
      <c r="AH40" s="2263" t="s">
        <v>563</v>
      </c>
      <c r="AI40" s="2270"/>
      <c r="AJ40" s="2264"/>
      <c r="AK40" s="2279"/>
      <c r="AL40" s="2282"/>
      <c r="AM40" s="2128"/>
      <c r="AS40" s="1156">
        <v>34</v>
      </c>
    </row>
    <row customHeight="1" ht="35.699999999999996">
      <c r="A41" s="1371"/>
      <c r="B41" s="1371" t="s">
        <v>148</v>
      </c>
      <c r="C41" s="1371" t="s">
        <v>149</v>
      </c>
      <c r="D41" s="1371" t="s">
        <v>150</v>
      </c>
      <c r="E41" s="1365" t="s">
        <v>564</v>
      </c>
      <c r="F41" s="1365" t="s">
        <v>565</v>
      </c>
      <c r="G41" s="1365" t="s">
        <v>566</v>
      </c>
      <c r="H41" s="1365" t="s">
        <v>567</v>
      </c>
      <c r="I41" s="1365" t="s">
        <v>568</v>
      </c>
      <c r="J41" s="1365" t="s">
        <v>569</v>
      </c>
      <c r="K41" s="1365" t="s">
        <v>570</v>
      </c>
      <c r="L41" s="1365" t="s">
        <v>545</v>
      </c>
      <c r="Q41" s="377"/>
      <c r="R41" s="377"/>
      <c r="S41" s="2274"/>
      <c r="T41" s="2210"/>
      <c r="U41" s="303"/>
      <c r="V41" s="2262"/>
      <c r="W41" s="2285"/>
      <c r="X41" s="1223" t="s">
        <v>571</v>
      </c>
      <c r="Y41" s="1223" t="s">
        <v>572</v>
      </c>
      <c r="Z41" s="1339" t="s">
        <v>573</v>
      </c>
      <c r="AA41" s="2271" t="s">
        <v>574</v>
      </c>
      <c r="AB41" s="2272"/>
      <c r="AC41" s="2280"/>
      <c r="AD41" s="2262"/>
      <c r="AE41" s="2285"/>
      <c r="AF41" s="1223" t="s">
        <v>571</v>
      </c>
      <c r="AG41" s="1223" t="s">
        <v>572</v>
      </c>
      <c r="AH41" s="1339" t="s">
        <v>573</v>
      </c>
      <c r="AI41" s="2271" t="s">
        <v>574</v>
      </c>
      <c r="AJ41" s="2272"/>
      <c r="AK41" s="2280"/>
      <c r="AL41" s="2283"/>
      <c r="AM41" s="2128"/>
      <c r="AS41" s="1156">
        <v>34</v>
      </c>
    </row>
    <row s="1642" customFormat="1" customHeight="1" ht="11.25" hidden="1">
      <c r="A42" s="1371"/>
      <c r="B42" s="1371"/>
      <c r="C42" s="1371"/>
      <c r="D42" s="1371"/>
      <c r="E42" s="1371"/>
      <c r="F42" s="1371"/>
      <c r="G42" s="1371"/>
      <c r="H42" s="1371"/>
      <c r="I42" s="1371"/>
      <c r="J42" s="1371"/>
      <c r="K42" s="1371"/>
      <c r="L42" s="1365"/>
      <c r="M42" s="1363"/>
      <c r="N42" s="1363"/>
      <c r="O42" s="1363"/>
      <c r="P42" s="1247"/>
      <c r="Q42" s="1248"/>
      <c r="R42" s="1255">
        <v>1</v>
      </c>
      <c r="S42" s="1278" t="s">
        <v>123</v>
      </c>
      <c r="T42" s="1256" t="s">
        <v>107</v>
      </c>
      <c r="U42" s="1246" t="str">
        <f>OFFSET(U42,0,-1)</f>
        <v>2</v>
      </c>
      <c r="V42" s="1336">
        <f>OFFSET(V42,0,-1)+1</f>
        <v>3</v>
      </c>
      <c r="W42" s="1336"/>
      <c r="X42" s="1336">
        <f>OFFSET(X42,0,-1)+1</f>
        <v>1</v>
      </c>
      <c r="Y42" s="1336">
        <f>OFFSET(Y42,0,-1)+1</f>
        <v>2</v>
      </c>
      <c r="Z42" s="1336">
        <f>OFFSET(Z42,0,-1)+1</f>
        <v>3</v>
      </c>
      <c r="AA42" s="2273">
        <f>OFFSET(AA42,0,-1)+1</f>
        <v>4</v>
      </c>
      <c r="AB42" s="2273"/>
      <c r="AC42" s="1336">
        <f>OFFSET(AC42,0,-2)+1</f>
        <v>5</v>
      </c>
      <c r="AD42" s="1336">
        <f>OFFSET(AD42,0,-1)+1</f>
        <v>6</v>
      </c>
      <c r="AE42" s="1336"/>
      <c r="AF42" s="1336">
        <f>OFFSET(AF42,0,-1)+1</f>
        <v>1</v>
      </c>
      <c r="AG42" s="1336">
        <f>OFFSET(AG42,0,-1)+1</f>
        <v>2</v>
      </c>
      <c r="AH42" s="1336">
        <f>OFFSET(AH42,0,-1)+1</f>
        <v>3</v>
      </c>
      <c r="AI42" s="2273">
        <f>OFFSET(AI42,0,-1)+1</f>
        <v>4</v>
      </c>
      <c r="AJ42" s="2273"/>
      <c r="AK42" s="1336">
        <f>OFFSET(AK42,0,-2)+1</f>
        <v>5</v>
      </c>
      <c r="AL42" s="1246">
        <f>OFFSET(AL42,0,-1)</f>
        <v>5</v>
      </c>
      <c r="AM42" s="1336">
        <f>OFFSET(AM42,0,-1)+1</f>
        <v>6</v>
      </c>
      <c r="AN42" s="512"/>
      <c r="AO42" s="512"/>
      <c r="AP42" s="512"/>
      <c r="AQ42" s="512"/>
      <c r="AR42" s="512"/>
      <c r="AS42" s="497">
        <v>0</v>
      </c>
    </row>
    <row customHeight="1" ht="22.049999999999997">
      <c r="A43" s="1364" t="s">
        <v>304</v>
      </c>
      <c r="B43" s="1364"/>
      <c r="C43" s="1364"/>
      <c r="D43" s="1364"/>
      <c r="E43" s="2259">
        <v>1</v>
      </c>
      <c r="F43" s="1364"/>
      <c r="G43" s="1364"/>
      <c r="H43" s="1364"/>
      <c r="I43" s="1364"/>
      <c r="J43" s="1364"/>
      <c r="K43" s="1364"/>
      <c r="L43" s="1365"/>
      <c r="M43" s="1366"/>
      <c r="N43" s="1366"/>
      <c r="O43" s="1366"/>
      <c r="P43" s="362"/>
      <c r="Q43" s="361"/>
      <c r="R43" s="356"/>
      <c r="S43" s="1337">
        <f>INDEX(PT_DIFFERENTIATION_NUM_NTAR,MATCH(A43,PT_DIFFERENTIATION_NTAR_ID,0))</f>
        <v>0</v>
      </c>
      <c r="T43" s="299" t="s">
        <v>136</v>
      </c>
      <c r="U43" s="301"/>
      <c r="V43" s="2243"/>
      <c r="W43" s="2244"/>
      <c r="X43" s="2244"/>
      <c r="Y43" s="2244"/>
      <c r="Z43" s="2244"/>
      <c r="AA43" s="2244"/>
      <c r="AB43" s="2244"/>
      <c r="AC43" s="2245"/>
      <c r="AD43" s="2243" t="str">
        <f>INDEX(PT_DIFFERENTIATION_NTAR,MATCH(A43,PT_DIFFERENTIATION_NTAR_ID,0))</f>
        <v/>
      </c>
      <c r="AE43" s="2244"/>
      <c r="AF43" s="2244"/>
      <c r="AG43" s="2244"/>
      <c r="AH43" s="2244"/>
      <c r="AI43" s="2244"/>
      <c r="AJ43" s="2244"/>
      <c r="AK43" s="2244"/>
      <c r="AL43" s="2245"/>
      <c r="AM43" s="1259" t="str">
        <f>IF(TEMPLATE_GROUP="P","По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"&amp;"с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"&amp;"2010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"&amp;"теплоснабжения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"&amp;"6 части 1 статьи 23 4 Федерального закона от 27 июля 2010 г. N 190-ФЗ ""О теплоснабжении"".
"&amp;"Для каждого вида тарифа в сфере теплоснабжения форма заполняется отдельно.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цены"&amp;"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"&amp;"В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"&amp;"Федерального закона от 27 июля 2010 г. N 190-ФЗ ""О теплоснабжении"". 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Для каждого вида тарифа в сфере теплоснабжения форма заполняется отдельно.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 (тарифа), источник официального опубликования решения об установлении цены (тарифа) в сфере теплоснабжения.</v>
      </c>
      <c r="AO43" s="501"/>
      <c r="AP43" s="501" t="str">
        <f>IF(T43="","",T43)</f>
        <v>Наименование тарифа</v>
      </c>
      <c r="AQ43" s="501"/>
      <c r="AR43" s="501"/>
      <c r="AS43" s="1156">
        <v>21</v>
      </c>
    </row>
    <row customHeight="1" ht="22.049999999999997">
      <c r="A44" s="1364" t="s">
        <v>304</v>
      </c>
      <c r="B44" s="1364" t="s">
        <v>305</v>
      </c>
      <c r="C44" s="1364"/>
      <c r="D44" s="1364"/>
      <c r="E44" s="2260"/>
      <c r="F44" s="2259">
        <v>1</v>
      </c>
      <c r="G44" s="1364"/>
      <c r="H44" s="1364"/>
      <c r="I44" s="1364"/>
      <c r="J44" s="1364"/>
      <c r="K44" s="1364"/>
      <c r="L44" s="1365"/>
      <c r="M44" s="1366"/>
      <c r="N44" s="1366"/>
      <c r="O44" s="1366"/>
      <c r="P44" s="1333"/>
      <c r="Q44" s="353"/>
      <c r="R44" s="354"/>
      <c r="S44" s="1337" t="str">
        <f>INDEX(PT_DIFFERENTIATION_NUM_TER,MATCH(B44,PT_DIFFERENTIATION_TER_ID,0))</f>
        <v>.</v>
      </c>
      <c r="T44" s="309" t="s">
        <v>527</v>
      </c>
      <c r="U44" s="301"/>
      <c r="V44" s="2243"/>
      <c r="W44" s="2244"/>
      <c r="X44" s="2244"/>
      <c r="Y44" s="2244"/>
      <c r="Z44" s="2244"/>
      <c r="AA44" s="2244"/>
      <c r="AB44" s="2244"/>
      <c r="AC44" s="2245"/>
      <c r="AD44" s="2243" t="str">
        <f>INDEX(PT_DIFFERENTIATION_TER,MATCH(B44,PT_DIFFERENTIATION_TER_ID,0))</f>
        <v/>
      </c>
      <c r="AE44" s="2244"/>
      <c r="AF44" s="2244"/>
      <c r="AG44" s="2244"/>
      <c r="AH44" s="2244"/>
      <c r="AI44" s="2244"/>
      <c r="AJ44" s="2244"/>
      <c r="AK44" s="2244"/>
      <c r="AL44" s="2245"/>
      <c r="AM44" s="1259" t="s">
        <v>528</v>
      </c>
      <c r="AO44" s="501"/>
      <c r="AP44" s="501" t="str">
        <f>IF(T44="","",T44)</f>
        <v>Территория действия тарифа</v>
      </c>
      <c r="AQ44" s="501"/>
      <c r="AR44" s="501"/>
      <c r="AS44" s="1156">
        <v>21</v>
      </c>
    </row>
    <row customHeight="1" ht="24">
      <c r="A45" s="1364" t="s">
        <v>304</v>
      </c>
      <c r="B45" s="1364" t="s">
        <v>305</v>
      </c>
      <c r="C45" s="1364" t="s">
        <v>306</v>
      </c>
      <c r="D45" s="1364"/>
      <c r="E45" s="2260"/>
      <c r="F45" s="2260"/>
      <c r="G45" s="2259">
        <v>1</v>
      </c>
      <c r="H45" s="1364"/>
      <c r="I45" s="1364"/>
      <c r="J45" s="1364"/>
      <c r="K45" s="1364"/>
      <c r="L45" s="1365"/>
      <c r="M45" s="1366"/>
      <c r="N45" s="1366"/>
      <c r="O45" s="1366"/>
      <c r="P45" s="355"/>
      <c r="Q45" s="353"/>
      <c r="R45" s="354"/>
      <c r="S45" s="1337" t="str">
        <f>INDEX(PT_DIFFERENTIATION_NUM_CS,MATCH(C45,PT_DIFFERENTIATION_CS_ID,0))</f>
        <v>..</v>
      </c>
      <c r="T45" s="310" t="s">
        <v>529</v>
      </c>
      <c r="U45" s="301"/>
      <c r="V45" s="2243"/>
      <c r="W45" s="2244"/>
      <c r="X45" s="2244"/>
      <c r="Y45" s="2244"/>
      <c r="Z45" s="2244"/>
      <c r="AA45" s="2244"/>
      <c r="AB45" s="2244"/>
      <c r="AC45" s="2245"/>
      <c r="AD45" s="2243" t="str">
        <f>INDEX(PT_DIFFERENTIATION_CS,MATCH(C45,PT_DIFFERENTIATION_CS_ID,0))</f>
        <v/>
      </c>
      <c r="AE45" s="2244"/>
      <c r="AF45" s="2244"/>
      <c r="AG45" s="2244"/>
      <c r="AH45" s="2244"/>
      <c r="AI45" s="2244"/>
      <c r="AJ45" s="2244"/>
      <c r="AK45" s="2244"/>
      <c r="AL45" s="2245"/>
      <c r="AM45" s="1259" t="s">
        <v>530</v>
      </c>
      <c r="AO45" s="501"/>
      <c r="AP45" s="501" t="str">
        <f>IF(T45="","",T45)</f>
        <v>Наименование системы теплоснабжения </v>
      </c>
      <c r="AQ45" s="501"/>
      <c r="AR45" s="501"/>
      <c r="AS45" s="1156">
        <v>23</v>
      </c>
    </row>
    <row customHeight="1" ht="22.049999999999997">
      <c r="A46" s="1364" t="s">
        <v>304</v>
      </c>
      <c r="B46" s="1364" t="s">
        <v>305</v>
      </c>
      <c r="C46" s="1364" t="s">
        <v>306</v>
      </c>
      <c r="D46" s="1364" t="s">
        <v>307</v>
      </c>
      <c r="E46" s="2260"/>
      <c r="F46" s="2260"/>
      <c r="G46" s="2260"/>
      <c r="H46" s="2259">
        <v>1</v>
      </c>
      <c r="I46" s="1364"/>
      <c r="J46" s="1364"/>
      <c r="K46" s="1364"/>
      <c r="L46" s="1365"/>
      <c r="M46" s="1366"/>
      <c r="N46" s="1366"/>
      <c r="O46" s="1366"/>
      <c r="P46" s="355"/>
      <c r="Q46" s="353"/>
      <c r="R46" s="354"/>
      <c r="S46" s="1337" t="str">
        <f>INDEX(PT_DIFFERENTIATION_NUM_IST_TE,MATCH(D46,PT_DIFFERENTIATION_IST_TE_ID,0))</f>
        <v>...</v>
      </c>
      <c r="T46" s="311" t="s">
        <v>531</v>
      </c>
      <c r="U46" s="301"/>
      <c r="V46" s="2243"/>
      <c r="W46" s="2244"/>
      <c r="X46" s="2244"/>
      <c r="Y46" s="2244"/>
      <c r="Z46" s="2244"/>
      <c r="AA46" s="2244"/>
      <c r="AB46" s="2244"/>
      <c r="AC46" s="2245"/>
      <c r="AD46" s="2243" t="str">
        <f>INDEX(PT_DIFFERENTIATION_IST_TE,MATCH(D46,PT_DIFFERENTIATION_IST_TE_ID,0))</f>
        <v/>
      </c>
      <c r="AE46" s="2244"/>
      <c r="AF46" s="2244"/>
      <c r="AG46" s="2244"/>
      <c r="AH46" s="2244"/>
      <c r="AI46" s="2244"/>
      <c r="AJ46" s="2244"/>
      <c r="AK46" s="2244"/>
      <c r="AL46" s="2245"/>
      <c r="AM46" s="1259" t="s">
        <v>532</v>
      </c>
      <c r="AO46" s="501"/>
      <c r="AP46" s="501" t="str">
        <f>IF(T46="","",T46)</f>
        <v>Источник тепловой энергии  </v>
      </c>
      <c r="AQ46" s="501"/>
      <c r="AR46" s="501"/>
      <c r="AS46" s="1156">
        <v>21</v>
      </c>
    </row>
    <row s="1643" customFormat="1" customHeight="1" ht="0">
      <c r="A47" s="1344" t="s">
        <v>304</v>
      </c>
      <c r="B47" s="1344" t="s">
        <v>305</v>
      </c>
      <c r="C47" s="1344" t="s">
        <v>306</v>
      </c>
      <c r="D47" s="1344" t="s">
        <v>307</v>
      </c>
      <c r="E47" s="2260"/>
      <c r="F47" s="2260"/>
      <c r="G47" s="2260"/>
      <c r="H47" s="2260"/>
      <c r="I47" s="2257" t="str">
        <f>S46&amp;".1"</f>
        <v>....1</v>
      </c>
      <c r="J47" s="1344"/>
      <c r="K47" s="1344"/>
      <c r="L47" s="1347" t="s">
        <v>533</v>
      </c>
      <c r="M47" s="511"/>
      <c r="N47" s="511"/>
      <c r="O47" s="511"/>
      <c r="P47" s="2258">
        <v>1</v>
      </c>
      <c r="Q47" s="1332"/>
      <c r="R47" s="357"/>
      <c r="S47" s="1043"/>
      <c r="T47" s="1384"/>
      <c r="U47" s="1385"/>
      <c r="V47" s="2297"/>
      <c r="W47" s="2298"/>
      <c r="X47" s="2298"/>
      <c r="Y47" s="2298"/>
      <c r="Z47" s="2298"/>
      <c r="AA47" s="2298"/>
      <c r="AB47" s="2298"/>
      <c r="AC47" s="2299"/>
      <c r="AD47" s="2297"/>
      <c r="AE47" s="2298"/>
      <c r="AF47" s="2298"/>
      <c r="AG47" s="2298"/>
      <c r="AH47" s="2298"/>
      <c r="AI47" s="2298"/>
      <c r="AJ47" s="2298"/>
      <c r="AK47" s="2298"/>
      <c r="AL47" s="2299"/>
      <c r="AM47" s="1386"/>
      <c r="AO47" s="501"/>
      <c r="AP47" s="501" t="str">
        <f>IF(T47="","",T47)</f>
        <v/>
      </c>
      <c r="AQ47" s="501"/>
      <c r="AR47" s="501"/>
      <c r="AS47" s="512">
        <v>0</v>
      </c>
    </row>
    <row customHeight="1" ht="22.049999999999997">
      <c r="A48" s="1364" t="s">
        <v>304</v>
      </c>
      <c r="B48" s="1364" t="s">
        <v>305</v>
      </c>
      <c r="C48" s="1364" t="s">
        <v>306</v>
      </c>
      <c r="D48" s="1364" t="s">
        <v>307</v>
      </c>
      <c r="E48" s="2260"/>
      <c r="F48" s="2260"/>
      <c r="G48" s="2260"/>
      <c r="H48" s="2260"/>
      <c r="I48" s="2287"/>
      <c r="J48" s="2257" t="str">
        <f>S46&amp;".1"</f>
        <v>....1</v>
      </c>
      <c r="K48" s="1364"/>
      <c r="L48" s="1365" t="s">
        <v>536</v>
      </c>
      <c r="P48" s="2258"/>
      <c r="Q48" s="2258">
        <v>1</v>
      </c>
      <c r="R48" s="358"/>
      <c r="S48" s="1337" t="str">
        <f>$J48</f>
        <v>....1</v>
      </c>
      <c r="T48" s="287" t="s">
        <v>537</v>
      </c>
      <c r="U48" s="301"/>
      <c r="V48" s="2246"/>
      <c r="W48" s="2247"/>
      <c r="X48" s="2247"/>
      <c r="Y48" s="2247"/>
      <c r="Z48" s="2247"/>
      <c r="AA48" s="2247"/>
      <c r="AB48" s="2247"/>
      <c r="AC48" s="2248"/>
      <c r="AD48" s="2246"/>
      <c r="AE48" s="2247"/>
      <c r="AF48" s="2247"/>
      <c r="AG48" s="2247"/>
      <c r="AH48" s="2247"/>
      <c r="AI48" s="2247"/>
      <c r="AJ48" s="2247"/>
      <c r="AK48" s="2247"/>
      <c r="AL48" s="2248"/>
      <c r="AM48" s="1259" t="s">
        <v>538</v>
      </c>
      <c r="AO48" s="501"/>
      <c r="AP48" s="501" t="str">
        <f>IF(T48="","",T48)</f>
        <v>Группа потребителей</v>
      </c>
      <c r="AQ48" s="501"/>
      <c r="AR48" s="501"/>
      <c r="AS48" s="1156">
        <v>21</v>
      </c>
    </row>
    <row customHeight="1" ht="22.049999999999997">
      <c r="A49" s="1364" t="s">
        <v>304</v>
      </c>
      <c r="B49" s="1364" t="s">
        <v>305</v>
      </c>
      <c r="C49" s="1364" t="s">
        <v>306</v>
      </c>
      <c r="D49" s="1364" t="s">
        <v>307</v>
      </c>
      <c r="E49" s="2260"/>
      <c r="F49" s="2260"/>
      <c r="G49" s="2260"/>
      <c r="H49" s="2260"/>
      <c r="I49" s="2287"/>
      <c r="J49" s="2287"/>
      <c r="K49" s="2257" t="str">
        <f>J48&amp;".1"</f>
        <v>....1.1</v>
      </c>
      <c r="L49" s="1365" t="s">
        <v>539</v>
      </c>
      <c r="P49" s="2258"/>
      <c r="Q49" s="2258"/>
      <c r="R49" s="358">
        <v>1</v>
      </c>
      <c r="S49" s="1337" t="str">
        <f>$K49</f>
        <v>....1.1</v>
      </c>
      <c r="T49" s="1348"/>
      <c r="U49" s="301"/>
      <c r="V49" s="752"/>
      <c r="W49" s="326"/>
      <c r="X49" s="752"/>
      <c r="Y49" s="1258"/>
      <c r="Z49" s="2266"/>
      <c r="AA49" s="2108" t="s">
        <v>65</v>
      </c>
      <c r="AB49" s="2266"/>
      <c r="AC49" s="2108" t="s">
        <v>65</v>
      </c>
      <c r="AD49" s="752"/>
      <c r="AE49" s="326"/>
      <c r="AF49" s="752"/>
      <c r="AG49" s="1258"/>
      <c r="AH49" s="2266"/>
      <c r="AI49" s="2108" t="s">
        <v>65</v>
      </c>
      <c r="AJ49" s="2288"/>
      <c r="AK49" s="2108" t="s">
        <v>65</v>
      </c>
      <c r="AL49" s="1349"/>
      <c r="AM49" s="2254" t="s">
        <v>581</v>
      </c>
      <c r="AN49" s="512">
        <f>STRCHECKDATE(V50:AL50)</f>
      </c>
      <c r="AO49" s="501"/>
      <c r="AP49" s="501" t="str">
        <f>IF(T49="","",T49)</f>
        <v/>
      </c>
      <c r="AQ49" s="501"/>
      <c r="AR49" s="501"/>
      <c r="AS49" s="1156">
        <v>21</v>
      </c>
    </row>
    <row customHeight="1" ht="1.05">
      <c r="A50" s="1364" t="s">
        <v>304</v>
      </c>
      <c r="B50" s="1364" t="s">
        <v>305</v>
      </c>
      <c r="C50" s="1364" t="s">
        <v>306</v>
      </c>
      <c r="D50" s="1364" t="s">
        <v>307</v>
      </c>
      <c r="E50" s="2260"/>
      <c r="F50" s="2260"/>
      <c r="G50" s="2260"/>
      <c r="H50" s="2260"/>
      <c r="I50" s="2287"/>
      <c r="J50" s="2287"/>
      <c r="K50" s="2257"/>
      <c r="L50" s="1365"/>
      <c r="P50" s="2258"/>
      <c r="Q50" s="2258"/>
      <c r="R50" s="358"/>
      <c r="S50" s="1343"/>
      <c r="T50" s="301"/>
      <c r="U50" s="301"/>
      <c r="V50" s="326"/>
      <c r="W50" s="326"/>
      <c r="X50" s="326"/>
      <c r="Y50" s="329" t="str">
        <f>Z49&amp;"-"&amp;AB49</f>
        <v>-</v>
      </c>
      <c r="Z50" s="2267"/>
      <c r="AA50" s="2108"/>
      <c r="AB50" s="2267"/>
      <c r="AC50" s="2108"/>
      <c r="AD50" s="326"/>
      <c r="AE50" s="326"/>
      <c r="AF50" s="326"/>
      <c r="AG50" s="329" t="str">
        <f>AH49&amp;"-"&amp;AJ49</f>
        <v>-</v>
      </c>
      <c r="AH50" s="2267"/>
      <c r="AI50" s="2108"/>
      <c r="AJ50" s="2289"/>
      <c r="AK50" s="2108"/>
      <c r="AL50" s="1350"/>
      <c r="AM50" s="2255"/>
      <c r="AO50" s="501"/>
      <c r="AP50" s="501" t="str">
        <f>IF(T50="","",T50)</f>
        <v/>
      </c>
      <c r="AQ50" s="501"/>
      <c r="AR50" s="501"/>
      <c r="AS50" s="1156">
        <v>1</v>
      </c>
    </row>
    <row customHeight="1" ht="11.549999999999999">
      <c r="A51" s="1364" t="s">
        <v>304</v>
      </c>
      <c r="B51" s="1364" t="s">
        <v>305</v>
      </c>
      <c r="C51" s="1364" t="s">
        <v>306</v>
      </c>
      <c r="D51" s="1364" t="s">
        <v>307</v>
      </c>
      <c r="E51" s="2260"/>
      <c r="F51" s="2260"/>
      <c r="G51" s="2260"/>
      <c r="H51" s="2260"/>
      <c r="I51" s="2287"/>
      <c r="J51" s="2257"/>
      <c r="K51" s="1364"/>
      <c r="L51" s="1365"/>
      <c r="P51" s="2258"/>
      <c r="Q51" s="2258"/>
      <c r="R51" s="357"/>
      <c r="S51" s="1279"/>
      <c r="T51" s="288" t="s">
        <v>541</v>
      </c>
      <c r="U51" s="368"/>
      <c r="V51" s="368"/>
      <c r="W51" s="368"/>
      <c r="X51" s="368"/>
      <c r="Y51" s="368"/>
      <c r="Z51" s="368"/>
      <c r="AA51" s="368"/>
      <c r="AB51" s="368"/>
      <c r="AC51" s="368"/>
      <c r="AD51" s="368"/>
      <c r="AE51" s="368"/>
      <c r="AF51" s="368"/>
      <c r="AG51" s="368"/>
      <c r="AH51" s="368"/>
      <c r="AI51" s="368"/>
      <c r="AJ51" s="368"/>
      <c r="AK51" s="368"/>
      <c r="AL51" s="325"/>
      <c r="AM51" s="2256"/>
      <c r="AO51" s="501"/>
      <c r="AP51" s="501" t="str">
        <f>IF(T51="","",T51)</f>
        <v>Добавить вид теплоносителя (параметры теплоносителя)</v>
      </c>
      <c r="AQ51" s="501"/>
      <c r="AR51" s="501"/>
      <c r="AS51" s="1156">
        <v>11</v>
      </c>
    </row>
    <row customHeight="1" ht="11.549999999999999">
      <c r="A52" s="1364" t="s">
        <v>304</v>
      </c>
      <c r="B52" s="1364" t="s">
        <v>305</v>
      </c>
      <c r="C52" s="1364" t="s">
        <v>306</v>
      </c>
      <c r="D52" s="1364" t="s">
        <v>307</v>
      </c>
      <c r="E52" s="2260"/>
      <c r="F52" s="2260"/>
      <c r="G52" s="2260"/>
      <c r="H52" s="2260"/>
      <c r="I52" s="2257"/>
      <c r="J52" s="1364"/>
      <c r="K52" s="1364"/>
      <c r="L52" s="1365"/>
      <c r="P52" s="2258"/>
      <c r="Q52" s="1332"/>
      <c r="R52" s="357"/>
      <c r="S52" s="1279"/>
      <c r="T52" s="366" t="s">
        <v>542</v>
      </c>
      <c r="U52" s="368"/>
      <c r="V52" s="368"/>
      <c r="W52" s="368"/>
      <c r="X52" s="368"/>
      <c r="Y52" s="368"/>
      <c r="Z52" s="368"/>
      <c r="AA52" s="368"/>
      <c r="AB52" s="368"/>
      <c r="AC52" s="367"/>
      <c r="AD52" s="368"/>
      <c r="AE52" s="368"/>
      <c r="AF52" s="368"/>
      <c r="AG52" s="368"/>
      <c r="AH52" s="368"/>
      <c r="AI52" s="368"/>
      <c r="AJ52" s="368"/>
      <c r="AK52" s="367"/>
      <c r="AL52" s="368"/>
      <c r="AM52" s="304"/>
      <c r="AO52" s="501"/>
      <c r="AP52" s="501" t="str">
        <f>IF(T52="","",T52)</f>
        <v>Добавить группу потребителей</v>
      </c>
      <c r="AQ52" s="501"/>
      <c r="AR52" s="501"/>
      <c r="AS52" s="1156">
        <v>11</v>
      </c>
    </row>
    <row customHeight="1" ht="0">
      <c r="A53" s="1364" t="s">
        <v>304</v>
      </c>
      <c r="B53" s="1364" t="s">
        <v>305</v>
      </c>
      <c r="C53" s="1364" t="s">
        <v>306</v>
      </c>
      <c r="D53" s="1364" t="s">
        <v>307</v>
      </c>
      <c r="E53" s="2260"/>
      <c r="F53" s="2260"/>
      <c r="G53" s="2260"/>
      <c r="H53" s="2259"/>
      <c r="I53" s="1364"/>
      <c r="J53" s="1364"/>
      <c r="K53" s="1364"/>
      <c r="L53" s="1365"/>
      <c r="M53" s="1366"/>
      <c r="N53" s="1366"/>
      <c r="O53" s="538"/>
      <c r="P53" s="361"/>
      <c r="Q53" s="376"/>
      <c r="R53" s="356"/>
      <c r="S53" s="1387"/>
      <c r="T53" s="1388"/>
      <c r="U53" s="1389"/>
      <c r="V53" s="1389"/>
      <c r="W53" s="1389"/>
      <c r="X53" s="1389"/>
      <c r="Y53" s="1389"/>
      <c r="Z53" s="1389"/>
      <c r="AA53" s="1389"/>
      <c r="AB53" s="1389"/>
      <c r="AC53" s="1389"/>
      <c r="AD53" s="1389"/>
      <c r="AE53" s="1389"/>
      <c r="AF53" s="1389"/>
      <c r="AG53" s="1389"/>
      <c r="AH53" s="1389"/>
      <c r="AI53" s="1389"/>
      <c r="AJ53" s="1389"/>
      <c r="AK53" s="1389"/>
      <c r="AL53" s="1389"/>
      <c r="AM53" s="1390"/>
      <c r="AO53" s="501"/>
      <c r="AP53" s="501" t="str">
        <f>IF(T53="","",T53)</f>
        <v/>
      </c>
      <c r="AQ53" s="501"/>
      <c r="AR53" s="501"/>
      <c r="AS53" s="1156">
        <v>0</v>
      </c>
    </row>
    <row s="1643" customFormat="1" customHeight="1" ht="1.05">
      <c r="A54" s="1344" t="s">
        <v>304</v>
      </c>
      <c r="B54" s="1344" t="s">
        <v>305</v>
      </c>
      <c r="C54" s="1344" t="s">
        <v>306</v>
      </c>
      <c r="D54" s="1315"/>
      <c r="E54" s="2260"/>
      <c r="F54" s="2260"/>
      <c r="G54" s="2259"/>
      <c r="H54" s="1315"/>
      <c r="I54" s="1315"/>
      <c r="J54" s="1315"/>
      <c r="K54" s="1315"/>
      <c r="L54" s="1340"/>
      <c r="M54" s="1316"/>
      <c r="N54" s="1316"/>
      <c r="P54" s="1317"/>
      <c r="Q54" s="1318"/>
      <c r="R54" s="1317"/>
      <c r="S54" s="1323"/>
      <c r="T54" s="1326" t="s">
        <v>177</v>
      </c>
      <c r="U54" s="1325"/>
      <c r="V54" s="1325"/>
      <c r="W54" s="1325"/>
      <c r="X54" s="1325"/>
      <c r="Y54" s="1325"/>
      <c r="Z54" s="1325"/>
      <c r="AA54" s="1325"/>
      <c r="AB54" s="1325"/>
      <c r="AC54" s="1325"/>
      <c r="AD54" s="1325"/>
      <c r="AE54" s="1325"/>
      <c r="AF54" s="1325"/>
      <c r="AG54" s="1325"/>
      <c r="AH54" s="1325"/>
      <c r="AI54" s="1325"/>
      <c r="AJ54" s="1325"/>
      <c r="AK54" s="1325"/>
      <c r="AL54" s="1325"/>
      <c r="AM54" s="1325"/>
      <c r="AO54" s="790"/>
      <c r="AP54" s="790" t="str">
        <f>IF(T54="","",T54)</f>
        <v>Добавить источник для дифференциации</v>
      </c>
      <c r="AQ54" s="790"/>
      <c r="AR54" s="790"/>
      <c r="AS54" s="519">
        <v>1</v>
      </c>
    </row>
    <row s="1643" customFormat="1" customHeight="1" ht="1.05">
      <c r="A55" s="1344" t="s">
        <v>304</v>
      </c>
      <c r="B55" s="1344" t="s">
        <v>305</v>
      </c>
      <c r="C55" s="1315"/>
      <c r="D55" s="1315"/>
      <c r="E55" s="2260"/>
      <c r="F55" s="2259"/>
      <c r="G55" s="1315"/>
      <c r="H55" s="1315"/>
      <c r="I55" s="1315"/>
      <c r="J55" s="1315"/>
      <c r="K55" s="1315"/>
      <c r="L55" s="1340"/>
      <c r="M55" s="1322"/>
      <c r="N55" s="1322"/>
      <c r="P55" s="1317"/>
      <c r="Q55" s="1318"/>
      <c r="R55" s="1317"/>
      <c r="S55" s="1323"/>
      <c r="T55" s="1326" t="s">
        <v>178</v>
      </c>
      <c r="U55" s="1325"/>
      <c r="V55" s="1325"/>
      <c r="W55" s="1325"/>
      <c r="X55" s="1325"/>
      <c r="Y55" s="1325"/>
      <c r="Z55" s="1325"/>
      <c r="AA55" s="1325"/>
      <c r="AB55" s="1325"/>
      <c r="AC55" s="1325"/>
      <c r="AD55" s="1325"/>
      <c r="AE55" s="1325"/>
      <c r="AF55" s="1325"/>
      <c r="AG55" s="1325"/>
      <c r="AH55" s="1325"/>
      <c r="AI55" s="1325"/>
      <c r="AJ55" s="1325"/>
      <c r="AK55" s="1325"/>
      <c r="AL55" s="1325"/>
      <c r="AM55" s="1325"/>
      <c r="AO55" s="790"/>
      <c r="AP55" s="790" t="str">
        <f>IF(T55="","",T55)</f>
        <v>Добавить централизованную систему для дифференциации</v>
      </c>
      <c r="AQ55" s="790"/>
      <c r="AR55" s="790"/>
      <c r="AS55" s="519">
        <v>1</v>
      </c>
    </row>
    <row s="1643" customFormat="1" customHeight="1" ht="1.05">
      <c r="A56" s="1344" t="s">
        <v>304</v>
      </c>
      <c r="B56" s="1344"/>
      <c r="C56" s="1344"/>
      <c r="D56" s="1344"/>
      <c r="E56" s="2259"/>
      <c r="F56" s="1344"/>
      <c r="G56" s="1344"/>
      <c r="H56" s="1344"/>
      <c r="I56" s="1344"/>
      <c r="J56" s="1344"/>
      <c r="K56" s="1344"/>
      <c r="L56" s="1347"/>
      <c r="M56" s="1322"/>
      <c r="N56" s="1322"/>
      <c r="O56" s="519"/>
      <c r="P56" s="381"/>
      <c r="Q56" s="1345"/>
      <c r="R56" s="381"/>
      <c r="S56" s="1323"/>
      <c r="T56" s="1326" t="s">
        <v>183</v>
      </c>
      <c r="U56" s="1325"/>
      <c r="V56" s="1325"/>
      <c r="W56" s="1325"/>
      <c r="X56" s="1325"/>
      <c r="Y56" s="1325"/>
      <c r="Z56" s="1325"/>
      <c r="AA56" s="1325"/>
      <c r="AB56" s="1325"/>
      <c r="AC56" s="1325"/>
      <c r="AD56" s="1325"/>
      <c r="AE56" s="1325"/>
      <c r="AF56" s="1325"/>
      <c r="AG56" s="1325"/>
      <c r="AH56" s="1325"/>
      <c r="AI56" s="1325"/>
      <c r="AJ56" s="1325"/>
      <c r="AK56" s="1325"/>
      <c r="AL56" s="1325"/>
      <c r="AM56" s="1325"/>
      <c r="AO56" s="501"/>
      <c r="AP56" s="501" t="str">
        <f>IF(T56="","",T56)</f>
        <v>Добавить территорию для дифференциации</v>
      </c>
      <c r="AQ56" s="501"/>
      <c r="AR56" s="501"/>
      <c r="AS56" s="512">
        <v>1</v>
      </c>
    </row>
    <row s="1643" customFormat="1" customHeight="1" ht="1.05">
      <c r="A57" s="1315"/>
      <c r="B57" s="1315"/>
      <c r="C57" s="1315"/>
      <c r="D57" s="1315"/>
      <c r="E57" s="1344"/>
      <c r="F57" s="1315"/>
      <c r="G57" s="1315"/>
      <c r="H57" s="1315"/>
      <c r="I57" s="1315"/>
      <c r="J57" s="1315"/>
      <c r="K57" s="1315"/>
      <c r="L57" s="1340"/>
      <c r="M57" s="1322"/>
      <c r="N57" s="1322"/>
      <c r="P57" s="1317"/>
      <c r="Q57" s="1318"/>
      <c r="R57" s="1317"/>
      <c r="S57" s="1323"/>
      <c r="T57" s="1326" t="s">
        <v>222</v>
      </c>
      <c r="U57" s="1325"/>
      <c r="V57" s="1325"/>
      <c r="W57" s="1325"/>
      <c r="X57" s="1325"/>
      <c r="Y57" s="1325"/>
      <c r="Z57" s="1325"/>
      <c r="AA57" s="1325"/>
      <c r="AB57" s="1325"/>
      <c r="AC57" s="1325"/>
      <c r="AD57" s="1325"/>
      <c r="AE57" s="1325"/>
      <c r="AF57" s="1325"/>
      <c r="AG57" s="1325"/>
      <c r="AH57" s="1325"/>
      <c r="AI57" s="1325"/>
      <c r="AJ57" s="1325"/>
      <c r="AK57" s="1325"/>
      <c r="AL57" s="1325"/>
      <c r="AM57" s="1325"/>
      <c r="AO57" s="790"/>
      <c r="AP57" s="790" t="str">
        <f>IF(T57="","",T57)</f>
        <v>Добавить наименование тарифа</v>
      </c>
      <c r="AQ57" s="790"/>
      <c r="AR57" s="790"/>
      <c r="AS57" s="519">
        <v>1</v>
      </c>
    </row>
    <row customHeight="1" ht="11.549999999999999">
      <c r="M58" s="1161"/>
      <c r="N58" s="1161"/>
      <c r="O58" s="538"/>
      <c r="P58" s="1156"/>
      <c r="Q58" s="1156"/>
      <c r="R58" s="1156"/>
      <c r="S58" s="1156"/>
      <c r="AN58" s="1156"/>
      <c r="AO58" s="1156"/>
      <c r="AP58" s="1156"/>
      <c r="AQ58" s="1156"/>
      <c r="AR58" s="1156"/>
      <c r="AS58" s="1156">
        <v>11</v>
      </c>
    </row>
    <row customHeight="1" ht="23.25">
      <c r="O59" s="538"/>
      <c r="S59" s="1254"/>
      <c r="T59" s="2286"/>
      <c r="U59" s="2286"/>
      <c r="V59" s="2286"/>
      <c r="W59" s="2286"/>
      <c r="X59" s="2286"/>
      <c r="Y59" s="2286"/>
      <c r="Z59" s="2286"/>
      <c r="AA59" s="2286"/>
      <c r="AB59" s="2286"/>
      <c r="AC59" s="2286"/>
      <c r="AD59" s="2286"/>
      <c r="AE59" s="2286"/>
      <c r="AF59" s="2286"/>
      <c r="AG59" s="2286"/>
      <c r="AH59" s="2286"/>
      <c r="AI59" s="2286"/>
      <c r="AJ59" s="2286"/>
      <c r="AK59" s="2286"/>
      <c r="AL59" s="2286"/>
      <c r="AM59" s="2286"/>
      <c r="AS59" s="1156">
        <v>22</v>
      </c>
    </row>
    <row customHeight="1" ht="30.45">
      <c r="O60" s="538"/>
      <c r="T60" s="2286"/>
      <c r="U60" s="2286"/>
      <c r="V60" s="2286"/>
      <c r="W60" s="2286"/>
      <c r="X60" s="2286"/>
      <c r="Y60" s="2286"/>
      <c r="Z60" s="2286"/>
      <c r="AA60" s="2286"/>
      <c r="AB60" s="2286"/>
      <c r="AC60" s="2286"/>
      <c r="AD60" s="2286"/>
      <c r="AE60" s="2286"/>
      <c r="AF60" s="2286"/>
      <c r="AG60" s="2286"/>
      <c r="AH60" s="2286"/>
      <c r="AI60" s="2286"/>
      <c r="AJ60" s="2286"/>
      <c r="AK60" s="2286"/>
      <c r="AL60" s="2286"/>
      <c r="AM60" s="2286"/>
      <c r="AS60" s="1156">
        <v>29</v>
      </c>
    </row>
    <row customHeight="1" ht="42">
      <c r="O61" s="538"/>
      <c r="T61" s="2286"/>
      <c r="U61" s="2286"/>
      <c r="V61" s="2286"/>
      <c r="W61" s="2286"/>
      <c r="X61" s="2286"/>
      <c r="Y61" s="2286"/>
      <c r="Z61" s="2286"/>
      <c r="AA61" s="2286"/>
      <c r="AB61" s="2286"/>
      <c r="AC61" s="2286"/>
      <c r="AD61" s="2286"/>
      <c r="AE61" s="2286"/>
      <c r="AF61" s="2286"/>
      <c r="AG61" s="2286"/>
      <c r="AH61" s="2286"/>
      <c r="AI61" s="2286"/>
      <c r="AJ61" s="2286"/>
      <c r="AK61" s="2286"/>
      <c r="AL61" s="2286"/>
      <c r="AM61" s="2286"/>
      <c r="AS61" s="1156">
        <v>40</v>
      </c>
    </row>
    <row customHeight="1" ht="14.699999999999998">
      <c r="O62" s="538"/>
      <c r="AS62" s="1156">
        <v>14</v>
      </c>
    </row>
    <row customHeight="1" ht="21">
      <c r="O63" s="538"/>
      <c r="S63" s="1254"/>
      <c r="T63" s="2300"/>
      <c r="U63" s="2286"/>
      <c r="V63" s="2286"/>
      <c r="W63" s="2286"/>
      <c r="X63" s="2286"/>
      <c r="Y63" s="2286"/>
      <c r="Z63" s="2286"/>
      <c r="AA63" s="2286"/>
      <c r="AB63" s="2286"/>
      <c r="AC63" s="2286"/>
      <c r="AD63" s="2286"/>
      <c r="AE63" s="2286"/>
      <c r="AF63" s="2286"/>
      <c r="AG63" s="2286"/>
      <c r="AH63" s="2286"/>
      <c r="AI63" s="2286"/>
      <c r="AJ63" s="2286"/>
      <c r="AK63" s="2286"/>
      <c r="AL63" s="2286"/>
      <c r="AM63" s="2286"/>
      <c r="AS63" s="1156">
        <v>20</v>
      </c>
    </row>
    <row customHeight="1" ht="29.25">
      <c r="O64" s="538"/>
      <c r="T64" s="2286"/>
      <c r="U64" s="2286"/>
      <c r="V64" s="2286"/>
      <c r="W64" s="2286"/>
      <c r="X64" s="2286"/>
      <c r="Y64" s="2286"/>
      <c r="Z64" s="2286"/>
      <c r="AA64" s="2286"/>
      <c r="AB64" s="2286"/>
      <c r="AC64" s="2286"/>
      <c r="AD64" s="2286"/>
      <c r="AE64" s="2286"/>
      <c r="AF64" s="2286"/>
      <c r="AG64" s="2286"/>
      <c r="AH64" s="2286"/>
      <c r="AI64" s="2286"/>
      <c r="AJ64" s="2286"/>
      <c r="AK64" s="2286"/>
      <c r="AL64" s="2286"/>
      <c r="AM64" s="2286"/>
      <c r="AS64" s="1156">
        <v>28</v>
      </c>
    </row>
    <row customHeight="1" ht="35.699999999999996">
      <c r="T65" s="2286"/>
      <c r="U65" s="2286"/>
      <c r="V65" s="2286"/>
      <c r="W65" s="2286"/>
      <c r="X65" s="2286"/>
      <c r="Y65" s="2286"/>
      <c r="Z65" s="2286"/>
      <c r="AA65" s="2286"/>
      <c r="AB65" s="2286"/>
      <c r="AC65" s="2286"/>
      <c r="AD65" s="2286"/>
      <c r="AE65" s="2286"/>
      <c r="AF65" s="2286"/>
      <c r="AG65" s="2286"/>
      <c r="AH65" s="2286"/>
      <c r="AI65" s="2286"/>
      <c r="AJ65" s="2286"/>
      <c r="AK65" s="2286"/>
      <c r="AL65" s="2286"/>
      <c r="AM65" s="2286"/>
      <c r="AS65" s="1156">
        <v>34</v>
      </c>
    </row>
    <row customHeight="1" ht="22.5" hidden="1">
      <c r="A66" s="1161" t="s">
        <v>86</v>
      </c>
      <c r="B66" s="1161">
        <v>0</v>
      </c>
      <c r="C66" s="1161">
        <v>0</v>
      </c>
      <c r="D66" s="1161">
        <v>0</v>
      </c>
      <c r="E66" s="1161">
        <v>0</v>
      </c>
      <c r="F66" s="1161">
        <v>0</v>
      </c>
      <c r="G66" s="1161">
        <v>0</v>
      </c>
      <c r="H66" s="1161">
        <v>0</v>
      </c>
      <c r="I66" s="1161">
        <v>0</v>
      </c>
      <c r="J66" s="1161">
        <v>0</v>
      </c>
      <c r="K66" s="1161">
        <v>0</v>
      </c>
      <c r="L66" s="1330">
        <v>0</v>
      </c>
      <c r="M66" s="1363">
        <v>0</v>
      </c>
      <c r="N66" s="1363">
        <v>0</v>
      </c>
      <c r="O66" s="1363">
        <v>0</v>
      </c>
      <c r="P66" s="1329">
        <v>0</v>
      </c>
      <c r="Q66" s="345">
        <v>3</v>
      </c>
      <c r="R66" s="345">
        <v>3</v>
      </c>
      <c r="S66" s="582">
        <v>12</v>
      </c>
      <c r="T66" s="1156">
        <v>31</v>
      </c>
      <c r="U66" s="1156">
        <v>0</v>
      </c>
      <c r="V66" s="1156">
        <v>0</v>
      </c>
      <c r="W66" s="1156">
        <v>0</v>
      </c>
      <c r="X66" s="1156">
        <v>0</v>
      </c>
      <c r="Y66" s="1156">
        <v>0</v>
      </c>
      <c r="Z66" s="1156">
        <v>0</v>
      </c>
      <c r="AA66" s="1156">
        <v>0</v>
      </c>
      <c r="AB66" s="1156">
        <v>0</v>
      </c>
      <c r="AC66" s="1156">
        <v>0</v>
      </c>
      <c r="AD66" s="1156">
        <v>24</v>
      </c>
      <c r="AE66" s="1156">
        <v>0</v>
      </c>
      <c r="AF66" s="1156">
        <v>24</v>
      </c>
      <c r="AG66" s="1156">
        <v>24</v>
      </c>
      <c r="AH66" s="1156">
        <v>11</v>
      </c>
      <c r="AI66" s="1156">
        <v>3</v>
      </c>
      <c r="AJ66" s="1156">
        <v>11</v>
      </c>
      <c r="AK66" s="1156">
        <v>0</v>
      </c>
      <c r="AL66" s="1156">
        <v>4</v>
      </c>
      <c r="AM66" s="1156">
        <v>115</v>
      </c>
      <c r="AN66" s="512">
        <v>10</v>
      </c>
      <c r="AO66" s="512">
        <v>10</v>
      </c>
      <c r="AP66" s="512">
        <v>10</v>
      </c>
      <c r="AQ66" s="512">
        <v>10</v>
      </c>
      <c r="AR66" s="512">
        <v>10</v>
      </c>
      <c r="AS66" s="1156">
        <v>23</v>
      </c>
    </row>
  </sheetData>
  <sheetProtection formatColumns="0" formatRows="0" autoFilter="0" sort="0" insertRows="0" insertColumns="1" deleteRows="0" deleteColumns="0"/>
  <mergeCells count="113">
    <mergeCell ref="T63:AM63"/>
    <mergeCell ref="T64:AM64"/>
    <mergeCell ref="T65:AM65"/>
    <mergeCell ref="AM49:AM51"/>
    <mergeCell ref="T59:AM59"/>
    <mergeCell ref="T60:AM60"/>
    <mergeCell ref="T61:AM61"/>
    <mergeCell ref="J48:J51"/>
    <mergeCell ref="Q48:Q51"/>
    <mergeCell ref="V48:AC48"/>
    <mergeCell ref="AD48:AL48"/>
    <mergeCell ref="K49:K50"/>
    <mergeCell ref="Z49:Z50"/>
    <mergeCell ref="AA49:AA50"/>
    <mergeCell ref="AB49:AB50"/>
    <mergeCell ref="AC49:AC50"/>
    <mergeCell ref="AH49:AH50"/>
    <mergeCell ref="AI49:AI50"/>
    <mergeCell ref="AJ49:AJ50"/>
    <mergeCell ref="AK49:AK50"/>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V47:AC47"/>
    <mergeCell ref="AD47:AL47"/>
    <mergeCell ref="AH40:AJ40"/>
    <mergeCell ref="AA41:AB41"/>
    <mergeCell ref="AI41:AJ41"/>
    <mergeCell ref="AA42:AB42"/>
    <mergeCell ref="AI42:AJ42"/>
    <mergeCell ref="S38:AL38"/>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E40:AE41"/>
    <mergeCell ref="AF40:AG40"/>
    <mergeCell ref="S32:T32"/>
    <mergeCell ref="V32:AB32"/>
    <mergeCell ref="AD32:AJ32"/>
    <mergeCell ref="V37:AC37"/>
    <mergeCell ref="AD37:AK37"/>
    <mergeCell ref="S34:T34"/>
    <mergeCell ref="V34:AB34"/>
    <mergeCell ref="AD34:AJ34"/>
    <mergeCell ref="S35:T35"/>
    <mergeCell ref="V35:AB35"/>
    <mergeCell ref="AD35:AJ35"/>
    <mergeCell ref="S30:T30"/>
    <mergeCell ref="V30:AB30"/>
    <mergeCell ref="AD30:AJ30"/>
    <mergeCell ref="S31:T31"/>
    <mergeCell ref="V31:AB31"/>
    <mergeCell ref="AD31:AJ31"/>
    <mergeCell ref="S26:AJ26"/>
    <mergeCell ref="S27:AJ27"/>
    <mergeCell ref="S29:T29"/>
    <mergeCell ref="V29:AB29"/>
    <mergeCell ref="AD29:AJ29"/>
    <mergeCell ref="AM8:AM10"/>
    <mergeCell ref="AH17:AH18"/>
    <mergeCell ref="AI17:AI18"/>
    <mergeCell ref="AJ17:AJ18"/>
    <mergeCell ref="AK17:AK18"/>
    <mergeCell ref="J7:J10"/>
    <mergeCell ref="Q7:Q10"/>
    <mergeCell ref="V7:AC7"/>
    <mergeCell ref="AD7:AL7"/>
    <mergeCell ref="K8:K9"/>
    <mergeCell ref="Z8:Z9"/>
    <mergeCell ref="AA8:AA9"/>
    <mergeCell ref="AB8:AB9"/>
    <mergeCell ref="AC8:AC9"/>
    <mergeCell ref="AH8:AH9"/>
    <mergeCell ref="AI8:AI9"/>
    <mergeCell ref="AJ8:AJ9"/>
    <mergeCell ref="AK8:AK9"/>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s>
  <dataValidations count="8">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49 AK524337 AK8 AK589873 AK655409 AK17 AK720945 AK786481 AK852017 AK917553 AK983089 AK65585 AK131121 AK458801 AK196657 AI49 AK262193 AI8 AC8 AA8 AI17 AK327729 AA49 AC49 AK393265"/>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Y50 AG18 AG50"/>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C69C63F-C678-5546-CC08-CF8C0209E918}" mc:Ignorable="x14ac xr xr2 xr3">
  <sheetPr>
    <tabColor theme="6" tint="0.4"/>
  </sheetPr>
  <dimension ref="A1:AS66"/>
  <sheetViews>
    <sheetView showGridLines="0" zoomScale="90" workbookViewId="0">
      <pane xSplit="29" ySplit="42" topLeftCell="AD43" activePane="bottomRight" state="frozen"/>
      <selection pane="bottomLeft" activeCell="A43" sqref="A43"/>
      <selection pane="topRight" activeCell="AD1" sqref="AD1"/>
      <selection pane="bottomRight" activeCell="A1" sqref="A1"/>
    </sheetView>
  </sheetViews>
  <sheetFormatPr defaultColWidth="10.57421875" customHeight="1" defaultRowHeight="14.25"/>
  <cols>
    <col min="1" max="1" style="1367" width="10.57421875" hidden="1"/>
    <col min="2" max="2" style="1367" width="11.00390625" hidden="1" customWidth="1"/>
    <col min="3" max="3" style="1367" width="10.57421875" hidden="1"/>
    <col min="4" max="4" style="1367" width="11.8515625" hidden="1" customWidth="1"/>
    <col min="5" max="5" style="1367" width="10.00390625" hidden="1" customWidth="1"/>
    <col min="6" max="6" style="1367" width="8.7109375" hidden="1" customWidth="1"/>
    <col min="7" max="7" style="1367" width="7.57421875" hidden="1" customWidth="1"/>
    <col min="8" max="8" style="1367" width="11.421875" hidden="1" customWidth="1"/>
    <col min="9" max="9" style="1367" width="12.00390625" hidden="1" customWidth="1"/>
    <col min="10" max="10" style="1367" width="9.8515625" hidden="1" customWidth="1"/>
    <col min="11" max="11" style="1367" width="11.421875" hidden="1" customWidth="1"/>
    <col min="12" max="12" style="2608" width="19.140625" hidden="1" customWidth="1"/>
    <col min="13" max="14" style="1777" width="12.28125" hidden="1" customWidth="1"/>
    <col min="15" max="15" style="1777" width="23.421875" hidden="1" customWidth="1"/>
    <col min="16" max="16" style="2398" width="3.7109375" hidden="1" customWidth="1"/>
    <col min="17" max="18" style="345" width="3.00390625" customWidth="1"/>
    <col min="19" max="19" style="2408" width="12.00390625" customWidth="1"/>
    <col min="20" max="20" style="1636" width="31.00390625" customWidth="1"/>
    <col min="21" max="21" style="1636" width="0.140625" customWidth="1"/>
    <col min="22" max="22" style="1636" width="24.7109375" hidden="1" customWidth="1"/>
    <col min="23" max="23" style="1636" width="0.140625" hidden="1" customWidth="1"/>
    <col min="24" max="25" style="1636" width="24.7109375" hidden="1" customWidth="1"/>
    <col min="26" max="26" style="1636" width="11.7109375" hidden="1" customWidth="1"/>
    <col min="27" max="27" style="1636" width="3.7109375" hidden="1" customWidth="1"/>
    <col min="28" max="28" style="1636" width="11.7109375" hidden="1" customWidth="1"/>
    <col min="29" max="29" style="1636" width="8.57421875" hidden="1" customWidth="1"/>
    <col min="30" max="30" style="1636" width="24.7109375" customWidth="1"/>
    <col min="31" max="31" style="1636" width="0.140625" customWidth="1"/>
    <col min="32" max="33" style="1636" width="24.00390625" customWidth="1"/>
    <col min="34" max="34" style="1636" width="11.00390625" customWidth="1"/>
    <col min="35" max="35" style="1636" width="3.7109375" customWidth="1"/>
    <col min="36" max="36" style="1636" width="11.00390625" customWidth="1"/>
    <col min="37" max="37" style="1636" width="8.57421875" hidden="1" customWidth="1"/>
    <col min="38" max="38" style="1636" width="4.00390625" customWidth="1"/>
    <col min="39" max="39" style="1636" width="115.00390625" customWidth="1"/>
    <col min="40" max="44" style="1643" width="10.00390625" customWidth="1"/>
    <col min="45" max="45" style="1636" width="10.57421875" hidden="1"/>
  </cols>
  <sheetData>
    <row customHeight="1" ht="22.5" hidden="1">
      <c r="Y1" s="328"/>
      <c r="Z1" s="328"/>
      <c r="AG1" s="328"/>
      <c r="AH1" s="328"/>
      <c r="AS1" s="1156" t="s">
        <v>14</v>
      </c>
    </row>
    <row customHeight="1" ht="21" hidden="1">
      <c r="A2" s="1364"/>
      <c r="B2" s="1364"/>
      <c r="C2" s="1364"/>
      <c r="D2" s="1364"/>
      <c r="E2" s="2259">
        <v>1</v>
      </c>
      <c r="F2" s="1364"/>
      <c r="G2" s="1364"/>
      <c r="H2" s="1364"/>
      <c r="I2" s="1364"/>
      <c r="J2" s="1364"/>
      <c r="K2" s="1364"/>
      <c r="L2" s="1365"/>
      <c r="M2" s="1366"/>
      <c r="N2" s="1366"/>
      <c r="O2" s="1366"/>
      <c r="P2" s="362"/>
      <c r="Q2" s="361"/>
      <c r="R2" s="356"/>
      <c r="S2" s="1337">
        <f>INDEX(PT_DIFFERENTIATION_NUM_NTAR,MATCH(A2,PT_DIFFERENTIATION_NTAR_ID,0))</f>
      </c>
      <c r="T2" s="299" t="s">
        <v>136</v>
      </c>
      <c r="U2" s="301"/>
      <c r="V2" s="2243"/>
      <c r="W2" s="2244"/>
      <c r="X2" s="2244"/>
      <c r="Y2" s="2244"/>
      <c r="Z2" s="2244"/>
      <c r="AA2" s="2244"/>
      <c r="AB2" s="2244"/>
      <c r="AC2" s="2245"/>
      <c r="AD2" s="2243">
        <f>INDEX(PT_DIFFERENTIATION_NTAR,MATCH(A2,PT_DIFFERENTIATION_NTAR_ID,0))</f>
      </c>
      <c r="AE2" s="2244"/>
      <c r="AF2" s="2244"/>
      <c r="AG2" s="2244"/>
      <c r="AH2" s="2244"/>
      <c r="AI2" s="2244"/>
      <c r="AJ2" s="2244"/>
      <c r="AK2" s="2244"/>
      <c r="AL2" s="2245"/>
      <c r="AM2" s="1259" t="s">
        <v>526</v>
      </c>
      <c r="AO2" s="501"/>
      <c r="AP2" s="501" t="str">
        <f>IF(T2="","",T2)</f>
        <v>Наименование тарифа</v>
      </c>
      <c r="AQ2" s="501"/>
      <c r="AR2" s="501"/>
      <c r="AS2" s="1156">
        <v>0</v>
      </c>
    </row>
    <row customHeight="1" ht="21" hidden="1">
      <c r="A3" s="1364"/>
      <c r="B3" s="1364"/>
      <c r="C3" s="1364"/>
      <c r="D3" s="1364"/>
      <c r="E3" s="2260"/>
      <c r="F3" s="2259">
        <v>1</v>
      </c>
      <c r="G3" s="1364"/>
      <c r="H3" s="1364"/>
      <c r="I3" s="1364"/>
      <c r="J3" s="1364"/>
      <c r="K3" s="1364"/>
      <c r="L3" s="1365"/>
      <c r="M3" s="1366"/>
      <c r="N3" s="1366"/>
      <c r="O3" s="1366"/>
      <c r="P3" s="1333"/>
      <c r="Q3" s="353"/>
      <c r="R3" s="354"/>
      <c r="S3" s="1337">
        <f>INDEX(PT_DIFFERENTIATION_NUM_TER,MATCH(B3,PT_DIFFERENTIATION_TER_ID,0))</f>
      </c>
      <c r="T3" s="309" t="s">
        <v>527</v>
      </c>
      <c r="U3" s="301"/>
      <c r="V3" s="2243"/>
      <c r="W3" s="2244"/>
      <c r="X3" s="2244"/>
      <c r="Y3" s="2244"/>
      <c r="Z3" s="2244"/>
      <c r="AA3" s="2244"/>
      <c r="AB3" s="2244"/>
      <c r="AC3" s="2245"/>
      <c r="AD3" s="2243">
        <f>INDEX(PT_DIFFERENTIATION_TER,MATCH(B3,PT_DIFFERENTIATION_TER_ID,0))</f>
      </c>
      <c r="AE3" s="2244"/>
      <c r="AF3" s="2244"/>
      <c r="AG3" s="2244"/>
      <c r="AH3" s="2244"/>
      <c r="AI3" s="2244"/>
      <c r="AJ3" s="2244"/>
      <c r="AK3" s="2244"/>
      <c r="AL3" s="2245"/>
      <c r="AM3" s="1259" t="s">
        <v>528</v>
      </c>
      <c r="AO3" s="501"/>
      <c r="AP3" s="501" t="str">
        <f>IF(T3="","",T3)</f>
        <v>Территория действия тарифа</v>
      </c>
      <c r="AQ3" s="501"/>
      <c r="AR3" s="501"/>
      <c r="AS3" s="1156">
        <v>0</v>
      </c>
    </row>
    <row customHeight="1" ht="23.25" hidden="1">
      <c r="A4" s="1364"/>
      <c r="B4" s="1364"/>
      <c r="C4" s="1364"/>
      <c r="D4" s="1364"/>
      <c r="E4" s="2260"/>
      <c r="F4" s="2260"/>
      <c r="G4" s="2259">
        <v>1</v>
      </c>
      <c r="H4" s="1364"/>
      <c r="I4" s="1364"/>
      <c r="J4" s="1364"/>
      <c r="K4" s="1364"/>
      <c r="L4" s="1365"/>
      <c r="M4" s="1366"/>
      <c r="N4" s="1366"/>
      <c r="O4" s="1366"/>
      <c r="P4" s="355"/>
      <c r="Q4" s="353"/>
      <c r="R4" s="354"/>
      <c r="S4" s="1337">
        <f>INDEX(PT_DIFFERENTIATION_NUM_CS,MATCH(C4,PT_DIFFERENTIATION_CS_ID,0))</f>
      </c>
      <c r="T4" s="310" t="s">
        <v>529</v>
      </c>
      <c r="U4" s="301"/>
      <c r="V4" s="2243"/>
      <c r="W4" s="2244"/>
      <c r="X4" s="2244"/>
      <c r="Y4" s="2244"/>
      <c r="Z4" s="2244"/>
      <c r="AA4" s="2244"/>
      <c r="AB4" s="2244"/>
      <c r="AC4" s="2245"/>
      <c r="AD4" s="2243">
        <f>INDEX(PT_DIFFERENTIATION_CS,MATCH(C4,PT_DIFFERENTIATION_CS_ID,0))</f>
      </c>
      <c r="AE4" s="2244"/>
      <c r="AF4" s="2244"/>
      <c r="AG4" s="2244"/>
      <c r="AH4" s="2244"/>
      <c r="AI4" s="2244"/>
      <c r="AJ4" s="2244"/>
      <c r="AK4" s="2244"/>
      <c r="AL4" s="2245"/>
      <c r="AM4" s="1259" t="s">
        <v>530</v>
      </c>
      <c r="AO4" s="501"/>
      <c r="AP4" s="501" t="str">
        <f>IF(T4="","",T4)</f>
        <v>Наименование системы теплоснабжения </v>
      </c>
      <c r="AQ4" s="501"/>
      <c r="AR4" s="501"/>
      <c r="AS4" s="1156">
        <v>0</v>
      </c>
    </row>
    <row customHeight="1" ht="21" hidden="1">
      <c r="A5" s="1364"/>
      <c r="B5" s="1364"/>
      <c r="C5" s="1364"/>
      <c r="D5" s="1364"/>
      <c r="E5" s="2260"/>
      <c r="F5" s="2260"/>
      <c r="G5" s="2260"/>
      <c r="H5" s="2259">
        <v>1</v>
      </c>
      <c r="I5" s="1364"/>
      <c r="J5" s="1364"/>
      <c r="K5" s="1364"/>
      <c r="L5" s="1365"/>
      <c r="M5" s="1366"/>
      <c r="N5" s="1366"/>
      <c r="O5" s="1366"/>
      <c r="P5" s="355"/>
      <c r="Q5" s="353"/>
      <c r="R5" s="354"/>
      <c r="S5" s="1337">
        <f>INDEX(PT_DIFFERENTIATION_NUM_IST_TE,MATCH(D5,PT_DIFFERENTIATION_IST_TE_ID,0))</f>
      </c>
      <c r="T5" s="311" t="s">
        <v>531</v>
      </c>
      <c r="U5" s="301"/>
      <c r="V5" s="2243"/>
      <c r="W5" s="2244"/>
      <c r="X5" s="2244"/>
      <c r="Y5" s="2244"/>
      <c r="Z5" s="2244"/>
      <c r="AA5" s="2244"/>
      <c r="AB5" s="2244"/>
      <c r="AC5" s="2245"/>
      <c r="AD5" s="2243">
        <f>INDEX(PT_DIFFERENTIATION_IST_TE,MATCH(D5,PT_DIFFERENTIATION_IST_TE_ID,0))</f>
      </c>
      <c r="AE5" s="2244"/>
      <c r="AF5" s="2244"/>
      <c r="AG5" s="2244"/>
      <c r="AH5" s="2244"/>
      <c r="AI5" s="2244"/>
      <c r="AJ5" s="2244"/>
      <c r="AK5" s="2244"/>
      <c r="AL5" s="2245"/>
      <c r="AM5" s="1259" t="s">
        <v>532</v>
      </c>
      <c r="AO5" s="501"/>
      <c r="AP5" s="501" t="str">
        <f>IF(T5="","",T5)</f>
        <v>Источник тепловой энергии  </v>
      </c>
      <c r="AQ5" s="501"/>
      <c r="AR5" s="501"/>
      <c r="AS5" s="1156">
        <v>0</v>
      </c>
    </row>
    <row customHeight="1" ht="14.25" hidden="1">
      <c r="A6" s="1364"/>
      <c r="B6" s="1364"/>
      <c r="C6" s="1364"/>
      <c r="D6" s="1364"/>
      <c r="E6" s="2260"/>
      <c r="F6" s="2260"/>
      <c r="G6" s="2260"/>
      <c r="H6" s="2260"/>
      <c r="I6" s="2257">
        <f>S5&amp;".1"</f>
      </c>
      <c r="J6" s="1364"/>
      <c r="K6" s="1364"/>
      <c r="L6" s="1365" t="s">
        <v>533</v>
      </c>
      <c r="M6" s="538"/>
      <c r="P6" s="2258">
        <v>1</v>
      </c>
      <c r="Q6" s="1332"/>
      <c r="R6" s="357"/>
      <c r="S6" s="1043"/>
      <c r="T6" s="1384"/>
      <c r="U6" s="1385"/>
      <c r="V6" s="2297"/>
      <c r="W6" s="2298"/>
      <c r="X6" s="2298"/>
      <c r="Y6" s="2298"/>
      <c r="Z6" s="2298"/>
      <c r="AA6" s="2298"/>
      <c r="AB6" s="2298"/>
      <c r="AC6" s="2299"/>
      <c r="AD6" s="2297"/>
      <c r="AE6" s="2298"/>
      <c r="AF6" s="2298"/>
      <c r="AG6" s="2298"/>
      <c r="AH6" s="2298"/>
      <c r="AI6" s="2298"/>
      <c r="AJ6" s="2298"/>
      <c r="AK6" s="2298"/>
      <c r="AL6" s="2299"/>
      <c r="AM6" s="1386"/>
      <c r="AO6" s="501"/>
      <c r="AP6" s="501" t="str">
        <f>IF(T6="","",T6)</f>
        <v/>
      </c>
      <c r="AQ6" s="501"/>
      <c r="AR6" s="501"/>
      <c r="AS6" s="1156">
        <v>0</v>
      </c>
    </row>
    <row customHeight="1" ht="21" hidden="1">
      <c r="A7" s="1364"/>
      <c r="B7" s="1364"/>
      <c r="C7" s="1364"/>
      <c r="D7" s="1364"/>
      <c r="E7" s="2260"/>
      <c r="F7" s="2260"/>
      <c r="G7" s="2260"/>
      <c r="H7" s="2260"/>
      <c r="I7" s="2287"/>
      <c r="J7" s="2257">
        <f>I6&amp;".1"</f>
      </c>
      <c r="K7" s="1364"/>
      <c r="L7" s="1365" t="s">
        <v>536</v>
      </c>
      <c r="M7" s="538"/>
      <c r="N7" s="1367"/>
      <c r="P7" s="2258"/>
      <c r="Q7" s="2258">
        <v>1</v>
      </c>
      <c r="R7" s="358"/>
      <c r="S7" s="1337">
        <f>$J7</f>
      </c>
      <c r="T7" s="287" t="s">
        <v>537</v>
      </c>
      <c r="U7" s="301"/>
      <c r="V7" s="2246"/>
      <c r="W7" s="2247"/>
      <c r="X7" s="2247"/>
      <c r="Y7" s="2247"/>
      <c r="Z7" s="2247"/>
      <c r="AA7" s="2247"/>
      <c r="AB7" s="2247"/>
      <c r="AC7" s="2248"/>
      <c r="AD7" s="2246"/>
      <c r="AE7" s="2247"/>
      <c r="AF7" s="2247"/>
      <c r="AG7" s="2247"/>
      <c r="AH7" s="2247"/>
      <c r="AI7" s="2247"/>
      <c r="AJ7" s="2247"/>
      <c r="AK7" s="2247"/>
      <c r="AL7" s="2248"/>
      <c r="AM7" s="1259" t="s">
        <v>538</v>
      </c>
      <c r="AO7" s="501"/>
      <c r="AP7" s="501" t="str">
        <f>IF(T7="","",T7)</f>
        <v>Группа потребителей</v>
      </c>
      <c r="AQ7" s="501"/>
      <c r="AR7" s="501"/>
      <c r="AS7" s="1156">
        <v>0</v>
      </c>
    </row>
    <row customHeight="1" ht="21" hidden="1">
      <c r="A8" s="1364"/>
      <c r="B8" s="1364"/>
      <c r="C8" s="1364"/>
      <c r="D8" s="1364"/>
      <c r="E8" s="2260"/>
      <c r="F8" s="2260"/>
      <c r="G8" s="2260"/>
      <c r="H8" s="2260"/>
      <c r="I8" s="2287"/>
      <c r="J8" s="2287"/>
      <c r="K8" s="2257">
        <f>J7&amp;".1"</f>
      </c>
      <c r="L8" s="1365" t="s">
        <v>539</v>
      </c>
      <c r="M8" s="538"/>
      <c r="N8" s="1367"/>
      <c r="O8" s="1367"/>
      <c r="P8" s="2258"/>
      <c r="Q8" s="2258"/>
      <c r="R8" s="358">
        <v>1</v>
      </c>
      <c r="S8" s="1337">
        <f>$K8</f>
      </c>
      <c r="T8" s="1348"/>
      <c r="U8" s="301"/>
      <c r="V8" s="752"/>
      <c r="W8" s="326"/>
      <c r="X8" s="752"/>
      <c r="Y8" s="1258"/>
      <c r="Z8" s="2266"/>
      <c r="AA8" s="2108" t="s">
        <v>65</v>
      </c>
      <c r="AB8" s="2266"/>
      <c r="AC8" s="2108" t="s">
        <v>65</v>
      </c>
      <c r="AD8" s="752"/>
      <c r="AE8" s="326"/>
      <c r="AF8" s="752"/>
      <c r="AG8" s="1258"/>
      <c r="AH8" s="2266"/>
      <c r="AI8" s="2108" t="s">
        <v>65</v>
      </c>
      <c r="AJ8" s="2266"/>
      <c r="AK8" s="2108" t="s">
        <v>65</v>
      </c>
      <c r="AL8" s="326"/>
      <c r="AM8" s="2254" t="s">
        <v>540</v>
      </c>
      <c r="AN8" s="512">
        <f>STRCHECKDATE(V9:AL9)</f>
      </c>
      <c r="AO8" s="501"/>
      <c r="AP8" s="501" t="str">
        <f>IF(T8="","",T8)</f>
        <v/>
      </c>
      <c r="AQ8" s="501"/>
      <c r="AR8" s="501"/>
      <c r="AS8" s="1156">
        <v>0</v>
      </c>
    </row>
    <row customHeight="1" ht="14.25" hidden="1">
      <c r="A9" s="1364"/>
      <c r="B9" s="1364"/>
      <c r="C9" s="1364"/>
      <c r="D9" s="1364"/>
      <c r="E9" s="2260"/>
      <c r="F9" s="2260"/>
      <c r="G9" s="2260"/>
      <c r="H9" s="2260"/>
      <c r="I9" s="2287"/>
      <c r="J9" s="2287"/>
      <c r="K9" s="2257"/>
      <c r="L9" s="1365"/>
      <c r="M9" s="538"/>
      <c r="N9" s="1367"/>
      <c r="O9" s="1367"/>
      <c r="P9" s="2258"/>
      <c r="Q9" s="2258"/>
      <c r="R9" s="358"/>
      <c r="S9" s="1343"/>
      <c r="T9" s="301"/>
      <c r="U9" s="301"/>
      <c r="V9" s="326"/>
      <c r="W9" s="326"/>
      <c r="X9" s="326"/>
      <c r="Y9" s="329" t="str">
        <f>Z8&amp;"-"&amp;AB8</f>
        <v>-</v>
      </c>
      <c r="Z9" s="2267"/>
      <c r="AA9" s="2108"/>
      <c r="AB9" s="2267"/>
      <c r="AC9" s="2108"/>
      <c r="AD9" s="326"/>
      <c r="AE9" s="326"/>
      <c r="AF9" s="326"/>
      <c r="AG9" s="329" t="str">
        <f>AH8&amp;"-"&amp;AJ8</f>
        <v>-</v>
      </c>
      <c r="AH9" s="2267"/>
      <c r="AI9" s="2108"/>
      <c r="AJ9" s="2267"/>
      <c r="AK9" s="2108"/>
      <c r="AL9" s="326"/>
      <c r="AM9" s="2255"/>
      <c r="AO9" s="501"/>
      <c r="AP9" s="501" t="str">
        <f>IF(T9="","",T9)</f>
        <v/>
      </c>
      <c r="AQ9" s="501"/>
      <c r="AR9" s="501"/>
      <c r="AS9" s="1156">
        <v>0</v>
      </c>
    </row>
    <row customHeight="1" ht="15" hidden="1">
      <c r="A10" s="1364"/>
      <c r="B10" s="1364"/>
      <c r="C10" s="1364"/>
      <c r="D10" s="1364"/>
      <c r="E10" s="2260"/>
      <c r="F10" s="2260"/>
      <c r="G10" s="2260"/>
      <c r="H10" s="2260"/>
      <c r="I10" s="2287"/>
      <c r="J10" s="2257"/>
      <c r="K10" s="1364"/>
      <c r="L10" s="1365"/>
      <c r="M10" s="538"/>
      <c r="N10" s="1367"/>
      <c r="P10" s="2258"/>
      <c r="Q10" s="2258"/>
      <c r="R10" s="357"/>
      <c r="S10" s="1279"/>
      <c r="T10" s="288" t="s">
        <v>541</v>
      </c>
      <c r="U10" s="368"/>
      <c r="V10" s="368"/>
      <c r="W10" s="368"/>
      <c r="X10" s="368"/>
      <c r="Y10" s="368"/>
      <c r="Z10" s="368"/>
      <c r="AA10" s="368"/>
      <c r="AB10" s="368"/>
      <c r="AC10" s="368"/>
      <c r="AD10" s="368"/>
      <c r="AE10" s="368"/>
      <c r="AF10" s="368"/>
      <c r="AG10" s="368"/>
      <c r="AH10" s="368"/>
      <c r="AI10" s="368"/>
      <c r="AJ10" s="368"/>
      <c r="AK10" s="368"/>
      <c r="AL10" s="325"/>
      <c r="AM10" s="2256"/>
      <c r="AO10" s="501"/>
      <c r="AP10" s="501" t="str">
        <f>IF(T10="","",T10)</f>
        <v>Добавить вид теплоносителя (параметры теплоносителя)</v>
      </c>
      <c r="AQ10" s="501"/>
      <c r="AR10" s="501"/>
      <c r="AS10" s="1156">
        <v>0</v>
      </c>
    </row>
    <row customHeight="1" ht="11.25" hidden="1">
      <c r="A11" s="1364"/>
      <c r="B11" s="1364"/>
      <c r="C11" s="1364"/>
      <c r="D11" s="1364"/>
      <c r="E11" s="2260"/>
      <c r="F11" s="2260"/>
      <c r="G11" s="2260"/>
      <c r="H11" s="2260"/>
      <c r="I11" s="2257"/>
      <c r="J11" s="1364"/>
      <c r="K11" s="1364"/>
      <c r="L11" s="1365"/>
      <c r="M11" s="538"/>
      <c r="P11" s="2258"/>
      <c r="Q11" s="1332"/>
      <c r="R11" s="357"/>
      <c r="S11" s="1279"/>
      <c r="T11" s="366" t="s">
        <v>542</v>
      </c>
      <c r="U11" s="368"/>
      <c r="V11" s="368"/>
      <c r="W11" s="368"/>
      <c r="X11" s="368"/>
      <c r="Y11" s="368"/>
      <c r="Z11" s="368"/>
      <c r="AA11" s="368"/>
      <c r="AB11" s="368"/>
      <c r="AC11" s="367"/>
      <c r="AD11" s="368"/>
      <c r="AE11" s="368"/>
      <c r="AF11" s="368"/>
      <c r="AG11" s="368"/>
      <c r="AH11" s="368"/>
      <c r="AI11" s="368"/>
      <c r="AJ11" s="368"/>
      <c r="AK11" s="367"/>
      <c r="AL11" s="368"/>
      <c r="AM11" s="304"/>
      <c r="AO11" s="501"/>
      <c r="AP11" s="501" t="str">
        <f>IF(T11="","",T11)</f>
        <v>Добавить группу потребителей</v>
      </c>
      <c r="AQ11" s="501"/>
      <c r="AR11" s="501"/>
      <c r="AS11" s="1156">
        <v>0</v>
      </c>
    </row>
    <row customHeight="1" ht="14.25" hidden="1">
      <c r="A12" s="1364"/>
      <c r="B12" s="1364"/>
      <c r="C12" s="1364"/>
      <c r="D12" s="1364"/>
      <c r="E12" s="2260"/>
      <c r="F12" s="2260"/>
      <c r="G12" s="2260"/>
      <c r="H12" s="2259"/>
      <c r="I12" s="1364"/>
      <c r="J12" s="1364"/>
      <c r="K12" s="1364"/>
      <c r="L12" s="1365"/>
      <c r="M12" s="1366"/>
      <c r="N12" s="1366"/>
      <c r="O12" s="538"/>
      <c r="P12" s="361"/>
      <c r="Q12" s="376"/>
      <c r="R12" s="356"/>
      <c r="S12" s="1387"/>
      <c r="T12" s="1388"/>
      <c r="U12" s="1389"/>
      <c r="V12" s="1389"/>
      <c r="W12" s="1389"/>
      <c r="X12" s="1389"/>
      <c r="Y12" s="1389"/>
      <c r="Z12" s="1389"/>
      <c r="AA12" s="1389"/>
      <c r="AB12" s="1389"/>
      <c r="AC12" s="1389"/>
      <c r="AD12" s="1389"/>
      <c r="AE12" s="1389"/>
      <c r="AF12" s="1389"/>
      <c r="AG12" s="1389"/>
      <c r="AH12" s="1389"/>
      <c r="AI12" s="1389"/>
      <c r="AJ12" s="1389"/>
      <c r="AK12" s="1389"/>
      <c r="AL12" s="1389"/>
      <c r="AM12" s="1390"/>
      <c r="AO12" s="501"/>
      <c r="AP12" s="501" t="str">
        <f>IF(T12="","",T12)</f>
        <v/>
      </c>
      <c r="AQ12" s="501"/>
      <c r="AR12" s="501"/>
      <c r="AS12" s="1156">
        <v>0</v>
      </c>
    </row>
    <row s="1643" customFormat="1" customHeight="1" ht="14.25" hidden="1">
      <c r="A13" s="1315"/>
      <c r="B13" s="1315"/>
      <c r="C13" s="1315"/>
      <c r="D13" s="1315"/>
      <c r="E13" s="2260"/>
      <c r="F13" s="2260"/>
      <c r="G13" s="2259"/>
      <c r="H13" s="1315"/>
      <c r="I13" s="1315"/>
      <c r="J13" s="1315"/>
      <c r="K13" s="1315"/>
      <c r="L13" s="1340"/>
      <c r="M13" s="1316"/>
      <c r="N13" s="1316"/>
      <c r="P13" s="1317"/>
      <c r="Q13" s="1318"/>
      <c r="R13" s="1317"/>
      <c r="S13" s="1319"/>
      <c r="T13" s="1320" t="s">
        <v>177</v>
      </c>
      <c r="U13" s="1321"/>
      <c r="V13" s="1321"/>
      <c r="W13" s="1321"/>
      <c r="X13" s="1321"/>
      <c r="Y13" s="1321"/>
      <c r="Z13" s="1321"/>
      <c r="AA13" s="1321"/>
      <c r="AB13" s="1321"/>
      <c r="AC13" s="1321"/>
      <c r="AD13" s="1321"/>
      <c r="AE13" s="1321"/>
      <c r="AF13" s="1321"/>
      <c r="AG13" s="1321"/>
      <c r="AH13" s="1321"/>
      <c r="AI13" s="1321"/>
      <c r="AJ13" s="1321"/>
      <c r="AK13" s="1321"/>
      <c r="AL13" s="1321"/>
      <c r="AM13" s="1321"/>
      <c r="AO13" s="790"/>
      <c r="AP13" s="790" t="str">
        <f>IF(T13="","",T13)</f>
        <v>Добавить источник для дифференциации</v>
      </c>
      <c r="AQ13" s="790"/>
      <c r="AR13" s="790"/>
      <c r="AS13" s="519">
        <v>0</v>
      </c>
    </row>
    <row s="1643" customFormat="1" customHeight="1" ht="14.25" hidden="1">
      <c r="A14" s="1315"/>
      <c r="B14" s="1315"/>
      <c r="C14" s="1315"/>
      <c r="D14" s="1315"/>
      <c r="E14" s="2260"/>
      <c r="F14" s="2259"/>
      <c r="G14" s="1315"/>
      <c r="H14" s="1315"/>
      <c r="I14" s="1315"/>
      <c r="J14" s="1315"/>
      <c r="K14" s="1315"/>
      <c r="L14" s="1340"/>
      <c r="M14" s="1322"/>
      <c r="N14" s="1322"/>
      <c r="P14" s="1317"/>
      <c r="Q14" s="1318"/>
      <c r="R14" s="1317"/>
      <c r="S14" s="1323"/>
      <c r="T14" s="1324" t="s">
        <v>178</v>
      </c>
      <c r="U14" s="1325"/>
      <c r="V14" s="1325"/>
      <c r="W14" s="1325"/>
      <c r="X14" s="1325"/>
      <c r="Y14" s="1325"/>
      <c r="Z14" s="1325"/>
      <c r="AA14" s="1325"/>
      <c r="AB14" s="1325"/>
      <c r="AC14" s="1325"/>
      <c r="AD14" s="1325"/>
      <c r="AE14" s="1325"/>
      <c r="AF14" s="1325"/>
      <c r="AG14" s="1325"/>
      <c r="AH14" s="1325"/>
      <c r="AI14" s="1325"/>
      <c r="AJ14" s="1325"/>
      <c r="AK14" s="1325"/>
      <c r="AL14" s="1325"/>
      <c r="AM14" s="1325"/>
      <c r="AO14" s="790"/>
      <c r="AP14" s="790" t="str">
        <f>IF(T14="","",T14)</f>
        <v>Добавить централизованную систему для дифференциации</v>
      </c>
      <c r="AQ14" s="790"/>
      <c r="AR14" s="790"/>
      <c r="AS14" s="519">
        <v>0</v>
      </c>
    </row>
    <row s="1643" customFormat="1" customHeight="1" ht="14.25" hidden="1">
      <c r="A15" s="1315"/>
      <c r="B15" s="1315"/>
      <c r="C15" s="1315"/>
      <c r="D15" s="1315"/>
      <c r="E15" s="2259"/>
      <c r="F15" s="1315"/>
      <c r="G15" s="1315"/>
      <c r="H15" s="1315"/>
      <c r="I15" s="1315"/>
      <c r="J15" s="1315"/>
      <c r="K15" s="1315"/>
      <c r="L15" s="1340"/>
      <c r="M15" s="1322"/>
      <c r="N15" s="1322"/>
      <c r="P15" s="1317"/>
      <c r="Q15" s="1318"/>
      <c r="R15" s="1317"/>
      <c r="S15" s="1323"/>
      <c r="T15" s="1326" t="s">
        <v>183</v>
      </c>
      <c r="U15" s="1325"/>
      <c r="V15" s="1325"/>
      <c r="W15" s="1325"/>
      <c r="X15" s="1325"/>
      <c r="Y15" s="1325"/>
      <c r="Z15" s="1325"/>
      <c r="AA15" s="1325"/>
      <c r="AB15" s="1325"/>
      <c r="AC15" s="1325"/>
      <c r="AD15" s="1325"/>
      <c r="AE15" s="1325"/>
      <c r="AF15" s="1325"/>
      <c r="AG15" s="1325"/>
      <c r="AH15" s="1325"/>
      <c r="AI15" s="1325"/>
      <c r="AJ15" s="1325"/>
      <c r="AK15" s="1325"/>
      <c r="AL15" s="1325"/>
      <c r="AM15" s="1325"/>
      <c r="AO15" s="790"/>
      <c r="AP15" s="790" t="str">
        <f>IF(T15="","",T15)</f>
        <v>Добавить территорию для дифференциации</v>
      </c>
      <c r="AQ15" s="790"/>
      <c r="AR15" s="790"/>
      <c r="AS15" s="519">
        <v>0</v>
      </c>
    </row>
    <row customHeight="1" ht="14.25" hidden="1">
      <c r="AC16" s="328"/>
      <c r="AK16" s="328"/>
      <c r="AS16" s="1156">
        <v>0</v>
      </c>
    </row>
    <row customHeight="1" ht="14.25" hidden="1">
      <c r="AD17" s="1361"/>
      <c r="AE17" s="1361"/>
      <c r="AF17" s="1361"/>
      <c r="AG17" s="1362"/>
      <c r="AH17" s="2268"/>
      <c r="AI17" s="2269" t="s">
        <v>65</v>
      </c>
      <c r="AJ17" s="2268"/>
      <c r="AK17" s="2269" t="s">
        <v>65</v>
      </c>
      <c r="AS17" s="1156">
        <v>0</v>
      </c>
    </row>
    <row customHeight="1" ht="14.25" hidden="1">
      <c r="AD18" s="1361"/>
      <c r="AE18" s="1361"/>
      <c r="AF18" s="1361"/>
      <c r="AG18" s="329" t="str">
        <f>AH17&amp;"-"&amp;AJ17</f>
        <v>-</v>
      </c>
      <c r="AH18" s="2269"/>
      <c r="AI18" s="2269"/>
      <c r="AJ18" s="2269"/>
      <c r="AK18" s="2269"/>
      <c r="AS18" s="1156">
        <v>0</v>
      </c>
    </row>
    <row customHeight="1" ht="14.25" hidden="1">
      <c r="AK19" s="328"/>
      <c r="AS19" s="1156">
        <v>0</v>
      </c>
    </row>
    <row s="1367" customFormat="1" customHeight="1" ht="22.5" hidden="1">
      <c r="L20" s="1330"/>
      <c r="M20" s="1363"/>
      <c r="N20" s="1363"/>
      <c r="O20" s="1368" t="s">
        <v>544</v>
      </c>
      <c r="P20" s="1363"/>
      <c r="Q20" s="1372"/>
      <c r="R20" s="1372"/>
      <c r="S20" s="730"/>
      <c r="Z20" s="1368"/>
      <c r="AB20" s="1368"/>
      <c r="AC20" s="1367"/>
      <c r="AH20" s="1368"/>
      <c r="AJ20" s="1368"/>
      <c r="AK20" s="1367"/>
      <c r="AN20" s="512"/>
      <c r="AO20" s="512"/>
      <c r="AP20" s="512"/>
      <c r="AQ20" s="512"/>
      <c r="AR20" s="512"/>
      <c r="AS20" s="1161">
        <v>0</v>
      </c>
    </row>
    <row s="1367" customFormat="1" customHeight="1" ht="14.25" hidden="1">
      <c r="L21" s="1330"/>
      <c r="M21" s="1363"/>
      <c r="N21" s="1363"/>
      <c r="O21" s="1363"/>
      <c r="P21" s="1363"/>
      <c r="Q21" s="1372"/>
      <c r="R21" s="1372"/>
      <c r="S21" s="730"/>
      <c r="AC21" s="1367"/>
      <c r="AK21" s="1367"/>
      <c r="AN21" s="512"/>
      <c r="AO21" s="512"/>
      <c r="AP21" s="512"/>
      <c r="AQ21" s="512"/>
      <c r="AR21" s="512"/>
      <c r="AS21" s="1161">
        <v>0</v>
      </c>
    </row>
    <row s="1367" customFormat="1" customHeight="1" ht="14.25" hidden="1">
      <c r="L22" s="1330"/>
      <c r="M22" s="1363"/>
      <c r="N22" s="1363"/>
      <c r="O22" s="1365" t="s">
        <v>545</v>
      </c>
      <c r="P22" s="1363"/>
      <c r="Q22" s="1372"/>
      <c r="R22" s="1372"/>
      <c r="S22" s="730"/>
      <c r="T22" s="1161" t="s">
        <v>546</v>
      </c>
      <c r="AA22" s="187" t="s">
        <v>547</v>
      </c>
      <c r="AC22" s="187" t="s">
        <v>548</v>
      </c>
      <c r="AD22" s="1161" t="s">
        <v>546</v>
      </c>
      <c r="AI22" s="187" t="s">
        <v>549</v>
      </c>
      <c r="AK22" s="187" t="s">
        <v>548</v>
      </c>
      <c r="AN22" s="512"/>
      <c r="AO22" s="512"/>
      <c r="AP22" s="512"/>
      <c r="AQ22" s="512"/>
      <c r="AR22" s="512"/>
      <c r="AS22" s="1161">
        <v>0</v>
      </c>
    </row>
    <row customHeight="1" ht="14.25" hidden="1">
      <c r="O23" s="1365"/>
      <c r="AS23" s="1156">
        <v>0</v>
      </c>
    </row>
    <row customHeight="1" ht="14.25" hidden="1">
      <c r="O24" s="1365"/>
      <c r="AS24" s="1156">
        <v>0</v>
      </c>
    </row>
    <row customHeight="1" ht="14.699999999999998">
      <c r="Q25" s="377"/>
      <c r="R25" s="377"/>
      <c r="S25" s="1276"/>
      <c r="T25" s="364"/>
      <c r="U25" s="364"/>
      <c r="V25" s="510"/>
      <c r="W25" s="510"/>
      <c r="X25" s="510"/>
      <c r="Y25" s="510"/>
      <c r="Z25" s="510"/>
      <c r="AA25" s="510"/>
      <c r="AB25" s="510"/>
      <c r="AC25" s="510"/>
      <c r="AD25" s="510"/>
      <c r="AE25" s="510"/>
      <c r="AF25" s="510"/>
      <c r="AG25" s="510"/>
      <c r="AH25" s="510"/>
      <c r="AI25" s="510"/>
      <c r="AJ25" s="510"/>
      <c r="AK25" s="510"/>
      <c r="AS25" s="1156">
        <v>14</v>
      </c>
    </row>
    <row customHeight="1" ht="53.54999999999999">
      <c r="Q26" s="377"/>
      <c r="R26" s="377"/>
      <c r="S26" s="2249" t="str">
        <f>IF(TEMPLATE_GROUP="P",PT_P_FORM_HEAT_5_NAME_FORM,PT_R_FORM_HEAT_22_NAME_FORM)</f>
        <v>Форма 4. Информация об установленных тарифах на теплоноситель, поставляемый теплоснабжающими организациями потребителям, другим теплоснабжающим организациям, об установленных тарифах на услуги по передаче тепловой энергии, теплоносителя, о тарифах на теплоноситель в виде воды, поставляемый единой теплоснабжающей организацией в ценовых зонах теплоснабжения потребителям и теплоснабжающими организациями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v>
      </c>
      <c r="T26" s="2249"/>
      <c r="U26" s="2249"/>
      <c r="V26" s="2249"/>
      <c r="W26" s="2249"/>
      <c r="X26" s="2249"/>
      <c r="Y26" s="2249"/>
      <c r="Z26" s="2249"/>
      <c r="AA26" s="2249"/>
      <c r="AB26" s="2249"/>
      <c r="AC26" s="2249"/>
      <c r="AD26" s="2249"/>
      <c r="AE26" s="2249"/>
      <c r="AF26" s="2249"/>
      <c r="AG26" s="2249"/>
      <c r="AH26" s="2249"/>
      <c r="AI26" s="2249"/>
      <c r="AJ26" s="2249"/>
      <c r="AK26" s="1244"/>
      <c r="AS26" s="1156">
        <v>51</v>
      </c>
    </row>
    <row customHeight="1" ht="14.699999999999998">
      <c r="Q27" s="377"/>
      <c r="R27" s="377"/>
      <c r="S27" s="2250" t="str">
        <f>IF(org=0,"Не определено",org)</f>
        <v>ПАО "ТГК-1" (филиал "Кольский")</v>
      </c>
      <c r="T27" s="2250"/>
      <c r="U27" s="2250"/>
      <c r="V27" s="2250"/>
      <c r="W27" s="2250"/>
      <c r="X27" s="2250"/>
      <c r="Y27" s="2250"/>
      <c r="Z27" s="2250"/>
      <c r="AA27" s="2250"/>
      <c r="AB27" s="2250"/>
      <c r="AC27" s="2250"/>
      <c r="AD27" s="2250"/>
      <c r="AE27" s="2250"/>
      <c r="AF27" s="2250"/>
      <c r="AG27" s="2250"/>
      <c r="AH27" s="2250"/>
      <c r="AI27" s="2250"/>
      <c r="AJ27" s="2250"/>
      <c r="AK27" s="1244"/>
      <c r="AS27" s="1156">
        <v>14</v>
      </c>
    </row>
    <row customHeight="1" ht="14.25">
      <c r="Q28" s="377"/>
      <c r="R28" s="377"/>
      <c r="S28" s="1276"/>
      <c r="T28" s="364"/>
      <c r="U28" s="364"/>
      <c r="V28" s="323"/>
      <c r="W28" s="323"/>
      <c r="X28" s="323"/>
      <c r="Y28" s="323"/>
      <c r="Z28" s="323"/>
      <c r="AA28" s="323"/>
      <c r="AB28" s="323"/>
      <c r="AC28" s="323"/>
      <c r="AD28" s="323"/>
      <c r="AE28" s="323"/>
      <c r="AF28" s="323"/>
      <c r="AG28" s="323"/>
      <c r="AH28" s="323"/>
      <c r="AI28" s="323"/>
      <c r="AJ28" s="323"/>
      <c r="AK28" s="323"/>
      <c r="AL28" s="510"/>
      <c r="AS28" s="1156">
        <v>0</v>
      </c>
    </row>
    <row s="1854" customFormat="1" customHeight="1" ht="25.5">
      <c r="A29" s="1369"/>
      <c r="B29" s="1369"/>
      <c r="C29" s="1369"/>
      <c r="D29" s="1369"/>
      <c r="E29" s="1369"/>
      <c r="F29" s="1369"/>
      <c r="G29" s="1369"/>
      <c r="H29" s="1369"/>
      <c r="I29" s="1369"/>
      <c r="J29" s="1369"/>
      <c r="K29" s="1369"/>
      <c r="L29" s="1370"/>
      <c r="M29" s="1369"/>
      <c r="N29" s="1369"/>
      <c r="O29" s="1369"/>
      <c r="S29" s="2251" t="s">
        <v>42</v>
      </c>
      <c r="T29" s="2251"/>
      <c r="U29" s="1373"/>
      <c r="V29" s="2252" t="str">
        <f>IF(TITLE_NAME_OR_PR_CHANGE="",IF(TITLE_NAME_OR_PR="","",TITLE_NAME_OR_PR),TITLE_NAME_OR_PR_CHANGE)</f>
        <v>Комитет по тарифному регулированию Мурманской области</v>
      </c>
      <c r="W29" s="2252"/>
      <c r="X29" s="2252"/>
      <c r="Y29" s="2252"/>
      <c r="Z29" s="2252"/>
      <c r="AA29" s="2252"/>
      <c r="AB29" s="2252"/>
      <c r="AC29" s="327"/>
      <c r="AD29" s="2252" t="str">
        <f>IF(TITLE_NAME_OR_PR_CHANGE="",IF(TITLE_NAME_OR_PR="","",TITLE_NAME_OR_PR),TITLE_NAME_OR_PR_CHANGE)</f>
        <v>Комитет по тарифному регулированию Мурманской области</v>
      </c>
      <c r="AE29" s="2252"/>
      <c r="AF29" s="2252"/>
      <c r="AG29" s="2252"/>
      <c r="AH29" s="2252"/>
      <c r="AI29" s="2252"/>
      <c r="AJ29" s="2252"/>
      <c r="AK29" s="327"/>
      <c r="AL29" s="327"/>
      <c r="AM29" s="281"/>
      <c r="AN29" s="369"/>
      <c r="AO29" s="369"/>
      <c r="AP29" s="369"/>
      <c r="AQ29" s="369"/>
      <c r="AR29" s="369"/>
      <c r="AS29" s="419">
        <v>0</v>
      </c>
    </row>
    <row s="1854" customFormat="1" customHeight="1" ht="18.75">
      <c r="A30" s="1369"/>
      <c r="B30" s="1369"/>
      <c r="C30" s="1369"/>
      <c r="D30" s="1369"/>
      <c r="E30" s="1369"/>
      <c r="F30" s="1369"/>
      <c r="G30" s="1369"/>
      <c r="H30" s="1369"/>
      <c r="I30" s="1369"/>
      <c r="J30" s="1369"/>
      <c r="K30" s="1369"/>
      <c r="L30" s="1370"/>
      <c r="M30" s="1369"/>
      <c r="N30" s="1369"/>
      <c r="O30" s="1369"/>
      <c r="S30" s="2251" t="s">
        <v>550</v>
      </c>
      <c r="T30" s="2251"/>
      <c r="U30" s="1373"/>
      <c r="V30" s="2265" t="str">
        <f>IF(TITLE_DATE_PR_CHANGE="",IF(TITLE_DATE_PR="","",TITLE_DATE_PR),TITLE_DATE_PR_CHANGE)</f>
        <v>46010</v>
      </c>
      <c r="W30" s="2265"/>
      <c r="X30" s="2265"/>
      <c r="Y30" s="2265"/>
      <c r="Z30" s="2265"/>
      <c r="AA30" s="2265"/>
      <c r="AB30" s="2265"/>
      <c r="AC30" s="327"/>
      <c r="AD30" s="2265" t="str">
        <f>IF(TITLE_DATE_PR_CHANGE="",IF(TITLE_DATE_PR="","",TITLE_DATE_PR),TITLE_DATE_PR_CHANGE)</f>
        <v>46010</v>
      </c>
      <c r="AE30" s="2265"/>
      <c r="AF30" s="2265"/>
      <c r="AG30" s="2265"/>
      <c r="AH30" s="2265"/>
      <c r="AI30" s="2265"/>
      <c r="AJ30" s="2265"/>
      <c r="AK30" s="327"/>
      <c r="AL30" s="327"/>
      <c r="AM30" s="281"/>
      <c r="AN30" s="369"/>
      <c r="AO30" s="369"/>
      <c r="AP30" s="369"/>
      <c r="AQ30" s="369"/>
      <c r="AR30" s="369"/>
      <c r="AS30" s="419">
        <v>0</v>
      </c>
    </row>
    <row s="1854" customFormat="1" customHeight="1" ht="18.75">
      <c r="A31" s="1369"/>
      <c r="B31" s="1369"/>
      <c r="C31" s="1369"/>
      <c r="D31" s="1369"/>
      <c r="E31" s="1369"/>
      <c r="F31" s="1369"/>
      <c r="G31" s="1369"/>
      <c r="H31" s="1369"/>
      <c r="I31" s="1369"/>
      <c r="J31" s="1369"/>
      <c r="K31" s="1369"/>
      <c r="L31" s="1370"/>
      <c r="M31" s="1369"/>
      <c r="N31" s="1369"/>
      <c r="O31" s="1369"/>
      <c r="S31" s="2251" t="s">
        <v>551</v>
      </c>
      <c r="T31" s="2251"/>
      <c r="U31" s="1373"/>
      <c r="V31" s="2252" t="str">
        <f>IF(TITLE_NUMBER_PR_CHANGE="",IF(TITLE_NUMBER_PR="","",TITLE_NUMBER_PR),TITLE_NUMBER_PR_CHANGE)</f>
        <v>53/77; 53/49</v>
      </c>
      <c r="W31" s="2252"/>
      <c r="X31" s="2252"/>
      <c r="Y31" s="2252"/>
      <c r="Z31" s="2252"/>
      <c r="AA31" s="2252"/>
      <c r="AB31" s="2252"/>
      <c r="AC31" s="327"/>
      <c r="AD31" s="2252" t="str">
        <f>IF(TITLE_NUMBER_PR_CHANGE="",IF(TITLE_NUMBER_PR="","",TITLE_NUMBER_PR),TITLE_NUMBER_PR_CHANGE)</f>
        <v>53/77; 53/49</v>
      </c>
      <c r="AE31" s="2252"/>
      <c r="AF31" s="2252"/>
      <c r="AG31" s="2252"/>
      <c r="AH31" s="2252"/>
      <c r="AI31" s="2252"/>
      <c r="AJ31" s="2252"/>
      <c r="AK31" s="327"/>
      <c r="AL31" s="327"/>
      <c r="AM31" s="281"/>
      <c r="AN31" s="369"/>
      <c r="AO31" s="369"/>
      <c r="AP31" s="369"/>
      <c r="AQ31" s="369"/>
      <c r="AR31" s="369"/>
      <c r="AS31" s="419">
        <v>0</v>
      </c>
    </row>
    <row s="1854" customFormat="1" customHeight="1" ht="18.75">
      <c r="A32" s="1369"/>
      <c r="B32" s="1369"/>
      <c r="C32" s="1369"/>
      <c r="D32" s="1369"/>
      <c r="E32" s="1369"/>
      <c r="F32" s="1369"/>
      <c r="G32" s="1369"/>
      <c r="H32" s="1369"/>
      <c r="I32" s="1369"/>
      <c r="J32" s="1369"/>
      <c r="K32" s="1369"/>
      <c r="L32" s="1370"/>
      <c r="M32" s="1369"/>
      <c r="N32" s="1369"/>
      <c r="O32" s="1369"/>
      <c r="S32" s="2251" t="s">
        <v>44</v>
      </c>
      <c r="T32" s="2251"/>
      <c r="U32" s="1373"/>
      <c r="V32" s="2252" t="str">
        <f>IF(TITLE_IST_PUB_CHANGE="",IF(TITLE_IST_PUB="","",TITLE_IST_PUB),TITLE_IST_PUB_CHANGE)</f>
        <v>Официальный электронный бюллетень Правительства Мурманской области</v>
      </c>
      <c r="W32" s="2252"/>
      <c r="X32" s="2252"/>
      <c r="Y32" s="2252"/>
      <c r="Z32" s="2252"/>
      <c r="AA32" s="2252"/>
      <c r="AB32" s="2252"/>
      <c r="AC32" s="327"/>
      <c r="AD32" s="2252" t="str">
        <f>IF(TITLE_IST_PUB_CHANGE="",IF(TITLE_IST_PUB="","",TITLE_IST_PUB),TITLE_IST_PUB_CHANGE)</f>
        <v>Официальный электронный бюллетень Правительства Мурманской области</v>
      </c>
      <c r="AE32" s="2252"/>
      <c r="AF32" s="2252"/>
      <c r="AG32" s="2252"/>
      <c r="AH32" s="2252"/>
      <c r="AI32" s="2252"/>
      <c r="AJ32" s="2252"/>
      <c r="AK32" s="327"/>
      <c r="AL32" s="327"/>
      <c r="AM32" s="281"/>
      <c r="AN32" s="369"/>
      <c r="AO32" s="369"/>
      <c r="AP32" s="369"/>
      <c r="AQ32" s="369"/>
      <c r="AR32" s="369"/>
      <c r="AS32" s="419">
        <v>0</v>
      </c>
    </row>
    <row customHeight="1" ht="14.25" hidden="1">
      <c r="Q33" s="377"/>
      <c r="R33" s="377"/>
      <c r="S33" s="1276"/>
      <c r="T33" s="364"/>
      <c r="U33" s="364"/>
      <c r="V33" s="323"/>
      <c r="W33" s="323"/>
      <c r="X33" s="323"/>
      <c r="Y33" s="323"/>
      <c r="Z33" s="323"/>
      <c r="AA33" s="323"/>
      <c r="AB33" s="323"/>
      <c r="AC33" s="323"/>
      <c r="AD33" s="323"/>
      <c r="AE33" s="323"/>
      <c r="AF33" s="323"/>
      <c r="AG33" s="323"/>
      <c r="AH33" s="323"/>
      <c r="AI33" s="323"/>
      <c r="AJ33" s="323"/>
      <c r="AK33" s="323"/>
      <c r="AL33" s="510"/>
      <c r="AS33" s="1156">
        <v>0</v>
      </c>
    </row>
    <row s="1854" customFormat="1" customHeight="1" ht="18.75" hidden="1">
      <c r="A34" s="1369"/>
      <c r="B34" s="1369"/>
      <c r="C34" s="1369"/>
      <c r="D34" s="1369"/>
      <c r="E34" s="1369"/>
      <c r="F34" s="1369"/>
      <c r="G34" s="1369"/>
      <c r="H34" s="1369"/>
      <c r="I34" s="1369"/>
      <c r="J34" s="1369"/>
      <c r="K34" s="1369"/>
      <c r="L34" s="1370"/>
      <c r="M34" s="1369"/>
      <c r="N34" s="1369"/>
      <c r="O34" s="1369"/>
      <c r="S34" s="2251" t="s">
        <v>552</v>
      </c>
      <c r="T34" s="2251"/>
      <c r="U34" s="1373"/>
      <c r="V34" s="2265" t="str">
        <f>IF(TITLE_DATE_PR_CHANGE="",IF(TITLE_DATE_PR="","",TITLE_DATE_PR),TITLE_DATE_PR_CHANGE)</f>
        <v>46010</v>
      </c>
      <c r="W34" s="2265"/>
      <c r="X34" s="2265"/>
      <c r="Y34" s="2265"/>
      <c r="Z34" s="2265"/>
      <c r="AA34" s="2265"/>
      <c r="AB34" s="2265"/>
      <c r="AC34" s="327"/>
      <c r="AD34" s="2265" t="str">
        <f>IF(TITLE_DATE_PR_CHANGE="",IF(TITLE_DATE_PR="","",TITLE_DATE_PR),TITLE_DATE_PR_CHANGE)</f>
        <v>46010</v>
      </c>
      <c r="AE34" s="2265"/>
      <c r="AF34" s="2265"/>
      <c r="AG34" s="2265"/>
      <c r="AH34" s="2265"/>
      <c r="AI34" s="2265"/>
      <c r="AJ34" s="2265"/>
      <c r="AK34" s="327"/>
      <c r="AL34" s="327"/>
      <c r="AM34" s="281"/>
      <c r="AN34" s="369"/>
      <c r="AO34" s="369"/>
      <c r="AP34" s="369"/>
      <c r="AQ34" s="369"/>
      <c r="AR34" s="369"/>
      <c r="AS34" s="419">
        <v>0</v>
      </c>
    </row>
    <row s="1854" customFormat="1" customHeight="1" ht="25.5" hidden="1">
      <c r="A35" s="1369"/>
      <c r="B35" s="1369"/>
      <c r="C35" s="1369"/>
      <c r="D35" s="1369"/>
      <c r="E35" s="1369"/>
      <c r="F35" s="1369"/>
      <c r="G35" s="1369"/>
      <c r="H35" s="1369"/>
      <c r="I35" s="1369"/>
      <c r="J35" s="1369"/>
      <c r="K35" s="1369"/>
      <c r="L35" s="1370"/>
      <c r="M35" s="1369"/>
      <c r="N35" s="1369"/>
      <c r="O35" s="1369"/>
      <c r="S35" s="2251" t="s">
        <v>553</v>
      </c>
      <c r="T35" s="2251"/>
      <c r="U35" s="1373"/>
      <c r="V35" s="2252" t="str">
        <f>IF(TITLE_NUMBER_PR_CHANGE="",IF(TITLE_NUMBER_PR="","",TITLE_NUMBER_PR),TITLE_NUMBER_PR_CHANGE)</f>
        <v>53/77; 53/49</v>
      </c>
      <c r="W35" s="2252"/>
      <c r="X35" s="2252"/>
      <c r="Y35" s="2252"/>
      <c r="Z35" s="2252"/>
      <c r="AA35" s="2252"/>
      <c r="AB35" s="2252"/>
      <c r="AC35" s="327"/>
      <c r="AD35" s="2252" t="str">
        <f>IF(TITLE_NUMBER_PR_CHANGE="",IF(TITLE_NUMBER_PR="","",TITLE_NUMBER_PR),TITLE_NUMBER_PR_CHANGE)</f>
        <v>53/77; 53/49</v>
      </c>
      <c r="AE35" s="2252"/>
      <c r="AF35" s="2252"/>
      <c r="AG35" s="2252"/>
      <c r="AH35" s="2252"/>
      <c r="AI35" s="2252"/>
      <c r="AJ35" s="2252"/>
      <c r="AK35" s="327"/>
      <c r="AL35" s="327"/>
      <c r="AM35" s="281"/>
      <c r="AN35" s="369"/>
      <c r="AO35" s="369"/>
      <c r="AP35" s="369"/>
      <c r="AQ35" s="369"/>
      <c r="AR35" s="369"/>
      <c r="AS35" s="419">
        <v>0</v>
      </c>
    </row>
    <row s="1854" customFormat="1" customHeight="1" ht="0">
      <c r="A36" s="1369"/>
      <c r="B36" s="1369"/>
      <c r="C36" s="1369"/>
      <c r="D36" s="1369"/>
      <c r="E36" s="1369"/>
      <c r="F36" s="1369"/>
      <c r="G36" s="1369"/>
      <c r="H36" s="1369"/>
      <c r="I36" s="1369"/>
      <c r="J36" s="1369"/>
      <c r="K36" s="1369"/>
      <c r="L36" s="1370"/>
      <c r="M36" s="1369"/>
      <c r="N36" s="1369"/>
      <c r="O36" s="1369"/>
      <c r="S36" s="324"/>
      <c r="T36" s="324"/>
      <c r="U36" s="1341"/>
      <c r="V36" s="327"/>
      <c r="W36" s="327"/>
      <c r="X36" s="327"/>
      <c r="Y36" s="327"/>
      <c r="Z36" s="327"/>
      <c r="AA36" s="327"/>
      <c r="AB36" s="327"/>
      <c r="AC36" s="279" t="s">
        <v>554</v>
      </c>
      <c r="AD36" s="327"/>
      <c r="AE36" s="327"/>
      <c r="AF36" s="327"/>
      <c r="AG36" s="327"/>
      <c r="AH36" s="327"/>
      <c r="AI36" s="327"/>
      <c r="AJ36" s="327"/>
      <c r="AK36" s="279" t="s">
        <v>554</v>
      </c>
      <c r="AN36" s="369"/>
      <c r="AO36" s="369"/>
      <c r="AP36" s="369"/>
      <c r="AQ36" s="369"/>
      <c r="AR36" s="369"/>
      <c r="AS36" s="419">
        <v>0</v>
      </c>
    </row>
    <row customHeight="1" ht="14.699999999999998">
      <c r="Q37" s="377"/>
      <c r="R37" s="377"/>
      <c r="S37" s="1276"/>
      <c r="T37" s="364"/>
      <c r="U37" s="1245"/>
      <c r="V37" s="2253"/>
      <c r="W37" s="2253"/>
      <c r="X37" s="2253"/>
      <c r="Y37" s="2253"/>
      <c r="Z37" s="2253"/>
      <c r="AA37" s="2253"/>
      <c r="AB37" s="2253"/>
      <c r="AC37" s="2253"/>
      <c r="AD37" s="2253"/>
      <c r="AE37" s="2253"/>
      <c r="AF37" s="2253"/>
      <c r="AG37" s="2253"/>
      <c r="AH37" s="2253"/>
      <c r="AI37" s="2253"/>
      <c r="AJ37" s="2253"/>
      <c r="AK37" s="2253"/>
      <c r="AS37" s="1156">
        <v>14</v>
      </c>
    </row>
    <row customHeight="1" ht="14.699999999999998">
      <c r="Q38" s="377"/>
      <c r="R38" s="377"/>
      <c r="S38" s="2128" t="s">
        <v>430</v>
      </c>
      <c r="T38" s="2128"/>
      <c r="U38" s="2128"/>
      <c r="V38" s="2128"/>
      <c r="W38" s="2128"/>
      <c r="X38" s="2128"/>
      <c r="Y38" s="2128"/>
      <c r="Z38" s="2128"/>
      <c r="AA38" s="2128"/>
      <c r="AB38" s="2128"/>
      <c r="AC38" s="2128"/>
      <c r="AD38" s="2128"/>
      <c r="AE38" s="2128"/>
      <c r="AF38" s="2128"/>
      <c r="AG38" s="2128"/>
      <c r="AH38" s="2128"/>
      <c r="AI38" s="2128"/>
      <c r="AJ38" s="2128"/>
      <c r="AK38" s="2128"/>
      <c r="AL38" s="2128"/>
      <c r="AM38" s="2128" t="s">
        <v>431</v>
      </c>
      <c r="AS38" s="1156">
        <v>14</v>
      </c>
    </row>
    <row customHeight="1" ht="14.699999999999998">
      <c r="Q39" s="377"/>
      <c r="R39" s="377"/>
      <c r="S39" s="2274" t="s">
        <v>92</v>
      </c>
      <c r="T39" s="2210" t="s">
        <v>555</v>
      </c>
      <c r="U39" s="302"/>
      <c r="V39" s="2275" t="s">
        <v>556</v>
      </c>
      <c r="W39" s="2276"/>
      <c r="X39" s="2276"/>
      <c r="Y39" s="2276"/>
      <c r="Z39" s="2276"/>
      <c r="AA39" s="2276"/>
      <c r="AB39" s="2277"/>
      <c r="AC39" s="2278" t="s">
        <v>557</v>
      </c>
      <c r="AD39" s="2275" t="s">
        <v>556</v>
      </c>
      <c r="AE39" s="2276"/>
      <c r="AF39" s="2276"/>
      <c r="AG39" s="2276"/>
      <c r="AH39" s="2276"/>
      <c r="AI39" s="2276"/>
      <c r="AJ39" s="2277"/>
      <c r="AK39" s="2278" t="s">
        <v>558</v>
      </c>
      <c r="AL39" s="2281" t="s">
        <v>559</v>
      </c>
      <c r="AM39" s="2128"/>
      <c r="AS39" s="1156">
        <v>14</v>
      </c>
    </row>
    <row customHeight="1" ht="35.699999999999996">
      <c r="Q40" s="377"/>
      <c r="R40" s="377"/>
      <c r="S40" s="2274"/>
      <c r="T40" s="2210"/>
      <c r="U40" s="1032"/>
      <c r="V40" s="2261" t="s">
        <v>560</v>
      </c>
      <c r="W40" s="2284"/>
      <c r="X40" s="2263" t="s">
        <v>562</v>
      </c>
      <c r="Y40" s="2264"/>
      <c r="Z40" s="2263" t="s">
        <v>563</v>
      </c>
      <c r="AA40" s="2270"/>
      <c r="AB40" s="2264"/>
      <c r="AC40" s="2279"/>
      <c r="AD40" s="2261" t="s">
        <v>580</v>
      </c>
      <c r="AE40" s="2284"/>
      <c r="AF40" s="2263" t="s">
        <v>562</v>
      </c>
      <c r="AG40" s="2264"/>
      <c r="AH40" s="2263" t="s">
        <v>563</v>
      </c>
      <c r="AI40" s="2270"/>
      <c r="AJ40" s="2264"/>
      <c r="AK40" s="2279"/>
      <c r="AL40" s="2282"/>
      <c r="AM40" s="2128"/>
      <c r="AS40" s="1156">
        <v>34</v>
      </c>
    </row>
    <row customHeight="1" ht="35.699999999999996">
      <c r="A41" s="1371"/>
      <c r="B41" s="1371" t="s">
        <v>148</v>
      </c>
      <c r="C41" s="1371" t="s">
        <v>149</v>
      </c>
      <c r="D41" s="1371" t="s">
        <v>150</v>
      </c>
      <c r="E41" s="1365" t="s">
        <v>564</v>
      </c>
      <c r="F41" s="1365" t="s">
        <v>565</v>
      </c>
      <c r="G41" s="1365" t="s">
        <v>566</v>
      </c>
      <c r="H41" s="1365" t="s">
        <v>567</v>
      </c>
      <c r="I41" s="1365" t="s">
        <v>568</v>
      </c>
      <c r="J41" s="1365" t="s">
        <v>569</v>
      </c>
      <c r="K41" s="1365" t="s">
        <v>570</v>
      </c>
      <c r="L41" s="1365" t="s">
        <v>545</v>
      </c>
      <c r="Q41" s="377"/>
      <c r="R41" s="377"/>
      <c r="S41" s="2274"/>
      <c r="T41" s="2210"/>
      <c r="U41" s="303"/>
      <c r="V41" s="2262"/>
      <c r="W41" s="2285"/>
      <c r="X41" s="1223" t="s">
        <v>571</v>
      </c>
      <c r="Y41" s="1223" t="s">
        <v>572</v>
      </c>
      <c r="Z41" s="1339" t="s">
        <v>573</v>
      </c>
      <c r="AA41" s="2271" t="s">
        <v>574</v>
      </c>
      <c r="AB41" s="2272"/>
      <c r="AC41" s="2280"/>
      <c r="AD41" s="2262"/>
      <c r="AE41" s="2285"/>
      <c r="AF41" s="1223" t="s">
        <v>571</v>
      </c>
      <c r="AG41" s="1223" t="s">
        <v>572</v>
      </c>
      <c r="AH41" s="1339" t="s">
        <v>573</v>
      </c>
      <c r="AI41" s="2271" t="s">
        <v>574</v>
      </c>
      <c r="AJ41" s="2272"/>
      <c r="AK41" s="2280"/>
      <c r="AL41" s="2283"/>
      <c r="AM41" s="2128"/>
      <c r="AS41" s="1156">
        <v>34</v>
      </c>
    </row>
    <row s="1642" customFormat="1" customHeight="1" ht="11.25" hidden="1">
      <c r="A42" s="1371"/>
      <c r="B42" s="1371"/>
      <c r="C42" s="1371"/>
      <c r="D42" s="1371"/>
      <c r="E42" s="1371"/>
      <c r="F42" s="1371"/>
      <c r="G42" s="1371"/>
      <c r="H42" s="1371"/>
      <c r="I42" s="1371"/>
      <c r="J42" s="1371"/>
      <c r="K42" s="1371"/>
      <c r="L42" s="1365"/>
      <c r="M42" s="1363"/>
      <c r="N42" s="1363"/>
      <c r="O42" s="1363"/>
      <c r="P42" s="1247"/>
      <c r="Q42" s="1248"/>
      <c r="R42" s="1255">
        <v>1</v>
      </c>
      <c r="S42" s="1278" t="s">
        <v>123</v>
      </c>
      <c r="T42" s="1256" t="s">
        <v>107</v>
      </c>
      <c r="U42" s="1246" t="str">
        <f>OFFSET(U42,0,-1)</f>
        <v>2</v>
      </c>
      <c r="V42" s="1336">
        <f>OFFSET(V42,0,-1)+1</f>
        <v>3</v>
      </c>
      <c r="W42" s="1336"/>
      <c r="X42" s="1336">
        <f>OFFSET(X42,0,-1)+1</f>
        <v>1</v>
      </c>
      <c r="Y42" s="1336">
        <f>OFFSET(Y42,0,-1)+1</f>
        <v>2</v>
      </c>
      <c r="Z42" s="1336">
        <f>OFFSET(Z42,0,-1)+1</f>
        <v>3</v>
      </c>
      <c r="AA42" s="2273">
        <f>OFFSET(AA42,0,-1)+1</f>
        <v>4</v>
      </c>
      <c r="AB42" s="2273"/>
      <c r="AC42" s="1336">
        <f>OFFSET(AC42,0,-2)+1</f>
        <v>5</v>
      </c>
      <c r="AD42" s="1336">
        <f>OFFSET(AD42,0,-1)+1</f>
        <v>6</v>
      </c>
      <c r="AE42" s="1336"/>
      <c r="AF42" s="1336">
        <f>OFFSET(AF42,0,-1)+1</f>
        <v>1</v>
      </c>
      <c r="AG42" s="1336">
        <f>OFFSET(AG42,0,-1)+1</f>
        <v>2</v>
      </c>
      <c r="AH42" s="1336">
        <f>OFFSET(AH42,0,-1)+1</f>
        <v>3</v>
      </c>
      <c r="AI42" s="2273">
        <f>OFFSET(AI42,0,-1)+1</f>
        <v>4</v>
      </c>
      <c r="AJ42" s="2273"/>
      <c r="AK42" s="1336">
        <f>OFFSET(AK42,0,-2)+1</f>
        <v>5</v>
      </c>
      <c r="AL42" s="1246">
        <f>OFFSET(AL42,0,-1)</f>
        <v>5</v>
      </c>
      <c r="AM42" s="1336">
        <f>OFFSET(AM42,0,-1)+1</f>
        <v>6</v>
      </c>
      <c r="AN42" s="512"/>
      <c r="AO42" s="512"/>
      <c r="AP42" s="512"/>
      <c r="AQ42" s="512"/>
      <c r="AR42" s="512"/>
      <c r="AS42" s="497">
        <v>0</v>
      </c>
    </row>
    <row customHeight="1" ht="22.049999999999997">
      <c r="A43" s="1364" t="s">
        <v>310</v>
      </c>
      <c r="B43" s="1364"/>
      <c r="C43" s="1364"/>
      <c r="D43" s="1364"/>
      <c r="E43" s="2259">
        <v>1</v>
      </c>
      <c r="F43" s="1364"/>
      <c r="G43" s="1364"/>
      <c r="H43" s="1364"/>
      <c r="I43" s="1364"/>
      <c r="J43" s="1364"/>
      <c r="K43" s="1364"/>
      <c r="L43" s="1365"/>
      <c r="M43" s="1366"/>
      <c r="N43" s="1366"/>
      <c r="O43" s="1366"/>
      <c r="P43" s="362"/>
      <c r="Q43" s="361"/>
      <c r="R43" s="356"/>
      <c r="S43" s="1337">
        <f>INDEX(PT_DIFFERENTIATION_NUM_NTAR,MATCH(A43,PT_DIFFERENTIATION_NTAR_ID,0))</f>
        <v>0</v>
      </c>
      <c r="T43" s="299" t="s">
        <v>136</v>
      </c>
      <c r="U43" s="301"/>
      <c r="V43" s="2243"/>
      <c r="W43" s="2244"/>
      <c r="X43" s="2244"/>
      <c r="Y43" s="2244"/>
      <c r="Z43" s="2244"/>
      <c r="AA43" s="2244"/>
      <c r="AB43" s="2244"/>
      <c r="AC43" s="2245"/>
      <c r="AD43" s="2243" t="str">
        <f>INDEX(PT_DIFFERENTIATION_NTAR,MATCH(A43,PT_DIFFERENTIATION_NTAR_ID,0))</f>
        <v/>
      </c>
      <c r="AE43" s="2244"/>
      <c r="AF43" s="2244"/>
      <c r="AG43" s="2244"/>
      <c r="AH43" s="2244"/>
      <c r="AI43" s="2244"/>
      <c r="AJ43" s="2244"/>
      <c r="AK43" s="2244"/>
      <c r="AL43" s="2245"/>
      <c r="AM43" s="1259" t="str">
        <f>IF(TEMPLATE_GROUP="P","По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"&amp;"с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"&amp;"2010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"&amp;"теплоснабжения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"&amp;"6 части 1 статьи 23 4 Федерального закона от 27 июля 2010 г. N 190-ФЗ ""О теплоснабжении"".
"&amp;"Для каждого вида тарифа в сфере теплоснабжения форма заполняется отдельно.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цены"&amp;"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"&amp;"В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"&amp;"Федерального закона от 27 июля 2010 г. N 190-ФЗ ""О теплоснабжении"". 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Для каждого вида тарифа в сфере теплоснабжения форма заполняется отдельно.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 (тарифа), источник официального опубликования решения об установлении цены (тарифа) в сфере теплоснабжения.</v>
      </c>
      <c r="AO43" s="501"/>
      <c r="AP43" s="501" t="str">
        <f>IF(T43="","",T43)</f>
        <v>Наименование тарифа</v>
      </c>
      <c r="AQ43" s="501"/>
      <c r="AR43" s="501"/>
      <c r="AS43" s="1156">
        <v>21</v>
      </c>
    </row>
    <row customHeight="1" ht="22.049999999999997">
      <c r="A44" s="1364" t="s">
        <v>310</v>
      </c>
      <c r="B44" s="1364" t="s">
        <v>311</v>
      </c>
      <c r="C44" s="1364"/>
      <c r="D44" s="1364"/>
      <c r="E44" s="2260"/>
      <c r="F44" s="2259">
        <v>1</v>
      </c>
      <c r="G44" s="1364"/>
      <c r="H44" s="1364"/>
      <c r="I44" s="1364"/>
      <c r="J44" s="1364"/>
      <c r="K44" s="1364"/>
      <c r="L44" s="1365"/>
      <c r="M44" s="1366"/>
      <c r="N44" s="1366"/>
      <c r="O44" s="1366"/>
      <c r="P44" s="1333"/>
      <c r="Q44" s="353"/>
      <c r="R44" s="354"/>
      <c r="S44" s="1337" t="str">
        <f>INDEX(PT_DIFFERENTIATION_NUM_TER,MATCH(B44,PT_DIFFERENTIATION_TER_ID,0))</f>
        <v>.</v>
      </c>
      <c r="T44" s="309" t="s">
        <v>527</v>
      </c>
      <c r="U44" s="301"/>
      <c r="V44" s="2243"/>
      <c r="W44" s="2244"/>
      <c r="X44" s="2244"/>
      <c r="Y44" s="2244"/>
      <c r="Z44" s="2244"/>
      <c r="AA44" s="2244"/>
      <c r="AB44" s="2244"/>
      <c r="AC44" s="2245"/>
      <c r="AD44" s="2243" t="str">
        <f>INDEX(PT_DIFFERENTIATION_TER,MATCH(B44,PT_DIFFERENTIATION_TER_ID,0))</f>
        <v/>
      </c>
      <c r="AE44" s="2244"/>
      <c r="AF44" s="2244"/>
      <c r="AG44" s="2244"/>
      <c r="AH44" s="2244"/>
      <c r="AI44" s="2244"/>
      <c r="AJ44" s="2244"/>
      <c r="AK44" s="2244"/>
      <c r="AL44" s="2245"/>
      <c r="AM44" s="1259" t="s">
        <v>528</v>
      </c>
      <c r="AO44" s="501"/>
      <c r="AP44" s="501" t="str">
        <f>IF(T44="","",T44)</f>
        <v>Территория действия тарифа</v>
      </c>
      <c r="AQ44" s="501"/>
      <c r="AR44" s="501"/>
      <c r="AS44" s="1156">
        <v>21</v>
      </c>
    </row>
    <row customHeight="1" ht="24">
      <c r="A45" s="1364" t="s">
        <v>310</v>
      </c>
      <c r="B45" s="1364" t="s">
        <v>311</v>
      </c>
      <c r="C45" s="1364" t="s">
        <v>312</v>
      </c>
      <c r="D45" s="1364"/>
      <c r="E45" s="2260"/>
      <c r="F45" s="2260"/>
      <c r="G45" s="2259">
        <v>1</v>
      </c>
      <c r="H45" s="1364"/>
      <c r="I45" s="1364"/>
      <c r="J45" s="1364"/>
      <c r="K45" s="1364"/>
      <c r="L45" s="1365"/>
      <c r="M45" s="1366"/>
      <c r="N45" s="1366"/>
      <c r="O45" s="1366"/>
      <c r="P45" s="355"/>
      <c r="Q45" s="353"/>
      <c r="R45" s="354"/>
      <c r="S45" s="1337" t="str">
        <f>INDEX(PT_DIFFERENTIATION_NUM_CS,MATCH(C45,PT_DIFFERENTIATION_CS_ID,0))</f>
        <v>..</v>
      </c>
      <c r="T45" s="310" t="s">
        <v>529</v>
      </c>
      <c r="U45" s="301"/>
      <c r="V45" s="2243"/>
      <c r="W45" s="2244"/>
      <c r="X45" s="2244"/>
      <c r="Y45" s="2244"/>
      <c r="Z45" s="2244"/>
      <c r="AA45" s="2244"/>
      <c r="AB45" s="2244"/>
      <c r="AC45" s="2245"/>
      <c r="AD45" s="2243" t="str">
        <f>INDEX(PT_DIFFERENTIATION_CS,MATCH(C45,PT_DIFFERENTIATION_CS_ID,0))</f>
        <v/>
      </c>
      <c r="AE45" s="2244"/>
      <c r="AF45" s="2244"/>
      <c r="AG45" s="2244"/>
      <c r="AH45" s="2244"/>
      <c r="AI45" s="2244"/>
      <c r="AJ45" s="2244"/>
      <c r="AK45" s="2244"/>
      <c r="AL45" s="2245"/>
      <c r="AM45" s="1259" t="s">
        <v>530</v>
      </c>
      <c r="AO45" s="501"/>
      <c r="AP45" s="501" t="str">
        <f>IF(T45="","",T45)</f>
        <v>Наименование системы теплоснабжения </v>
      </c>
      <c r="AQ45" s="501"/>
      <c r="AR45" s="501"/>
      <c r="AS45" s="1156">
        <v>23</v>
      </c>
    </row>
    <row customHeight="1" ht="22.049999999999997">
      <c r="A46" s="1364" t="s">
        <v>310</v>
      </c>
      <c r="B46" s="1364" t="s">
        <v>311</v>
      </c>
      <c r="C46" s="1364" t="s">
        <v>312</v>
      </c>
      <c r="D46" s="1364" t="s">
        <v>313</v>
      </c>
      <c r="E46" s="2260"/>
      <c r="F46" s="2260"/>
      <c r="G46" s="2260"/>
      <c r="H46" s="2259">
        <v>1</v>
      </c>
      <c r="I46" s="1364"/>
      <c r="J46" s="1364"/>
      <c r="K46" s="1364"/>
      <c r="L46" s="1365"/>
      <c r="M46" s="1366"/>
      <c r="N46" s="1366"/>
      <c r="O46" s="1366"/>
      <c r="P46" s="355"/>
      <c r="Q46" s="353"/>
      <c r="R46" s="354"/>
      <c r="S46" s="1337" t="str">
        <f>INDEX(PT_DIFFERENTIATION_NUM_IST_TE,MATCH(D46,PT_DIFFERENTIATION_IST_TE_ID,0))</f>
        <v>...</v>
      </c>
      <c r="T46" s="311" t="s">
        <v>531</v>
      </c>
      <c r="U46" s="301"/>
      <c r="V46" s="2243"/>
      <c r="W46" s="2244"/>
      <c r="X46" s="2244"/>
      <c r="Y46" s="2244"/>
      <c r="Z46" s="2244"/>
      <c r="AA46" s="2244"/>
      <c r="AB46" s="2244"/>
      <c r="AC46" s="2245"/>
      <c r="AD46" s="2243" t="str">
        <f>INDEX(PT_DIFFERENTIATION_IST_TE,MATCH(D46,PT_DIFFERENTIATION_IST_TE_ID,0))</f>
        <v/>
      </c>
      <c r="AE46" s="2244"/>
      <c r="AF46" s="2244"/>
      <c r="AG46" s="2244"/>
      <c r="AH46" s="2244"/>
      <c r="AI46" s="2244"/>
      <c r="AJ46" s="2244"/>
      <c r="AK46" s="2244"/>
      <c r="AL46" s="2245"/>
      <c r="AM46" s="1259" t="s">
        <v>532</v>
      </c>
      <c r="AO46" s="501"/>
      <c r="AP46" s="501" t="str">
        <f>IF(T46="","",T46)</f>
        <v>Источник тепловой энергии  </v>
      </c>
      <c r="AQ46" s="501"/>
      <c r="AR46" s="501"/>
      <c r="AS46" s="1156">
        <v>21</v>
      </c>
    </row>
    <row s="1643" customFormat="1" customHeight="1" ht="0">
      <c r="A47" s="1344" t="s">
        <v>310</v>
      </c>
      <c r="B47" s="1344" t="s">
        <v>311</v>
      </c>
      <c r="C47" s="1344" t="s">
        <v>312</v>
      </c>
      <c r="D47" s="1344" t="s">
        <v>313</v>
      </c>
      <c r="E47" s="2260"/>
      <c r="F47" s="2260"/>
      <c r="G47" s="2260"/>
      <c r="H47" s="2260"/>
      <c r="I47" s="2257" t="str">
        <f>S46&amp;".1"</f>
        <v>....1</v>
      </c>
      <c r="J47" s="1344"/>
      <c r="K47" s="1344"/>
      <c r="L47" s="1347" t="s">
        <v>533</v>
      </c>
      <c r="M47" s="511"/>
      <c r="N47" s="511"/>
      <c r="O47" s="511"/>
      <c r="P47" s="2258">
        <v>1</v>
      </c>
      <c r="Q47" s="1332"/>
      <c r="R47" s="357"/>
      <c r="S47" s="1043"/>
      <c r="T47" s="1384"/>
      <c r="U47" s="1385"/>
      <c r="V47" s="2297"/>
      <c r="W47" s="2298"/>
      <c r="X47" s="2298"/>
      <c r="Y47" s="2298"/>
      <c r="Z47" s="2298"/>
      <c r="AA47" s="2298"/>
      <c r="AB47" s="2298"/>
      <c r="AC47" s="2299"/>
      <c r="AD47" s="2297"/>
      <c r="AE47" s="2298"/>
      <c r="AF47" s="2298"/>
      <c r="AG47" s="2298"/>
      <c r="AH47" s="2298"/>
      <c r="AI47" s="2298"/>
      <c r="AJ47" s="2298"/>
      <c r="AK47" s="2298"/>
      <c r="AL47" s="2299"/>
      <c r="AM47" s="1386"/>
      <c r="AO47" s="501"/>
      <c r="AP47" s="501" t="str">
        <f>IF(T47="","",T47)</f>
        <v/>
      </c>
      <c r="AQ47" s="501"/>
      <c r="AR47" s="501"/>
      <c r="AS47" s="512">
        <v>0</v>
      </c>
    </row>
    <row customHeight="1" ht="22.049999999999997">
      <c r="A48" s="1364" t="s">
        <v>310</v>
      </c>
      <c r="B48" s="1364" t="s">
        <v>311</v>
      </c>
      <c r="C48" s="1364" t="s">
        <v>312</v>
      </c>
      <c r="D48" s="1364" t="s">
        <v>313</v>
      </c>
      <c r="E48" s="2260"/>
      <c r="F48" s="2260"/>
      <c r="G48" s="2260"/>
      <c r="H48" s="2260"/>
      <c r="I48" s="2287"/>
      <c r="J48" s="2257" t="str">
        <f>S46&amp;".1"</f>
        <v>....1</v>
      </c>
      <c r="K48" s="1364"/>
      <c r="L48" s="1365" t="s">
        <v>536</v>
      </c>
      <c r="P48" s="2258"/>
      <c r="Q48" s="2258">
        <v>1</v>
      </c>
      <c r="R48" s="358"/>
      <c r="S48" s="1337" t="str">
        <f>$J48</f>
        <v>....1</v>
      </c>
      <c r="T48" s="287" t="s">
        <v>537</v>
      </c>
      <c r="U48" s="301"/>
      <c r="V48" s="2246"/>
      <c r="W48" s="2247"/>
      <c r="X48" s="2247"/>
      <c r="Y48" s="2247"/>
      <c r="Z48" s="2247"/>
      <c r="AA48" s="2247"/>
      <c r="AB48" s="2247"/>
      <c r="AC48" s="2248"/>
      <c r="AD48" s="2246"/>
      <c r="AE48" s="2247"/>
      <c r="AF48" s="2247"/>
      <c r="AG48" s="2247"/>
      <c r="AH48" s="2247"/>
      <c r="AI48" s="2247"/>
      <c r="AJ48" s="2247"/>
      <c r="AK48" s="2247"/>
      <c r="AL48" s="2248"/>
      <c r="AM48" s="1259" t="s">
        <v>538</v>
      </c>
      <c r="AO48" s="501"/>
      <c r="AP48" s="501" t="str">
        <f>IF(T48="","",T48)</f>
        <v>Группа потребителей</v>
      </c>
      <c r="AQ48" s="501"/>
      <c r="AR48" s="501"/>
      <c r="AS48" s="1156">
        <v>21</v>
      </c>
    </row>
    <row customHeight="1" ht="22.049999999999997">
      <c r="A49" s="1364" t="s">
        <v>310</v>
      </c>
      <c r="B49" s="1364" t="s">
        <v>311</v>
      </c>
      <c r="C49" s="1364" t="s">
        <v>312</v>
      </c>
      <c r="D49" s="1364" t="s">
        <v>313</v>
      </c>
      <c r="E49" s="2260"/>
      <c r="F49" s="2260"/>
      <c r="G49" s="2260"/>
      <c r="H49" s="2260"/>
      <c r="I49" s="2287"/>
      <c r="J49" s="2287"/>
      <c r="K49" s="2257" t="str">
        <f>J48&amp;".1"</f>
        <v>....1.1</v>
      </c>
      <c r="L49" s="1365" t="s">
        <v>539</v>
      </c>
      <c r="P49" s="2258"/>
      <c r="Q49" s="2258"/>
      <c r="R49" s="358">
        <v>1</v>
      </c>
      <c r="S49" s="1337" t="str">
        <f>$K49</f>
        <v>....1.1</v>
      </c>
      <c r="T49" s="1348"/>
      <c r="U49" s="301"/>
      <c r="V49" s="752"/>
      <c r="W49" s="326"/>
      <c r="X49" s="752"/>
      <c r="Y49" s="1258"/>
      <c r="Z49" s="2266"/>
      <c r="AA49" s="2108" t="s">
        <v>65</v>
      </c>
      <c r="AB49" s="2266"/>
      <c r="AC49" s="2108" t="s">
        <v>65</v>
      </c>
      <c r="AD49" s="752"/>
      <c r="AE49" s="326"/>
      <c r="AF49" s="752"/>
      <c r="AG49" s="1258"/>
      <c r="AH49" s="2266"/>
      <c r="AI49" s="2108" t="s">
        <v>65</v>
      </c>
      <c r="AJ49" s="2288"/>
      <c r="AK49" s="2108" t="s">
        <v>65</v>
      </c>
      <c r="AL49" s="1349"/>
      <c r="AM49" s="2254" t="s">
        <v>581</v>
      </c>
      <c r="AN49" s="512">
        <f>STRCHECKDATE(V50:AL50)</f>
      </c>
      <c r="AO49" s="501"/>
      <c r="AP49" s="501" t="str">
        <f>IF(T49="","",T49)</f>
        <v/>
      </c>
      <c r="AQ49" s="501"/>
      <c r="AR49" s="501"/>
      <c r="AS49" s="1156">
        <v>21</v>
      </c>
    </row>
    <row customHeight="1" ht="0">
      <c r="A50" s="1364" t="s">
        <v>310</v>
      </c>
      <c r="B50" s="1364" t="s">
        <v>311</v>
      </c>
      <c r="C50" s="1364" t="s">
        <v>312</v>
      </c>
      <c r="D50" s="1364" t="s">
        <v>313</v>
      </c>
      <c r="E50" s="2260"/>
      <c r="F50" s="2260"/>
      <c r="G50" s="2260"/>
      <c r="H50" s="2260"/>
      <c r="I50" s="2287"/>
      <c r="J50" s="2287"/>
      <c r="K50" s="2257"/>
      <c r="L50" s="1365"/>
      <c r="P50" s="2258"/>
      <c r="Q50" s="2258"/>
      <c r="R50" s="358"/>
      <c r="S50" s="1343"/>
      <c r="T50" s="301"/>
      <c r="U50" s="301"/>
      <c r="V50" s="326"/>
      <c r="W50" s="326"/>
      <c r="X50" s="326"/>
      <c r="Y50" s="329" t="str">
        <f>Z49&amp;"-"&amp;AB49</f>
        <v>-</v>
      </c>
      <c r="Z50" s="2267"/>
      <c r="AA50" s="2108"/>
      <c r="AB50" s="2267"/>
      <c r="AC50" s="2108"/>
      <c r="AD50" s="326"/>
      <c r="AE50" s="326"/>
      <c r="AF50" s="326"/>
      <c r="AG50" s="329" t="str">
        <f>AH49&amp;"-"&amp;AJ49</f>
        <v>-</v>
      </c>
      <c r="AH50" s="2267"/>
      <c r="AI50" s="2108"/>
      <c r="AJ50" s="2289"/>
      <c r="AK50" s="2108"/>
      <c r="AL50" s="1350"/>
      <c r="AM50" s="2255"/>
      <c r="AO50" s="501"/>
      <c r="AP50" s="501" t="str">
        <f>IF(T50="","",T50)</f>
        <v/>
      </c>
      <c r="AQ50" s="501"/>
      <c r="AR50" s="501"/>
      <c r="AS50" s="1156">
        <v>0</v>
      </c>
    </row>
    <row customHeight="1" ht="11.549999999999999">
      <c r="A51" s="1364" t="s">
        <v>310</v>
      </c>
      <c r="B51" s="1364" t="s">
        <v>311</v>
      </c>
      <c r="C51" s="1364" t="s">
        <v>312</v>
      </c>
      <c r="D51" s="1364" t="s">
        <v>313</v>
      </c>
      <c r="E51" s="2260"/>
      <c r="F51" s="2260"/>
      <c r="G51" s="2260"/>
      <c r="H51" s="2260"/>
      <c r="I51" s="2287"/>
      <c r="J51" s="2257"/>
      <c r="K51" s="1364"/>
      <c r="L51" s="1365"/>
      <c r="P51" s="2258"/>
      <c r="Q51" s="2258"/>
      <c r="R51" s="357"/>
      <c r="S51" s="1279"/>
      <c r="T51" s="288" t="s">
        <v>541</v>
      </c>
      <c r="U51" s="368"/>
      <c r="V51" s="368"/>
      <c r="W51" s="368"/>
      <c r="X51" s="368"/>
      <c r="Y51" s="368"/>
      <c r="Z51" s="368"/>
      <c r="AA51" s="368"/>
      <c r="AB51" s="368"/>
      <c r="AC51" s="368"/>
      <c r="AD51" s="368"/>
      <c r="AE51" s="368"/>
      <c r="AF51" s="368"/>
      <c r="AG51" s="368"/>
      <c r="AH51" s="368"/>
      <c r="AI51" s="368"/>
      <c r="AJ51" s="368"/>
      <c r="AK51" s="368"/>
      <c r="AL51" s="325"/>
      <c r="AM51" s="2256"/>
      <c r="AO51" s="501"/>
      <c r="AP51" s="501" t="str">
        <f>IF(T51="","",T51)</f>
        <v>Добавить вид теплоносителя (параметры теплоносителя)</v>
      </c>
      <c r="AQ51" s="501"/>
      <c r="AR51" s="501"/>
      <c r="AS51" s="1156">
        <v>11</v>
      </c>
    </row>
    <row customHeight="1" ht="11.549999999999999">
      <c r="A52" s="1364" t="s">
        <v>310</v>
      </c>
      <c r="B52" s="1364" t="s">
        <v>311</v>
      </c>
      <c r="C52" s="1364" t="s">
        <v>312</v>
      </c>
      <c r="D52" s="1364" t="s">
        <v>313</v>
      </c>
      <c r="E52" s="2260"/>
      <c r="F52" s="2260"/>
      <c r="G52" s="2260"/>
      <c r="H52" s="2260"/>
      <c r="I52" s="2257"/>
      <c r="J52" s="1364"/>
      <c r="K52" s="1364"/>
      <c r="L52" s="1365"/>
      <c r="P52" s="2258"/>
      <c r="Q52" s="1332"/>
      <c r="R52" s="357"/>
      <c r="S52" s="1279"/>
      <c r="T52" s="366" t="s">
        <v>542</v>
      </c>
      <c r="U52" s="368"/>
      <c r="V52" s="368"/>
      <c r="W52" s="368"/>
      <c r="X52" s="368"/>
      <c r="Y52" s="368"/>
      <c r="Z52" s="368"/>
      <c r="AA52" s="368"/>
      <c r="AB52" s="368"/>
      <c r="AC52" s="367"/>
      <c r="AD52" s="368"/>
      <c r="AE52" s="368"/>
      <c r="AF52" s="368"/>
      <c r="AG52" s="368"/>
      <c r="AH52" s="368"/>
      <c r="AI52" s="368"/>
      <c r="AJ52" s="368"/>
      <c r="AK52" s="367"/>
      <c r="AL52" s="368"/>
      <c r="AM52" s="304"/>
      <c r="AO52" s="501"/>
      <c r="AP52" s="501" t="str">
        <f>IF(T52="","",T52)</f>
        <v>Добавить группу потребителей</v>
      </c>
      <c r="AQ52" s="501"/>
      <c r="AR52" s="501"/>
      <c r="AS52" s="1156">
        <v>11</v>
      </c>
    </row>
    <row customHeight="1" ht="0">
      <c r="A53" s="1364" t="s">
        <v>310</v>
      </c>
      <c r="B53" s="1364" t="s">
        <v>311</v>
      </c>
      <c r="C53" s="1364" t="s">
        <v>312</v>
      </c>
      <c r="D53" s="1364" t="s">
        <v>313</v>
      </c>
      <c r="E53" s="2260"/>
      <c r="F53" s="2260"/>
      <c r="G53" s="2260"/>
      <c r="H53" s="2259"/>
      <c r="I53" s="1364"/>
      <c r="J53" s="1364"/>
      <c r="K53" s="1364"/>
      <c r="L53" s="1365"/>
      <c r="M53" s="1366"/>
      <c r="N53" s="1366"/>
      <c r="O53" s="538"/>
      <c r="P53" s="361"/>
      <c r="Q53" s="376"/>
      <c r="R53" s="356"/>
      <c r="S53" s="1387"/>
      <c r="T53" s="1388"/>
      <c r="U53" s="1389"/>
      <c r="V53" s="1389"/>
      <c r="W53" s="1389"/>
      <c r="X53" s="1389"/>
      <c r="Y53" s="1389"/>
      <c r="Z53" s="1389"/>
      <c r="AA53" s="1389"/>
      <c r="AB53" s="1389"/>
      <c r="AC53" s="1389"/>
      <c r="AD53" s="1389"/>
      <c r="AE53" s="1389"/>
      <c r="AF53" s="1389"/>
      <c r="AG53" s="1389"/>
      <c r="AH53" s="1389"/>
      <c r="AI53" s="1389"/>
      <c r="AJ53" s="1389"/>
      <c r="AK53" s="1389"/>
      <c r="AL53" s="1389"/>
      <c r="AM53" s="1390"/>
      <c r="AO53" s="501"/>
      <c r="AP53" s="501" t="str">
        <f>IF(T53="","",T53)</f>
        <v/>
      </c>
      <c r="AQ53" s="501"/>
      <c r="AR53" s="501"/>
      <c r="AS53" s="1156">
        <v>0</v>
      </c>
    </row>
    <row s="1643" customFormat="1" customHeight="1" ht="0">
      <c r="A54" s="1344" t="s">
        <v>310</v>
      </c>
      <c r="B54" s="1344" t="s">
        <v>311</v>
      </c>
      <c r="C54" s="1344" t="s">
        <v>312</v>
      </c>
      <c r="D54" s="1315"/>
      <c r="E54" s="2260"/>
      <c r="F54" s="2260"/>
      <c r="G54" s="2259"/>
      <c r="H54" s="1315"/>
      <c r="I54" s="1315"/>
      <c r="J54" s="1315"/>
      <c r="K54" s="1315"/>
      <c r="L54" s="1340"/>
      <c r="M54" s="1316"/>
      <c r="N54" s="1316"/>
      <c r="P54" s="1317"/>
      <c r="Q54" s="1318"/>
      <c r="R54" s="1317"/>
      <c r="S54" s="1323"/>
      <c r="T54" s="1326" t="s">
        <v>177</v>
      </c>
      <c r="U54" s="1325"/>
      <c r="V54" s="1325"/>
      <c r="W54" s="1325"/>
      <c r="X54" s="1325"/>
      <c r="Y54" s="1325"/>
      <c r="Z54" s="1325"/>
      <c r="AA54" s="1325"/>
      <c r="AB54" s="1325"/>
      <c r="AC54" s="1325"/>
      <c r="AD54" s="1325"/>
      <c r="AE54" s="1325"/>
      <c r="AF54" s="1325"/>
      <c r="AG54" s="1325"/>
      <c r="AH54" s="1325"/>
      <c r="AI54" s="1325"/>
      <c r="AJ54" s="1325"/>
      <c r="AK54" s="1325"/>
      <c r="AL54" s="1325"/>
      <c r="AM54" s="1325"/>
      <c r="AO54" s="790"/>
      <c r="AP54" s="790" t="str">
        <f>IF(T54="","",T54)</f>
        <v>Добавить источник для дифференциации</v>
      </c>
      <c r="AQ54" s="790"/>
      <c r="AR54" s="790"/>
      <c r="AS54" s="519">
        <v>0</v>
      </c>
    </row>
    <row s="1643" customFormat="1" customHeight="1" ht="0">
      <c r="A55" s="1344" t="s">
        <v>310</v>
      </c>
      <c r="B55" s="1344" t="s">
        <v>311</v>
      </c>
      <c r="C55" s="1315"/>
      <c r="D55" s="1315"/>
      <c r="E55" s="2260"/>
      <c r="F55" s="2259"/>
      <c r="G55" s="1315"/>
      <c r="H55" s="1315"/>
      <c r="I55" s="1315"/>
      <c r="J55" s="1315"/>
      <c r="K55" s="1315"/>
      <c r="L55" s="1340"/>
      <c r="M55" s="1322"/>
      <c r="N55" s="1322"/>
      <c r="P55" s="1317"/>
      <c r="Q55" s="1318"/>
      <c r="R55" s="1317"/>
      <c r="S55" s="1323"/>
      <c r="T55" s="1326" t="s">
        <v>178</v>
      </c>
      <c r="U55" s="1325"/>
      <c r="V55" s="1325"/>
      <c r="W55" s="1325"/>
      <c r="X55" s="1325"/>
      <c r="Y55" s="1325"/>
      <c r="Z55" s="1325"/>
      <c r="AA55" s="1325"/>
      <c r="AB55" s="1325"/>
      <c r="AC55" s="1325"/>
      <c r="AD55" s="1325"/>
      <c r="AE55" s="1325"/>
      <c r="AF55" s="1325"/>
      <c r="AG55" s="1325"/>
      <c r="AH55" s="1325"/>
      <c r="AI55" s="1325"/>
      <c r="AJ55" s="1325"/>
      <c r="AK55" s="1325"/>
      <c r="AL55" s="1325"/>
      <c r="AM55" s="1325"/>
      <c r="AO55" s="790"/>
      <c r="AP55" s="790" t="str">
        <f>IF(T55="","",T55)</f>
        <v>Добавить централизованную систему для дифференциации</v>
      </c>
      <c r="AQ55" s="790"/>
      <c r="AR55" s="790"/>
      <c r="AS55" s="519">
        <v>0</v>
      </c>
    </row>
    <row s="1643" customFormat="1" customHeight="1" ht="0">
      <c r="A56" s="1344" t="s">
        <v>310</v>
      </c>
      <c r="B56" s="1344"/>
      <c r="C56" s="1344"/>
      <c r="D56" s="1344"/>
      <c r="E56" s="2259"/>
      <c r="F56" s="1344"/>
      <c r="G56" s="1344"/>
      <c r="H56" s="1344"/>
      <c r="I56" s="1344"/>
      <c r="J56" s="1344"/>
      <c r="K56" s="1344"/>
      <c r="L56" s="1347"/>
      <c r="M56" s="1322"/>
      <c r="N56" s="1322"/>
      <c r="O56" s="519"/>
      <c r="P56" s="381"/>
      <c r="Q56" s="1345"/>
      <c r="R56" s="381"/>
      <c r="S56" s="1323"/>
      <c r="T56" s="1326" t="s">
        <v>183</v>
      </c>
      <c r="U56" s="1325"/>
      <c r="V56" s="1325"/>
      <c r="W56" s="1325"/>
      <c r="X56" s="1325"/>
      <c r="Y56" s="1325"/>
      <c r="Z56" s="1325"/>
      <c r="AA56" s="1325"/>
      <c r="AB56" s="1325"/>
      <c r="AC56" s="1325"/>
      <c r="AD56" s="1325"/>
      <c r="AE56" s="1325"/>
      <c r="AF56" s="1325"/>
      <c r="AG56" s="1325"/>
      <c r="AH56" s="1325"/>
      <c r="AI56" s="1325"/>
      <c r="AJ56" s="1325"/>
      <c r="AK56" s="1325"/>
      <c r="AL56" s="1325"/>
      <c r="AM56" s="1325"/>
      <c r="AO56" s="501"/>
      <c r="AP56" s="501" t="str">
        <f>IF(T56="","",T56)</f>
        <v>Добавить территорию для дифференциации</v>
      </c>
      <c r="AQ56" s="501"/>
      <c r="AR56" s="501"/>
      <c r="AS56" s="512">
        <v>0</v>
      </c>
    </row>
    <row s="1643" customFormat="1" customHeight="1" ht="4.2">
      <c r="A57" s="1315"/>
      <c r="B57" s="1315"/>
      <c r="C57" s="1315"/>
      <c r="D57" s="1315"/>
      <c r="E57" s="1344"/>
      <c r="F57" s="1315"/>
      <c r="G57" s="1315"/>
      <c r="H57" s="1315"/>
      <c r="I57" s="1315"/>
      <c r="J57" s="1315"/>
      <c r="K57" s="1315"/>
      <c r="L57" s="1340"/>
      <c r="M57" s="1322"/>
      <c r="N57" s="1322"/>
      <c r="P57" s="1317"/>
      <c r="Q57" s="1318"/>
      <c r="R57" s="1317"/>
      <c r="S57" s="1323"/>
      <c r="T57" s="1326" t="s">
        <v>222</v>
      </c>
      <c r="U57" s="1325"/>
      <c r="V57" s="1325"/>
      <c r="W57" s="1325"/>
      <c r="X57" s="1325"/>
      <c r="Y57" s="1325"/>
      <c r="Z57" s="1325"/>
      <c r="AA57" s="1325"/>
      <c r="AB57" s="1325"/>
      <c r="AC57" s="1325"/>
      <c r="AD57" s="1325"/>
      <c r="AE57" s="1325"/>
      <c r="AF57" s="1325"/>
      <c r="AG57" s="1325"/>
      <c r="AH57" s="1325"/>
      <c r="AI57" s="1325"/>
      <c r="AJ57" s="1325"/>
      <c r="AK57" s="1325"/>
      <c r="AL57" s="1325"/>
      <c r="AM57" s="1325"/>
      <c r="AO57" s="790"/>
      <c r="AP57" s="790" t="str">
        <f>IF(T57="","",T57)</f>
        <v>Добавить наименование тарифа</v>
      </c>
      <c r="AQ57" s="790"/>
      <c r="AR57" s="790"/>
      <c r="AS57" s="519">
        <v>4</v>
      </c>
    </row>
    <row customHeight="1" ht="11.549999999999999">
      <c r="M58" s="1161"/>
      <c r="N58" s="1161"/>
      <c r="O58" s="538"/>
      <c r="P58" s="1156"/>
      <c r="Q58" s="1156"/>
      <c r="R58" s="1156"/>
      <c r="S58" s="1156"/>
      <c r="AN58" s="1156"/>
      <c r="AO58" s="1156"/>
      <c r="AP58" s="1156"/>
      <c r="AQ58" s="1156"/>
      <c r="AR58" s="1156"/>
      <c r="AS58" s="1156">
        <v>11</v>
      </c>
    </row>
    <row customHeight="1" ht="14.699999999999998">
      <c r="O59" s="538"/>
      <c r="S59" s="1254"/>
      <c r="T59" s="2286"/>
      <c r="U59" s="2286"/>
      <c r="V59" s="2286"/>
      <c r="W59" s="2286"/>
      <c r="X59" s="2286"/>
      <c r="Y59" s="2286"/>
      <c r="Z59" s="2286"/>
      <c r="AA59" s="2286"/>
      <c r="AB59" s="2286"/>
      <c r="AC59" s="2286"/>
      <c r="AD59" s="2286"/>
      <c r="AE59" s="2286"/>
      <c r="AF59" s="2286"/>
      <c r="AG59" s="2286"/>
      <c r="AH59" s="2286"/>
      <c r="AI59" s="2286"/>
      <c r="AJ59" s="2286"/>
      <c r="AK59" s="2286"/>
      <c r="AL59" s="2286"/>
      <c r="AM59" s="2286"/>
      <c r="AS59" s="1156">
        <v>14</v>
      </c>
    </row>
    <row customHeight="1" ht="14.699999999999998">
      <c r="O60" s="538"/>
      <c r="T60" s="2286"/>
      <c r="U60" s="2286"/>
      <c r="V60" s="2286"/>
      <c r="W60" s="2286"/>
      <c r="X60" s="2286"/>
      <c r="Y60" s="2286"/>
      <c r="Z60" s="2286"/>
      <c r="AA60" s="2286"/>
      <c r="AB60" s="2286"/>
      <c r="AC60" s="2286"/>
      <c r="AD60" s="2286"/>
      <c r="AE60" s="2286"/>
      <c r="AF60" s="2286"/>
      <c r="AG60" s="2286"/>
      <c r="AH60" s="2286"/>
      <c r="AI60" s="2286"/>
      <c r="AJ60" s="2286"/>
      <c r="AK60" s="2286"/>
      <c r="AL60" s="2286"/>
      <c r="AM60" s="2286"/>
      <c r="AS60" s="1156">
        <v>14</v>
      </c>
    </row>
    <row customHeight="1" ht="14.699999999999998">
      <c r="O61" s="538"/>
      <c r="T61" s="2286"/>
      <c r="U61" s="2286"/>
      <c r="V61" s="2286"/>
      <c r="W61" s="2286"/>
      <c r="X61" s="2286"/>
      <c r="Y61" s="2286"/>
      <c r="Z61" s="2286"/>
      <c r="AA61" s="2286"/>
      <c r="AB61" s="2286"/>
      <c r="AC61" s="2286"/>
      <c r="AD61" s="2286"/>
      <c r="AE61" s="2286"/>
      <c r="AF61" s="2286"/>
      <c r="AG61" s="2286"/>
      <c r="AH61" s="2286"/>
      <c r="AI61" s="2286"/>
      <c r="AJ61" s="2286"/>
      <c r="AK61" s="2286"/>
      <c r="AL61" s="2286"/>
      <c r="AM61" s="2286"/>
      <c r="AS61" s="1156">
        <v>14</v>
      </c>
    </row>
    <row customHeight="1" ht="14.699999999999998">
      <c r="O62" s="538"/>
      <c r="AS62" s="1156">
        <v>14</v>
      </c>
    </row>
    <row customHeight="1" ht="14.699999999999998">
      <c r="O63" s="538"/>
      <c r="S63" s="1254"/>
      <c r="T63" s="2300"/>
      <c r="U63" s="2286"/>
      <c r="V63" s="2286"/>
      <c r="W63" s="2286"/>
      <c r="X63" s="2286"/>
      <c r="Y63" s="2286"/>
      <c r="Z63" s="2286"/>
      <c r="AA63" s="2286"/>
      <c r="AB63" s="2286"/>
      <c r="AC63" s="2286"/>
      <c r="AD63" s="2286"/>
      <c r="AE63" s="2286"/>
      <c r="AF63" s="2286"/>
      <c r="AG63" s="2286"/>
      <c r="AH63" s="2286"/>
      <c r="AI63" s="2286"/>
      <c r="AJ63" s="2286"/>
      <c r="AK63" s="2286"/>
      <c r="AL63" s="2286"/>
      <c r="AM63" s="2286"/>
      <c r="AS63" s="1156">
        <v>14</v>
      </c>
    </row>
    <row customHeight="1" ht="14.699999999999998">
      <c r="O64" s="538"/>
      <c r="T64" s="2286"/>
      <c r="U64" s="2286"/>
      <c r="V64" s="2286"/>
      <c r="W64" s="2286"/>
      <c r="X64" s="2286"/>
      <c r="Y64" s="2286"/>
      <c r="Z64" s="2286"/>
      <c r="AA64" s="2286"/>
      <c r="AB64" s="2286"/>
      <c r="AC64" s="2286"/>
      <c r="AD64" s="2286"/>
      <c r="AE64" s="2286"/>
      <c r="AF64" s="2286"/>
      <c r="AG64" s="2286"/>
      <c r="AH64" s="2286"/>
      <c r="AI64" s="2286"/>
      <c r="AJ64" s="2286"/>
      <c r="AK64" s="2286"/>
      <c r="AL64" s="2286"/>
      <c r="AM64" s="2286"/>
      <c r="AS64" s="1156">
        <v>14</v>
      </c>
    </row>
    <row customHeight="1" ht="14.699999999999998">
      <c r="T65" s="2286"/>
      <c r="U65" s="2286"/>
      <c r="V65" s="2286"/>
      <c r="W65" s="2286"/>
      <c r="X65" s="2286"/>
      <c r="Y65" s="2286"/>
      <c r="Z65" s="2286"/>
      <c r="AA65" s="2286"/>
      <c r="AB65" s="2286"/>
      <c r="AC65" s="2286"/>
      <c r="AD65" s="2286"/>
      <c r="AE65" s="2286"/>
      <c r="AF65" s="2286"/>
      <c r="AG65" s="2286"/>
      <c r="AH65" s="2286"/>
      <c r="AI65" s="2286"/>
      <c r="AJ65" s="2286"/>
      <c r="AK65" s="2286"/>
      <c r="AL65" s="2286"/>
      <c r="AM65" s="2286"/>
      <c r="AS65" s="1156">
        <v>14</v>
      </c>
    </row>
    <row customHeight="1" ht="22.5" hidden="1">
      <c r="A66" s="1161" t="s">
        <v>86</v>
      </c>
      <c r="B66" s="1161">
        <v>0</v>
      </c>
      <c r="C66" s="1161">
        <v>0</v>
      </c>
      <c r="D66" s="1161">
        <v>0</v>
      </c>
      <c r="E66" s="1161">
        <v>0</v>
      </c>
      <c r="F66" s="1161">
        <v>0</v>
      </c>
      <c r="G66" s="1161">
        <v>0</v>
      </c>
      <c r="H66" s="1161">
        <v>0</v>
      </c>
      <c r="I66" s="1161">
        <v>0</v>
      </c>
      <c r="J66" s="1161">
        <v>0</v>
      </c>
      <c r="K66" s="1161">
        <v>0</v>
      </c>
      <c r="L66" s="1330">
        <v>0</v>
      </c>
      <c r="M66" s="1363">
        <v>0</v>
      </c>
      <c r="N66" s="1363">
        <v>0</v>
      </c>
      <c r="O66" s="1363">
        <v>0</v>
      </c>
      <c r="P66" s="1329">
        <v>0</v>
      </c>
      <c r="Q66" s="345">
        <v>3</v>
      </c>
      <c r="R66" s="345">
        <v>3</v>
      </c>
      <c r="S66" s="582">
        <v>12</v>
      </c>
      <c r="T66" s="1156">
        <v>31</v>
      </c>
      <c r="U66" s="1156">
        <v>0</v>
      </c>
      <c r="V66" s="1156">
        <v>0</v>
      </c>
      <c r="W66" s="1156">
        <v>0</v>
      </c>
      <c r="X66" s="1156">
        <v>0</v>
      </c>
      <c r="Y66" s="1156">
        <v>0</v>
      </c>
      <c r="Z66" s="1156">
        <v>0</v>
      </c>
      <c r="AA66" s="1156">
        <v>0</v>
      </c>
      <c r="AB66" s="1156">
        <v>0</v>
      </c>
      <c r="AC66" s="1156">
        <v>0</v>
      </c>
      <c r="AD66" s="1156">
        <v>24</v>
      </c>
      <c r="AE66" s="1156">
        <v>0</v>
      </c>
      <c r="AF66" s="1156">
        <v>24</v>
      </c>
      <c r="AG66" s="1156">
        <v>24</v>
      </c>
      <c r="AH66" s="1156">
        <v>11</v>
      </c>
      <c r="AI66" s="1156">
        <v>3</v>
      </c>
      <c r="AJ66" s="1156">
        <v>11</v>
      </c>
      <c r="AK66" s="1156">
        <v>0</v>
      </c>
      <c r="AL66" s="1156">
        <v>4</v>
      </c>
      <c r="AM66" s="1156">
        <v>115</v>
      </c>
      <c r="AN66" s="512">
        <v>10</v>
      </c>
      <c r="AO66" s="512">
        <v>10</v>
      </c>
      <c r="AP66" s="512">
        <v>10</v>
      </c>
      <c r="AQ66" s="512">
        <v>10</v>
      </c>
      <c r="AR66" s="512">
        <v>10</v>
      </c>
      <c r="AS66" s="1156">
        <v>23</v>
      </c>
    </row>
  </sheetData>
  <sheetProtection formatColumns="0" formatRows="0" autoFilter="0" sort="0" insertRows="0" insertColumns="1" deleteRows="0" deleteColumns="0"/>
  <mergeCells count="113">
    <mergeCell ref="V37:AC37"/>
    <mergeCell ref="AD37:AK37"/>
    <mergeCell ref="AI49:AI50"/>
    <mergeCell ref="AJ49:AJ50"/>
    <mergeCell ref="AK49:AK50"/>
    <mergeCell ref="T65:AM65"/>
    <mergeCell ref="S34:T34"/>
    <mergeCell ref="V34:AB34"/>
    <mergeCell ref="AD34:AJ34"/>
    <mergeCell ref="S35:T35"/>
    <mergeCell ref="V35:AB35"/>
    <mergeCell ref="AD35:AJ35"/>
    <mergeCell ref="T63:AM63"/>
    <mergeCell ref="T64:AM64"/>
    <mergeCell ref="AM49:AM51"/>
    <mergeCell ref="T59:AM59"/>
    <mergeCell ref="T60:AM60"/>
    <mergeCell ref="T61:AM61"/>
    <mergeCell ref="V47:AC47"/>
    <mergeCell ref="AD47:AL47"/>
    <mergeCell ref="AA42:AB42"/>
    <mergeCell ref="AI42:AJ42"/>
    <mergeCell ref="AE40:AE41"/>
    <mergeCell ref="AF40:AG40"/>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J48:J51"/>
    <mergeCell ref="Q48:Q51"/>
    <mergeCell ref="V48:AC48"/>
    <mergeCell ref="AD48:AL48"/>
    <mergeCell ref="K49:K50"/>
    <mergeCell ref="Z49:Z50"/>
    <mergeCell ref="AA49:AA50"/>
    <mergeCell ref="AB49:AB50"/>
    <mergeCell ref="AC49:AC50"/>
    <mergeCell ref="AH49:AH50"/>
    <mergeCell ref="S38:AL38"/>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I41:AJ41"/>
    <mergeCell ref="AH40:AJ40"/>
    <mergeCell ref="AA41:AB41"/>
    <mergeCell ref="S31:T31"/>
    <mergeCell ref="V31:AB31"/>
    <mergeCell ref="AD31:AJ31"/>
    <mergeCell ref="S32:T32"/>
    <mergeCell ref="V32:AB32"/>
    <mergeCell ref="AD32:AJ32"/>
    <mergeCell ref="S27:AJ27"/>
    <mergeCell ref="S29:T29"/>
    <mergeCell ref="V29:AB29"/>
    <mergeCell ref="AD29:AJ29"/>
    <mergeCell ref="S30:T30"/>
    <mergeCell ref="V30:AB30"/>
    <mergeCell ref="AD30:AJ30"/>
    <mergeCell ref="AM8:AM10"/>
    <mergeCell ref="AH17:AH18"/>
    <mergeCell ref="AI17:AI18"/>
    <mergeCell ref="AJ17:AJ18"/>
    <mergeCell ref="AK17:AK18"/>
    <mergeCell ref="J7:J10"/>
    <mergeCell ref="Q7:Q10"/>
    <mergeCell ref="V7:AC7"/>
    <mergeCell ref="AD7:AL7"/>
    <mergeCell ref="K8:K9"/>
    <mergeCell ref="Z8:Z9"/>
    <mergeCell ref="AA8:AA9"/>
    <mergeCell ref="AB8:AB9"/>
    <mergeCell ref="AC8:AC9"/>
    <mergeCell ref="AH8:AH9"/>
    <mergeCell ref="AI8:AI9"/>
    <mergeCell ref="AJ8:AJ9"/>
    <mergeCell ref="AK8:AK9"/>
    <mergeCell ref="S26:AJ26"/>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s>
  <dataValidations count="8">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93265 AK49 AK524337 AK8 AK589873 AK655409 AK17 AK720945 AK786481 AK852017 AK917553 AK983089 AK65585 AK131121 AK458801 AI49 AK196657 AI8 AC8 AA8 AI17 AK262193 AA49 AC49 AK327729"/>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3A8A6ED-E57E-E157-83F2-E98B6EC5D3D8}" mc:Ignorable="x14ac xr xr2 xr3">
  <sheetPr>
    <tabColor theme="6" tint="0.4"/>
  </sheetPr>
  <dimension ref="A1:BF152"/>
  <sheetViews>
    <sheetView showGridLines="0" zoomScale="90" workbookViewId="0" tabSelected="1">
      <pane xSplit="32" ySplit="48" topLeftCell="AG49" activePane="bottomRight" state="frozen"/>
      <selection pane="bottomLeft" activeCell="A49" sqref="A49"/>
      <selection pane="topRight" activeCell="AG1" sqref="AG1"/>
      <selection pane="bottomRight" activeCell="AH136" sqref="AH136"/>
    </sheetView>
  </sheetViews>
  <sheetFormatPr defaultColWidth="10.57421875" customHeight="1" defaultRowHeight="14.25"/>
  <cols>
    <col min="1" max="1" style="1636" width="10.57421875" hidden="1"/>
    <col min="2" max="2" style="1636" width="11.00390625" hidden="1" customWidth="1"/>
    <col min="3" max="3" style="1636" width="10.57421875" hidden="1"/>
    <col min="4" max="4" style="1636" width="11.8515625" hidden="1" customWidth="1"/>
    <col min="5" max="5" style="1636" width="10.00390625" hidden="1" customWidth="1"/>
    <col min="6" max="6" style="1636" width="8.7109375" hidden="1" customWidth="1"/>
    <col min="7" max="7" style="1636" width="7.57421875" hidden="1" customWidth="1"/>
    <col min="8" max="8" style="1636" width="11.421875" hidden="1" customWidth="1"/>
    <col min="9" max="9" style="1636" width="12.00390625" hidden="1" customWidth="1"/>
    <col min="10" max="10" style="1636" width="9.8515625" hidden="1" customWidth="1"/>
    <col min="11" max="12" style="1636" width="11.421875" hidden="1" customWidth="1"/>
    <col min="13" max="13" style="2126" width="19.140625" hidden="1" customWidth="1"/>
    <col min="14" max="15" style="2398" width="12.28125" hidden="1" customWidth="1"/>
    <col min="16" max="16" style="2398" width="23.421875" hidden="1" customWidth="1"/>
    <col min="17" max="17" style="2398" width="3.7109375" hidden="1" customWidth="1"/>
    <col min="18" max="20" style="345" width="3.00390625" customWidth="1"/>
    <col min="21" max="21" style="2408" width="12.00390625" customWidth="1"/>
    <col min="22" max="22" style="1636" width="31.00390625" customWidth="1"/>
    <col min="23" max="23" style="1636" width="0.140625" customWidth="1"/>
    <col min="24" max="28" style="1636" width="21.7109375" hidden="1" customWidth="1"/>
    <col min="29" max="29" style="1636" width="11.7109375" hidden="1" customWidth="1"/>
    <col min="30" max="30" style="1636" width="3.7109375" hidden="1" customWidth="1"/>
    <col min="31" max="31" style="1636" width="11.7109375" hidden="1" customWidth="1"/>
    <col min="32" max="32" style="1636" width="8.57421875" hidden="1" customWidth="1"/>
    <col min="33" max="33" style="1636" width="21.7109375" customWidth="1"/>
    <col min="34" max="37" style="1636" width="21.00390625" customWidth="1"/>
    <col min="38" max="38" style="1636" width="11.00390625" customWidth="1"/>
    <col min="39" max="39" style="1636" width="3.7109375" customWidth="1"/>
    <col min="40" max="40" style="1636" width="11.00390625" customWidth="1"/>
    <col min="41" max="41" style="1636" width="8.57421875" customWidth="1"/>
    <col min="50" max="50" style="65" width="10.57421875" hidden="1"/>
    <col min="51" max="51" style="1636" width="4.00390625" customWidth="1"/>
    <col min="52" max="52" style="1636" width="115.00390625" customWidth="1"/>
    <col min="53" max="57" style="1643" width="10.00390625" customWidth="1"/>
    <col min="58" max="58" style="1636" width="10.57421875" hidden="1"/>
  </cols>
  <sheetData>
    <row customHeight="1" ht="22.5" hidden="1">
      <c r="AB1" s="328"/>
      <c r="AC1" s="328"/>
      <c r="AK1" s="328"/>
      <c r="AL1" s="328"/>
      <c r="AP1" s="1636"/>
      <c r="AQ1" s="1636"/>
      <c r="AR1" s="1636"/>
      <c r="AS1" s="1636"/>
      <c r="AT1" s="1636"/>
      <c r="AU1" s="1636"/>
      <c r="AV1" s="1636"/>
      <c r="AW1" s="1636"/>
      <c r="AX1" s="5239"/>
      <c r="BF1" s="1156" t="s">
        <v>14</v>
      </c>
    </row>
    <row customHeight="1" ht="21" hidden="1">
      <c r="A2" s="1268"/>
      <c r="B2" s="1268"/>
      <c r="C2" s="1268"/>
      <c r="D2" s="1268"/>
      <c r="E2" s="2290">
        <v>1</v>
      </c>
      <c r="F2" s="1268"/>
      <c r="G2" s="1268"/>
      <c r="H2" s="1268"/>
      <c r="I2" s="1268"/>
      <c r="J2" s="1268"/>
      <c r="K2" s="1268"/>
      <c r="L2" s="1268"/>
      <c r="M2" s="1311"/>
      <c r="N2" s="689"/>
      <c r="O2" s="689"/>
      <c r="P2" s="689"/>
      <c r="Q2" s="362"/>
      <c r="R2" s="361"/>
      <c r="S2" s="361"/>
      <c r="T2" s="356"/>
      <c r="U2" s="1337">
        <f>INDEX(PT_DIFFERENTIATION_NUM_NTAR,MATCH(A2,PT_DIFFERENTIATION_NTAR_ID,0))</f>
      </c>
      <c r="V2" s="299" t="s">
        <v>136</v>
      </c>
      <c r="W2" s="301"/>
      <c r="X2" s="2243"/>
      <c r="Y2" s="2244"/>
      <c r="Z2" s="2244"/>
      <c r="AA2" s="2244"/>
      <c r="AB2" s="2244"/>
      <c r="AC2" s="2244"/>
      <c r="AD2" s="2244"/>
      <c r="AE2" s="2244"/>
      <c r="AF2" s="2245"/>
      <c r="AG2" s="2243">
        <f>INDEX(PT_DIFFERENTIATION_NTAR,MATCH(A2,PT_DIFFERENTIATION_NTAR_ID,0))</f>
      </c>
      <c r="AH2" s="2244"/>
      <c r="AI2" s="2244"/>
      <c r="AJ2" s="2244"/>
      <c r="AK2" s="2244"/>
      <c r="AL2" s="2244"/>
      <c r="AM2" s="2244"/>
      <c r="AN2" s="2244"/>
      <c r="AO2" s="2244"/>
      <c r="AP2" s="2243"/>
      <c r="AQ2" s="2244"/>
      <c r="AR2" s="2244"/>
      <c r="AS2" s="2244"/>
      <c r="AT2" s="2244"/>
      <c r="AU2" s="2244"/>
      <c r="AV2" s="2244"/>
      <c r="AW2" s="2244"/>
      <c r="AX2" s="5240"/>
      <c r="AY2" s="2245"/>
      <c r="AZ2" s="1259" t="s">
        <v>526</v>
      </c>
      <c r="BB2" s="501"/>
      <c r="BC2" s="501" t="str">
        <f>IF(V2="","",V2)</f>
        <v>Наименование тарифа</v>
      </c>
      <c r="BD2" s="501"/>
      <c r="BE2" s="501"/>
      <c r="BF2" s="1156">
        <v>0</v>
      </c>
    </row>
    <row customHeight="1" ht="21" hidden="1">
      <c r="A3" s="1268"/>
      <c r="B3" s="1268"/>
      <c r="C3" s="1268"/>
      <c r="D3" s="1268"/>
      <c r="E3" s="2291"/>
      <c r="F3" s="2290">
        <v>1</v>
      </c>
      <c r="G3" s="1268"/>
      <c r="H3" s="1268"/>
      <c r="I3" s="1268"/>
      <c r="J3" s="1268"/>
      <c r="K3" s="1268"/>
      <c r="L3" s="1268"/>
      <c r="M3" s="1311"/>
      <c r="N3" s="689"/>
      <c r="O3" s="689"/>
      <c r="P3" s="689"/>
      <c r="Q3" s="1333"/>
      <c r="R3" s="353"/>
      <c r="S3" s="510"/>
      <c r="T3" s="354"/>
      <c r="U3" s="1337">
        <f>INDEX(PT_DIFFERENTIATION_NUM_TER,MATCH(B3,PT_DIFFERENTIATION_TER_ID,0))</f>
      </c>
      <c r="V3" s="309" t="s">
        <v>527</v>
      </c>
      <c r="W3" s="301"/>
      <c r="X3" s="2243"/>
      <c r="Y3" s="2244"/>
      <c r="Z3" s="2244"/>
      <c r="AA3" s="2244"/>
      <c r="AB3" s="2244"/>
      <c r="AC3" s="2244"/>
      <c r="AD3" s="2244"/>
      <c r="AE3" s="2244"/>
      <c r="AF3" s="2245"/>
      <c r="AG3" s="2243">
        <f>INDEX(PT_DIFFERENTIATION_TER,MATCH(B3,PT_DIFFERENTIATION_TER_ID,0))</f>
      </c>
      <c r="AH3" s="2244"/>
      <c r="AI3" s="2244"/>
      <c r="AJ3" s="2244"/>
      <c r="AK3" s="2244"/>
      <c r="AL3" s="2244"/>
      <c r="AM3" s="2244"/>
      <c r="AN3" s="2244"/>
      <c r="AO3" s="2244"/>
      <c r="AP3" s="2243"/>
      <c r="AQ3" s="2244"/>
      <c r="AR3" s="2244"/>
      <c r="AS3" s="2244"/>
      <c r="AT3" s="2244"/>
      <c r="AU3" s="2244"/>
      <c r="AV3" s="2244"/>
      <c r="AW3" s="2244"/>
      <c r="AX3" s="5240"/>
      <c r="AY3" s="2245"/>
      <c r="AZ3" s="1259" t="s">
        <v>528</v>
      </c>
      <c r="BB3" s="501"/>
      <c r="BC3" s="501" t="str">
        <f>IF(V3="","",V3)</f>
        <v>Территория действия тарифа</v>
      </c>
      <c r="BD3" s="501"/>
      <c r="BE3" s="501"/>
      <c r="BF3" s="1156">
        <v>0</v>
      </c>
    </row>
    <row customHeight="1" ht="22.5" hidden="1">
      <c r="A4" s="1268"/>
      <c r="B4" s="1268"/>
      <c r="C4" s="1268"/>
      <c r="D4" s="1268"/>
      <c r="E4" s="2291"/>
      <c r="F4" s="2291"/>
      <c r="G4" s="2290">
        <v>1</v>
      </c>
      <c r="H4" s="1268"/>
      <c r="I4" s="1268"/>
      <c r="J4" s="1268"/>
      <c r="K4" s="1268"/>
      <c r="L4" s="1268"/>
      <c r="M4" s="1311"/>
      <c r="N4" s="689"/>
      <c r="O4" s="689"/>
      <c r="P4" s="689"/>
      <c r="Q4" s="355"/>
      <c r="R4" s="353"/>
      <c r="S4" s="510"/>
      <c r="T4" s="354"/>
      <c r="U4" s="1337">
        <f>INDEX(PT_DIFFERENTIATION_NUM_CS,MATCH(C4,PT_DIFFERENTIATION_CS_ID,0))</f>
      </c>
      <c r="V4" s="310" t="s">
        <v>529</v>
      </c>
      <c r="W4" s="301"/>
      <c r="X4" s="2243"/>
      <c r="Y4" s="2244"/>
      <c r="Z4" s="2244"/>
      <c r="AA4" s="2244"/>
      <c r="AB4" s="2244"/>
      <c r="AC4" s="2244"/>
      <c r="AD4" s="2244"/>
      <c r="AE4" s="2244"/>
      <c r="AF4" s="2245"/>
      <c r="AG4" s="2243">
        <f>INDEX(PT_DIFFERENTIATION_CS,MATCH(C4,PT_DIFFERENTIATION_CS_ID,0))</f>
      </c>
      <c r="AH4" s="2244"/>
      <c r="AI4" s="2244"/>
      <c r="AJ4" s="2244"/>
      <c r="AK4" s="2244"/>
      <c r="AL4" s="2244"/>
      <c r="AM4" s="2244"/>
      <c r="AN4" s="2244"/>
      <c r="AO4" s="2244"/>
      <c r="AP4" s="2243"/>
      <c r="AQ4" s="2244"/>
      <c r="AR4" s="2244"/>
      <c r="AS4" s="2244"/>
      <c r="AT4" s="2244"/>
      <c r="AU4" s="2244"/>
      <c r="AV4" s="2244"/>
      <c r="AW4" s="2244"/>
      <c r="AX4" s="5240"/>
      <c r="AY4" s="2245"/>
      <c r="AZ4" s="1259" t="s">
        <v>530</v>
      </c>
      <c r="BB4" s="501"/>
      <c r="BC4" s="501" t="str">
        <f>IF(V4="","",V4)</f>
        <v>Наименование системы теплоснабжения </v>
      </c>
      <c r="BD4" s="501"/>
      <c r="BE4" s="501"/>
      <c r="BF4" s="1156">
        <v>0</v>
      </c>
    </row>
    <row customHeight="1" ht="21" hidden="1">
      <c r="A5" s="1268"/>
      <c r="B5" s="1268"/>
      <c r="C5" s="1268"/>
      <c r="D5" s="1268"/>
      <c r="E5" s="2291"/>
      <c r="F5" s="2291"/>
      <c r="G5" s="2291"/>
      <c r="H5" s="2290">
        <v>1</v>
      </c>
      <c r="I5" s="1268"/>
      <c r="J5" s="1268"/>
      <c r="K5" s="1268"/>
      <c r="L5" s="1268"/>
      <c r="M5" s="1311"/>
      <c r="N5" s="689"/>
      <c r="O5" s="689"/>
      <c r="P5" s="689"/>
      <c r="Q5" s="355"/>
      <c r="R5" s="353"/>
      <c r="S5" s="510"/>
      <c r="T5" s="354"/>
      <c r="U5" s="1337">
        <f>INDEX(PT_DIFFERENTIATION_NUM_IST_TE,MATCH(D5,PT_DIFFERENTIATION_IST_TE_ID,0))</f>
      </c>
      <c r="V5" s="311" t="s">
        <v>531</v>
      </c>
      <c r="W5" s="301"/>
      <c r="X5" s="2243"/>
      <c r="Y5" s="2244"/>
      <c r="Z5" s="2244"/>
      <c r="AA5" s="2244"/>
      <c r="AB5" s="2244"/>
      <c r="AC5" s="2244"/>
      <c r="AD5" s="2244"/>
      <c r="AE5" s="2244"/>
      <c r="AF5" s="2245"/>
      <c r="AG5" s="2243">
        <f>INDEX(PT_DIFFERENTIATION_IST_TE,MATCH(D5,PT_DIFFERENTIATION_IST_TE_ID,0))</f>
      </c>
      <c r="AH5" s="2244"/>
      <c r="AI5" s="2244"/>
      <c r="AJ5" s="2244"/>
      <c r="AK5" s="2244"/>
      <c r="AL5" s="2244"/>
      <c r="AM5" s="2244"/>
      <c r="AN5" s="2244"/>
      <c r="AO5" s="2244"/>
      <c r="AP5" s="2243"/>
      <c r="AQ5" s="2244"/>
      <c r="AR5" s="2244"/>
      <c r="AS5" s="2244"/>
      <c r="AT5" s="2244"/>
      <c r="AU5" s="2244"/>
      <c r="AV5" s="2244"/>
      <c r="AW5" s="2244"/>
      <c r="AX5" s="5240"/>
      <c r="AY5" s="2245"/>
      <c r="AZ5" s="1259" t="s">
        <v>532</v>
      </c>
      <c r="BB5" s="501"/>
      <c r="BC5" s="501" t="str">
        <f>IF(V5="","",V5)</f>
        <v>Источник тепловой энергии  </v>
      </c>
      <c r="BD5" s="501"/>
      <c r="BE5" s="501"/>
      <c r="BF5" s="1156">
        <v>0</v>
      </c>
    </row>
    <row customHeight="1" ht="14.25" hidden="1">
      <c r="A6" s="1268"/>
      <c r="B6" s="1268"/>
      <c r="C6" s="1268"/>
      <c r="D6" s="1268"/>
      <c r="E6" s="2291"/>
      <c r="F6" s="2291"/>
      <c r="G6" s="2291"/>
      <c r="H6" s="2291"/>
      <c r="I6" s="2128">
        <f>U5&amp;".1"</f>
      </c>
      <c r="J6" s="1268"/>
      <c r="K6" s="1268"/>
      <c r="L6" s="1268"/>
      <c r="M6" s="1311" t="s">
        <v>533</v>
      </c>
      <c r="N6" s="510"/>
      <c r="Q6" s="2258">
        <v>1</v>
      </c>
      <c r="R6" s="1332"/>
      <c r="S6" s="1332"/>
      <c r="T6" s="357"/>
      <c r="U6" s="1043"/>
      <c r="V6" s="1384"/>
      <c r="W6" s="1385"/>
      <c r="X6" s="2297"/>
      <c r="Y6" s="2298"/>
      <c r="Z6" s="2298"/>
      <c r="AA6" s="2298"/>
      <c r="AB6" s="2298"/>
      <c r="AC6" s="2298"/>
      <c r="AD6" s="2298"/>
      <c r="AE6" s="2298"/>
      <c r="AF6" s="2299"/>
      <c r="AG6" s="2297"/>
      <c r="AH6" s="2298"/>
      <c r="AI6" s="2298"/>
      <c r="AJ6" s="2298"/>
      <c r="AK6" s="2298"/>
      <c r="AL6" s="2298"/>
      <c r="AM6" s="2298"/>
      <c r="AN6" s="2298"/>
      <c r="AO6" s="2298"/>
      <c r="AP6" s="2297"/>
      <c r="AQ6" s="2298"/>
      <c r="AR6" s="2298"/>
      <c r="AS6" s="2298"/>
      <c r="AT6" s="2298"/>
      <c r="AU6" s="2298"/>
      <c r="AV6" s="2298"/>
      <c r="AW6" s="2298"/>
      <c r="AX6" s="5309"/>
      <c r="AY6" s="2299"/>
      <c r="AZ6" s="1386"/>
      <c r="BB6" s="501"/>
      <c r="BC6" s="501" t="str">
        <f>IF(V6="","",V6)</f>
        <v/>
      </c>
      <c r="BD6" s="501"/>
      <c r="BE6" s="501"/>
      <c r="BF6" s="1156">
        <v>0</v>
      </c>
    </row>
    <row customHeight="1" ht="21" hidden="1">
      <c r="A7" s="1268"/>
      <c r="B7" s="1268"/>
      <c r="C7" s="1268"/>
      <c r="D7" s="1268"/>
      <c r="E7" s="2291"/>
      <c r="F7" s="2291"/>
      <c r="G7" s="2291"/>
      <c r="H7" s="2291"/>
      <c r="I7" s="2102"/>
      <c r="J7" s="2128">
        <f>I6&amp;".1"</f>
      </c>
      <c r="K7" s="1268"/>
      <c r="L7" s="1268"/>
      <c r="M7" s="1311" t="s">
        <v>536</v>
      </c>
      <c r="N7" s="510"/>
      <c r="O7" s="328"/>
      <c r="Q7" s="2258"/>
      <c r="R7" s="2258">
        <v>1</v>
      </c>
      <c r="S7" s="519"/>
      <c r="T7" s="358"/>
      <c r="U7" s="1337">
        <f>$J7</f>
      </c>
      <c r="V7" s="287" t="s">
        <v>537</v>
      </c>
      <c r="W7" s="301"/>
      <c r="X7" s="2246"/>
      <c r="Y7" s="2247"/>
      <c r="Z7" s="2247"/>
      <c r="AA7" s="2247"/>
      <c r="AB7" s="2247"/>
      <c r="AC7" s="2236"/>
      <c r="AD7" s="2236"/>
      <c r="AE7" s="2236"/>
      <c r="AF7" s="2309"/>
      <c r="AG7" s="2246"/>
      <c r="AH7" s="2247"/>
      <c r="AI7" s="2247"/>
      <c r="AJ7" s="2247"/>
      <c r="AK7" s="2247"/>
      <c r="AL7" s="2247"/>
      <c r="AM7" s="2247"/>
      <c r="AN7" s="2247"/>
      <c r="AO7" s="2247"/>
      <c r="AP7" s="2246"/>
      <c r="AQ7" s="2247"/>
      <c r="AR7" s="2247"/>
      <c r="AS7" s="2247"/>
      <c r="AT7" s="2247"/>
      <c r="AU7" s="2236"/>
      <c r="AV7" s="2236"/>
      <c r="AW7" s="2236"/>
      <c r="AX7" s="5321"/>
      <c r="AY7" s="2248"/>
      <c r="AZ7" s="1259" t="s">
        <v>538</v>
      </c>
      <c r="BB7" s="501"/>
      <c r="BC7" s="501" t="str">
        <f>IF(V7="","",V7)</f>
        <v>Группа потребителей</v>
      </c>
      <c r="BD7" s="501"/>
      <c r="BE7" s="501"/>
      <c r="BF7" s="1156">
        <v>0</v>
      </c>
    </row>
    <row customHeight="1" ht="21" hidden="1">
      <c r="A8" s="1268"/>
      <c r="B8" s="1268"/>
      <c r="C8" s="1268"/>
      <c r="D8" s="1268"/>
      <c r="E8" s="2291"/>
      <c r="F8" s="2291"/>
      <c r="G8" s="2291"/>
      <c r="H8" s="2291"/>
      <c r="I8" s="2102"/>
      <c r="J8" s="2102"/>
      <c r="K8" s="2128">
        <f>J7&amp;".1"</f>
      </c>
      <c r="L8" s="140"/>
      <c r="M8" s="1311" t="s">
        <v>539</v>
      </c>
      <c r="N8" s="510"/>
      <c r="O8" s="328"/>
      <c r="P8" s="328"/>
      <c r="Q8" s="2258"/>
      <c r="R8" s="2258"/>
      <c r="S8" s="2258">
        <v>1</v>
      </c>
      <c r="T8" s="358"/>
      <c r="U8" s="1337">
        <f>$K8</f>
      </c>
      <c r="V8" s="1348"/>
      <c r="W8" s="301"/>
      <c r="X8" s="752"/>
      <c r="Y8" s="752"/>
      <c r="Z8" s="752"/>
      <c r="AA8" s="752"/>
      <c r="AB8" s="1406"/>
      <c r="AC8" s="2266"/>
      <c r="AD8" s="2108" t="s">
        <v>65</v>
      </c>
      <c r="AE8" s="2266"/>
      <c r="AF8" s="2108" t="s">
        <v>65</v>
      </c>
      <c r="AG8" s="1408"/>
      <c r="AH8" s="752"/>
      <c r="AI8" s="752"/>
      <c r="AJ8" s="752"/>
      <c r="AK8" s="1258"/>
      <c r="AL8" s="2266"/>
      <c r="AM8" s="2108" t="s">
        <v>65</v>
      </c>
      <c r="AN8" s="2266"/>
      <c r="AO8" s="2108" t="s">
        <v>65</v>
      </c>
      <c r="AP8" s="752"/>
      <c r="AQ8" s="752"/>
      <c r="AR8" s="752"/>
      <c r="AS8" s="752"/>
      <c r="AT8" s="1406"/>
      <c r="AU8" s="2603"/>
      <c r="AV8" s="2108" t="s">
        <v>65</v>
      </c>
      <c r="AW8" s="2603"/>
      <c r="AX8" s="2108" t="s">
        <v>65</v>
      </c>
      <c r="AY8" s="326"/>
      <c r="AZ8" s="1308" t="s">
        <v>582</v>
      </c>
      <c r="BA8" s="512">
        <f>STRCHECKDATE(X10:AY10)</f>
      </c>
      <c r="BB8" s="501"/>
      <c r="BC8" s="501" t="str">
        <f>IF(V8="","",V8)</f>
        <v/>
      </c>
      <c r="BD8" s="501"/>
      <c r="BE8" s="501"/>
      <c r="BF8" s="1156">
        <v>0</v>
      </c>
    </row>
    <row customHeight="1" ht="21" hidden="1">
      <c r="A9" s="1268"/>
      <c r="B9" s="1268"/>
      <c r="C9" s="1268"/>
      <c r="D9" s="1268"/>
      <c r="E9" s="2291"/>
      <c r="F9" s="2291"/>
      <c r="G9" s="2291"/>
      <c r="H9" s="2291"/>
      <c r="I9" s="2102"/>
      <c r="J9" s="2102"/>
      <c r="K9" s="2102"/>
      <c r="L9" s="2128">
        <f>K8&amp;".1"</f>
      </c>
      <c r="M9" s="1311"/>
      <c r="N9" s="510"/>
      <c r="O9" s="328"/>
      <c r="P9" s="328"/>
      <c r="Q9" s="2258"/>
      <c r="R9" s="2258"/>
      <c r="S9" s="2258"/>
      <c r="T9" s="358"/>
      <c r="U9" s="1337">
        <f>$L9</f>
      </c>
      <c r="V9" s="1392"/>
      <c r="W9" s="301"/>
      <c r="X9" s="326"/>
      <c r="Y9" s="752"/>
      <c r="Z9" s="752"/>
      <c r="AA9" s="752"/>
      <c r="AB9" s="1406"/>
      <c r="AC9" s="2310"/>
      <c r="AD9" s="2108"/>
      <c r="AE9" s="2310"/>
      <c r="AF9" s="2108"/>
      <c r="AG9" s="1408"/>
      <c r="AH9" s="752"/>
      <c r="AI9" s="752"/>
      <c r="AJ9" s="752"/>
      <c r="AK9" s="1258"/>
      <c r="AL9" s="2310"/>
      <c r="AM9" s="2108"/>
      <c r="AN9" s="2310"/>
      <c r="AO9" s="2108"/>
      <c r="AP9" s="326"/>
      <c r="AQ9" s="752"/>
      <c r="AR9" s="752"/>
      <c r="AS9" s="752"/>
      <c r="AT9" s="1406"/>
      <c r="AU9" s="2310"/>
      <c r="AV9" s="2108"/>
      <c r="AW9" s="2310"/>
      <c r="AX9" s="2108"/>
      <c r="AY9" s="326"/>
      <c r="AZ9" s="2254" t="s">
        <v>583</v>
      </c>
      <c r="BB9" s="501"/>
      <c r="BC9" s="501"/>
      <c r="BD9" s="501"/>
      <c r="BE9" s="501"/>
      <c r="BF9" s="1156">
        <v>0</v>
      </c>
    </row>
    <row customHeight="1" ht="14.25" hidden="1">
      <c r="A10" s="1268"/>
      <c r="B10" s="1268"/>
      <c r="C10" s="1268"/>
      <c r="D10" s="1268"/>
      <c r="E10" s="2291"/>
      <c r="F10" s="2291"/>
      <c r="G10" s="2291"/>
      <c r="H10" s="2291"/>
      <c r="I10" s="2102"/>
      <c r="J10" s="2102"/>
      <c r="K10" s="2102"/>
      <c r="L10" s="2128"/>
      <c r="M10" s="1311"/>
      <c r="N10" s="510"/>
      <c r="O10" s="328"/>
      <c r="P10" s="328"/>
      <c r="Q10" s="2258"/>
      <c r="R10" s="2258"/>
      <c r="S10" s="2258"/>
      <c r="T10" s="358"/>
      <c r="U10" s="1343"/>
      <c r="V10" s="301"/>
      <c r="W10" s="301"/>
      <c r="X10" s="326"/>
      <c r="Y10" s="326"/>
      <c r="Z10" s="326"/>
      <c r="AA10" s="326"/>
      <c r="AB10" s="1407" t="str">
        <f>AC8&amp;"-"&amp;AE8</f>
        <v>-</v>
      </c>
      <c r="AC10" s="2310"/>
      <c r="AD10" s="2108"/>
      <c r="AE10" s="2310"/>
      <c r="AF10" s="2108"/>
      <c r="AG10" s="1383"/>
      <c r="AH10" s="326"/>
      <c r="AI10" s="326"/>
      <c r="AJ10" s="326"/>
      <c r="AK10" s="329" t="str">
        <f>AL8&amp;"-"&amp;AN8</f>
        <v>-</v>
      </c>
      <c r="AL10" s="2310"/>
      <c r="AM10" s="2108"/>
      <c r="AN10" s="2310"/>
      <c r="AO10" s="2108"/>
      <c r="AP10" s="326"/>
      <c r="AQ10" s="326"/>
      <c r="AR10" s="326"/>
      <c r="AS10" s="326"/>
      <c r="AT10" s="1407" t="str">
        <f>AU8&amp;"-"&amp;AW8</f>
        <v>-</v>
      </c>
      <c r="AU10" s="2310"/>
      <c r="AV10" s="2108"/>
      <c r="AW10" s="2310"/>
      <c r="AX10" s="2108"/>
      <c r="AY10" s="326"/>
      <c r="AZ10" s="2255"/>
      <c r="BB10" s="501"/>
      <c r="BC10" s="501" t="str">
        <f>IF(V10="","",V10)</f>
        <v/>
      </c>
      <c r="BD10" s="501"/>
      <c r="BE10" s="501"/>
      <c r="BF10" s="1156">
        <v>0</v>
      </c>
    </row>
    <row customHeight="1" ht="11.25" hidden="1">
      <c r="A11" s="1268"/>
      <c r="B11" s="1268"/>
      <c r="C11" s="1268"/>
      <c r="D11" s="1268"/>
      <c r="E11" s="2291"/>
      <c r="F11" s="2291"/>
      <c r="G11" s="2291"/>
      <c r="H11" s="2291"/>
      <c r="I11" s="2102"/>
      <c r="J11" s="2102"/>
      <c r="K11" s="2128"/>
      <c r="L11" s="1268"/>
      <c r="M11" s="1311"/>
      <c r="N11" s="510"/>
      <c r="O11" s="328"/>
      <c r="P11" s="328"/>
      <c r="Q11" s="2258"/>
      <c r="R11" s="2258"/>
      <c r="S11" s="2258"/>
      <c r="T11" s="358"/>
      <c r="U11" s="1279"/>
      <c r="V11" s="289" t="s">
        <v>584</v>
      </c>
      <c r="W11" s="1393"/>
      <c r="X11" s="1394"/>
      <c r="Y11" s="1394"/>
      <c r="Z11" s="1394"/>
      <c r="AA11" s="1394"/>
      <c r="AB11" s="1395"/>
      <c r="AC11" s="2310"/>
      <c r="AD11" s="2108"/>
      <c r="AE11" s="2310"/>
      <c r="AF11" s="2108"/>
      <c r="AG11" s="1394"/>
      <c r="AH11" s="1394"/>
      <c r="AI11" s="1394"/>
      <c r="AJ11" s="1394"/>
      <c r="AK11" s="1395"/>
      <c r="AL11" s="2310"/>
      <c r="AM11" s="2108"/>
      <c r="AN11" s="2310"/>
      <c r="AO11" s="2108"/>
      <c r="AP11" s="4382"/>
      <c r="AQ11" s="4383"/>
      <c r="AR11" s="4384"/>
      <c r="AS11" s="4385"/>
      <c r="AT11" s="4386"/>
      <c r="AU11" s="2310"/>
      <c r="AV11" s="2108"/>
      <c r="AW11" s="2310"/>
      <c r="AX11" s="2108"/>
      <c r="AY11" s="1396"/>
      <c r="AZ11" s="2255"/>
      <c r="BB11" s="501"/>
      <c r="BC11" s="501"/>
      <c r="BD11" s="501"/>
      <c r="BE11" s="501"/>
      <c r="BF11" s="1156">
        <v>0</v>
      </c>
    </row>
    <row customHeight="1" ht="15" hidden="1">
      <c r="A12" s="1268"/>
      <c r="B12" s="1268"/>
      <c r="C12" s="1268"/>
      <c r="D12" s="1268"/>
      <c r="E12" s="2291"/>
      <c r="F12" s="2291"/>
      <c r="G12" s="2291"/>
      <c r="H12" s="2291"/>
      <c r="I12" s="2102"/>
      <c r="J12" s="2128"/>
      <c r="K12" s="1268"/>
      <c r="L12" s="1268"/>
      <c r="M12" s="1311"/>
      <c r="N12" s="510"/>
      <c r="O12" s="328"/>
      <c r="Q12" s="2258"/>
      <c r="R12" s="2258"/>
      <c r="S12" s="1332"/>
      <c r="T12" s="357"/>
      <c r="U12" s="1279"/>
      <c r="V12" s="288" t="s">
        <v>541</v>
      </c>
      <c r="W12" s="368"/>
      <c r="X12" s="368"/>
      <c r="Y12" s="368"/>
      <c r="Z12" s="368"/>
      <c r="AA12" s="368"/>
      <c r="AB12" s="368"/>
      <c r="AC12" s="1409"/>
      <c r="AD12" s="1409"/>
      <c r="AE12" s="1409"/>
      <c r="AF12" s="1409"/>
      <c r="AG12" s="368"/>
      <c r="AH12" s="368"/>
      <c r="AI12" s="368"/>
      <c r="AJ12" s="368"/>
      <c r="AK12" s="368"/>
      <c r="AL12" s="368"/>
      <c r="AM12" s="368"/>
      <c r="AN12" s="368"/>
      <c r="AO12" s="368"/>
      <c r="AP12" s="4387"/>
      <c r="AQ12" s="4388"/>
      <c r="AR12" s="4389"/>
      <c r="AS12" s="4390"/>
      <c r="AT12" s="4391"/>
      <c r="AU12" s="4392"/>
      <c r="AV12" s="4393"/>
      <c r="AW12" s="4394"/>
      <c r="AX12" s="5322"/>
      <c r="AY12" s="325"/>
      <c r="AZ12" s="2256"/>
      <c r="BB12" s="501"/>
      <c r="BC12" s="501" t="str">
        <f>IF(V12="","",V12)</f>
        <v>Добавить вид теплоносителя (параметры теплоносителя)</v>
      </c>
      <c r="BD12" s="501"/>
      <c r="BE12" s="501"/>
      <c r="BF12" s="1156">
        <v>0</v>
      </c>
    </row>
    <row customHeight="1" ht="11.25" hidden="1">
      <c r="A13" s="1268"/>
      <c r="B13" s="1268"/>
      <c r="C13" s="1268"/>
      <c r="D13" s="1268"/>
      <c r="E13" s="2291"/>
      <c r="F13" s="2291"/>
      <c r="G13" s="2291"/>
      <c r="H13" s="2291"/>
      <c r="I13" s="2128"/>
      <c r="J13" s="1268"/>
      <c r="K13" s="1268"/>
      <c r="L13" s="1268"/>
      <c r="M13" s="1311"/>
      <c r="N13" s="510"/>
      <c r="Q13" s="2258"/>
      <c r="R13" s="1332"/>
      <c r="S13" s="1332"/>
      <c r="T13" s="357"/>
      <c r="U13" s="1279"/>
      <c r="V13" s="366" t="s">
        <v>542</v>
      </c>
      <c r="W13" s="368"/>
      <c r="X13" s="368"/>
      <c r="Y13" s="368"/>
      <c r="Z13" s="368"/>
      <c r="AA13" s="368"/>
      <c r="AB13" s="368"/>
      <c r="AC13" s="368"/>
      <c r="AD13" s="368"/>
      <c r="AE13" s="368"/>
      <c r="AF13" s="367"/>
      <c r="AG13" s="368"/>
      <c r="AH13" s="368"/>
      <c r="AI13" s="368"/>
      <c r="AJ13" s="368"/>
      <c r="AK13" s="368"/>
      <c r="AL13" s="368"/>
      <c r="AM13" s="368"/>
      <c r="AN13" s="368"/>
      <c r="AO13" s="367"/>
      <c r="AP13" s="4396"/>
      <c r="AQ13" s="4397"/>
      <c r="AR13" s="4398"/>
      <c r="AS13" s="4399"/>
      <c r="AT13" s="4400"/>
      <c r="AU13" s="4401"/>
      <c r="AV13" s="4402"/>
      <c r="AW13" s="4403"/>
      <c r="AX13" s="5323"/>
      <c r="AY13" s="368"/>
      <c r="AZ13" s="304"/>
      <c r="BB13" s="501"/>
      <c r="BC13" s="501" t="str">
        <f>IF(V13="","",V13)</f>
        <v>Добавить группу потребителей</v>
      </c>
      <c r="BD13" s="501"/>
      <c r="BE13" s="501"/>
      <c r="BF13" s="1156">
        <v>0</v>
      </c>
    </row>
    <row customHeight="1" ht="14.25" hidden="1">
      <c r="A14" s="1268"/>
      <c r="B14" s="1268"/>
      <c r="C14" s="1268"/>
      <c r="D14" s="1268"/>
      <c r="E14" s="2291"/>
      <c r="F14" s="2291"/>
      <c r="G14" s="2291"/>
      <c r="H14" s="2290"/>
      <c r="I14" s="1268"/>
      <c r="J14" s="1268"/>
      <c r="K14" s="1268"/>
      <c r="L14" s="1268"/>
      <c r="M14" s="1311"/>
      <c r="N14" s="689"/>
      <c r="O14" s="689"/>
      <c r="P14" s="510"/>
      <c r="Q14" s="361"/>
      <c r="R14" s="376"/>
      <c r="S14" s="356"/>
      <c r="T14" s="361"/>
      <c r="U14" s="1387"/>
      <c r="V14" s="1388"/>
      <c r="W14" s="1389"/>
      <c r="X14" s="1389"/>
      <c r="Y14" s="1389"/>
      <c r="Z14" s="1389"/>
      <c r="AA14" s="1389"/>
      <c r="AB14" s="1389"/>
      <c r="AC14" s="1389"/>
      <c r="AD14" s="1389"/>
      <c r="AE14" s="1389"/>
      <c r="AF14" s="1389"/>
      <c r="AG14" s="1389"/>
      <c r="AH14" s="1389"/>
      <c r="AI14" s="1389"/>
      <c r="AJ14" s="1389"/>
      <c r="AK14" s="1389"/>
      <c r="AL14" s="1389"/>
      <c r="AM14" s="1389"/>
      <c r="AN14" s="1389"/>
      <c r="AO14" s="1389"/>
      <c r="AP14" s="1389"/>
      <c r="AQ14" s="1389"/>
      <c r="AR14" s="1389"/>
      <c r="AS14" s="1389"/>
      <c r="AT14" s="1389"/>
      <c r="AU14" s="1389"/>
      <c r="AV14" s="1389"/>
      <c r="AW14" s="1389"/>
      <c r="AX14" s="1389"/>
      <c r="AY14" s="1389"/>
      <c r="AZ14" s="1390"/>
      <c r="BB14" s="501"/>
      <c r="BC14" s="501" t="str">
        <f>IF(V14="","",V14)</f>
        <v/>
      </c>
      <c r="BD14" s="501"/>
      <c r="BE14" s="501"/>
      <c r="BF14" s="1156">
        <v>0</v>
      </c>
    </row>
    <row s="1643" customFormat="1" customHeight="1" ht="14.25" hidden="1">
      <c r="A15" s="1375"/>
      <c r="B15" s="1375"/>
      <c r="C15" s="1375"/>
      <c r="D15" s="1375"/>
      <c r="E15" s="2291"/>
      <c r="F15" s="2291"/>
      <c r="G15" s="2290"/>
      <c r="H15" s="1375"/>
      <c r="I15" s="1375"/>
      <c r="J15" s="1375"/>
      <c r="K15" s="1375"/>
      <c r="L15" s="1375"/>
      <c r="M15" s="1378"/>
      <c r="N15" s="1379"/>
      <c r="O15" s="1379"/>
      <c r="P15" s="352"/>
      <c r="Q15" s="1317"/>
      <c r="R15" s="1318"/>
      <c r="S15" s="1317"/>
      <c r="T15" s="1317"/>
      <c r="U15" s="1319"/>
      <c r="V15" s="1320" t="s">
        <v>177</v>
      </c>
      <c r="W15" s="1321"/>
      <c r="X15" s="1321"/>
      <c r="Y15" s="1321"/>
      <c r="Z15" s="1321"/>
      <c r="AA15" s="1321"/>
      <c r="AB15" s="1321"/>
      <c r="AC15" s="1321"/>
      <c r="AD15" s="1321"/>
      <c r="AE15" s="1321"/>
      <c r="AF15" s="1321"/>
      <c r="AG15" s="1321"/>
      <c r="AH15" s="1321"/>
      <c r="AI15" s="1321"/>
      <c r="AJ15" s="1321"/>
      <c r="AK15" s="1321"/>
      <c r="AL15" s="1321"/>
      <c r="AM15" s="1321"/>
      <c r="AN15" s="1321"/>
      <c r="AO15" s="1321"/>
      <c r="AP15" s="1321"/>
      <c r="AQ15" s="1321"/>
      <c r="AR15" s="1321"/>
      <c r="AS15" s="1321"/>
      <c r="AT15" s="1321"/>
      <c r="AU15" s="1321"/>
      <c r="AV15" s="1321"/>
      <c r="AW15" s="1321"/>
      <c r="AX15" s="1321"/>
      <c r="AY15" s="1321"/>
      <c r="AZ15" s="1321"/>
      <c r="BB15" s="790"/>
      <c r="BC15" s="790" t="str">
        <f>IF(V15="","",V15)</f>
        <v>Добавить источник для дифференциации</v>
      </c>
      <c r="BD15" s="790"/>
      <c r="BE15" s="790"/>
      <c r="BF15" s="519">
        <v>0</v>
      </c>
    </row>
    <row s="1643" customFormat="1" customHeight="1" ht="14.25" hidden="1">
      <c r="A16" s="1375"/>
      <c r="B16" s="1375"/>
      <c r="C16" s="1375"/>
      <c r="D16" s="1375"/>
      <c r="E16" s="2291"/>
      <c r="F16" s="2290"/>
      <c r="G16" s="1375"/>
      <c r="H16" s="1375"/>
      <c r="I16" s="1375"/>
      <c r="J16" s="1375"/>
      <c r="K16" s="1375"/>
      <c r="L16" s="1375"/>
      <c r="M16" s="1378"/>
      <c r="N16" s="1380"/>
      <c r="O16" s="1380"/>
      <c r="P16" s="352"/>
      <c r="Q16" s="1317"/>
      <c r="R16" s="1318"/>
      <c r="S16" s="1317"/>
      <c r="T16" s="1317"/>
      <c r="U16" s="1323"/>
      <c r="V16" s="1324" t="s">
        <v>178</v>
      </c>
      <c r="W16" s="1325"/>
      <c r="X16" s="1325"/>
      <c r="Y16" s="1325"/>
      <c r="Z16" s="1325"/>
      <c r="AA16" s="1325"/>
      <c r="AB16" s="1325"/>
      <c r="AC16" s="1325"/>
      <c r="AD16" s="1325"/>
      <c r="AE16" s="1325"/>
      <c r="AF16" s="1325"/>
      <c r="AG16" s="1325"/>
      <c r="AH16" s="1325"/>
      <c r="AI16" s="1325"/>
      <c r="AJ16" s="1325"/>
      <c r="AK16" s="1325"/>
      <c r="AL16" s="1325"/>
      <c r="AM16" s="1325"/>
      <c r="AN16" s="1325"/>
      <c r="AO16" s="1325"/>
      <c r="AP16" s="1325"/>
      <c r="AQ16" s="1325"/>
      <c r="AR16" s="1325"/>
      <c r="AS16" s="1325"/>
      <c r="AT16" s="1325"/>
      <c r="AU16" s="1325"/>
      <c r="AV16" s="1325"/>
      <c r="AW16" s="1325"/>
      <c r="AX16" s="1325"/>
      <c r="AY16" s="1325"/>
      <c r="AZ16" s="1325"/>
      <c r="BB16" s="790"/>
      <c r="BC16" s="790" t="str">
        <f>IF(V16="","",V16)</f>
        <v>Добавить централизованную систему для дифференциации</v>
      </c>
      <c r="BD16" s="790"/>
      <c r="BE16" s="790"/>
      <c r="BF16" s="519">
        <v>0</v>
      </c>
    </row>
    <row s="1643" customFormat="1" customHeight="1" ht="14.25" hidden="1">
      <c r="A17" s="1375"/>
      <c r="B17" s="1375"/>
      <c r="C17" s="1375"/>
      <c r="D17" s="1375"/>
      <c r="E17" s="2290"/>
      <c r="F17" s="1375"/>
      <c r="G17" s="1375"/>
      <c r="H17" s="1375"/>
      <c r="I17" s="1375"/>
      <c r="J17" s="1375"/>
      <c r="K17" s="1375"/>
      <c r="L17" s="1375"/>
      <c r="M17" s="1378"/>
      <c r="N17" s="1380"/>
      <c r="O17" s="1380"/>
      <c r="P17" s="352"/>
      <c r="Q17" s="1317"/>
      <c r="R17" s="1318"/>
      <c r="S17" s="1317"/>
      <c r="T17" s="1317"/>
      <c r="U17" s="1323"/>
      <c r="V17" s="1326" t="s">
        <v>183</v>
      </c>
      <c r="W17" s="1325"/>
      <c r="X17" s="1325"/>
      <c r="Y17" s="1325"/>
      <c r="Z17" s="1325"/>
      <c r="AA17" s="1325"/>
      <c r="AB17" s="1325"/>
      <c r="AC17" s="1325"/>
      <c r="AD17" s="1325"/>
      <c r="AE17" s="1325"/>
      <c r="AF17" s="1325"/>
      <c r="AG17" s="1325"/>
      <c r="AH17" s="1325"/>
      <c r="AI17" s="1325"/>
      <c r="AJ17" s="1325"/>
      <c r="AK17" s="1325"/>
      <c r="AL17" s="1325"/>
      <c r="AM17" s="1325"/>
      <c r="AN17" s="1325"/>
      <c r="AO17" s="1325"/>
      <c r="AP17" s="1325"/>
      <c r="AQ17" s="1325"/>
      <c r="AR17" s="1325"/>
      <c r="AS17" s="1325"/>
      <c r="AT17" s="1325"/>
      <c r="AU17" s="1325"/>
      <c r="AV17" s="1325"/>
      <c r="AW17" s="1325"/>
      <c r="AX17" s="1325"/>
      <c r="AY17" s="1325"/>
      <c r="AZ17" s="1325"/>
      <c r="BB17" s="790"/>
      <c r="BC17" s="790" t="str">
        <f>IF(V17="","",V17)</f>
        <v>Добавить территорию для дифференциации</v>
      </c>
      <c r="BD17" s="790"/>
      <c r="BE17" s="790"/>
      <c r="BF17" s="519">
        <v>0</v>
      </c>
    </row>
    <row customHeight="1" ht="14.25" hidden="1">
      <c r="AF18" s="328"/>
      <c r="AO18" s="328"/>
      <c r="AP18" s="1636"/>
      <c r="AQ18" s="1636"/>
      <c r="AR18" s="1636"/>
      <c r="AS18" s="1636"/>
      <c r="AT18" s="1636"/>
      <c r="AU18" s="1636"/>
      <c r="AV18" s="1636"/>
      <c r="AW18" s="1636"/>
      <c r="AX18" s="5239"/>
      <c r="BF18" s="1156">
        <v>0</v>
      </c>
    </row>
    <row customHeight="1" ht="14.25" hidden="1">
      <c r="AG19" s="1361"/>
      <c r="AH19" s="1361"/>
      <c r="AI19" s="1361"/>
      <c r="AJ19" s="1361"/>
      <c r="AK19" s="1362"/>
      <c r="AL19" s="2268"/>
      <c r="AM19" s="2269" t="s">
        <v>65</v>
      </c>
      <c r="AN19" s="2268"/>
      <c r="AO19" s="2269" t="s">
        <v>65</v>
      </c>
      <c r="AP19" s="1636"/>
      <c r="AQ19" s="1636"/>
      <c r="AR19" s="1636"/>
      <c r="AS19" s="1636"/>
      <c r="AT19" s="1636"/>
      <c r="AU19" s="1636"/>
      <c r="AV19" s="1636"/>
      <c r="AW19" s="1636"/>
      <c r="AX19" s="5239"/>
      <c r="BF19" s="1156">
        <v>0</v>
      </c>
    </row>
    <row customHeight="1" ht="14.25" hidden="1">
      <c r="AG20" s="1361"/>
      <c r="AH20" s="1361"/>
      <c r="AI20" s="1361"/>
      <c r="AJ20" s="1361"/>
      <c r="AK20" s="1362"/>
      <c r="AL20" s="2268"/>
      <c r="AM20" s="2269"/>
      <c r="AN20" s="2268"/>
      <c r="AO20" s="2269"/>
      <c r="AP20" s="1636"/>
      <c r="AQ20" s="1636"/>
      <c r="AR20" s="1636"/>
      <c r="AS20" s="1636"/>
      <c r="AT20" s="1636"/>
      <c r="AU20" s="1636"/>
      <c r="AV20" s="1636"/>
      <c r="AW20" s="1636"/>
      <c r="AX20" s="5239"/>
      <c r="BF20" s="1156">
        <v>0</v>
      </c>
    </row>
    <row customHeight="1" ht="14.25" hidden="1">
      <c r="AG21" s="1361"/>
      <c r="AH21" s="1361"/>
      <c r="AI21" s="1361"/>
      <c r="AJ21" s="1361"/>
      <c r="AK21" s="1362"/>
      <c r="AL21" s="2268"/>
      <c r="AM21" s="2269"/>
      <c r="AN21" s="2268"/>
      <c r="AO21" s="2269"/>
      <c r="AP21" s="1636"/>
      <c r="AQ21" s="1636"/>
      <c r="AR21" s="1636"/>
      <c r="AS21" s="1636"/>
      <c r="AT21" s="1636"/>
      <c r="AU21" s="1636"/>
      <c r="AV21" s="1636"/>
      <c r="AW21" s="1636"/>
      <c r="AX21" s="5239"/>
      <c r="BF21" s="1156">
        <v>0</v>
      </c>
    </row>
    <row customHeight="1" ht="14.25" hidden="1">
      <c r="AG22" s="1361"/>
      <c r="AH22" s="1361"/>
      <c r="AI22" s="1361"/>
      <c r="AJ22" s="1361"/>
      <c r="AK22" s="329" t="str">
        <f>AL19&amp;"-"&amp;AN19</f>
        <v>-</v>
      </c>
      <c r="AL22" s="2269"/>
      <c r="AM22" s="2269"/>
      <c r="AN22" s="2269"/>
      <c r="AO22" s="2269"/>
      <c r="AP22" s="1636"/>
      <c r="AQ22" s="1636"/>
      <c r="AR22" s="1636"/>
      <c r="AS22" s="1636"/>
      <c r="AT22" s="1636"/>
      <c r="AU22" s="1636"/>
      <c r="AV22" s="1636"/>
      <c r="AW22" s="1636"/>
      <c r="AX22" s="5239"/>
      <c r="BF22" s="1156">
        <v>0</v>
      </c>
    </row>
    <row customHeight="1" ht="14.25" hidden="1">
      <c r="AO23" s="328"/>
      <c r="AP23" s="1636"/>
      <c r="AQ23" s="1636"/>
      <c r="AR23" s="1636"/>
      <c r="AS23" s="1636"/>
      <c r="AT23" s="1636"/>
      <c r="AU23" s="1636"/>
      <c r="AV23" s="1636"/>
      <c r="AW23" s="1636"/>
      <c r="AX23" s="5239"/>
      <c r="BF23" s="1156">
        <v>0</v>
      </c>
    </row>
    <row s="1367" customFormat="1" customHeight="1" ht="22.5" hidden="1">
      <c r="A24" s="1156"/>
      <c r="B24" s="1156"/>
      <c r="C24" s="1156"/>
      <c r="D24" s="1156"/>
      <c r="E24" s="1156"/>
      <c r="F24" s="1156"/>
      <c r="G24" s="1156"/>
      <c r="H24" s="1156"/>
      <c r="I24" s="1156"/>
      <c r="J24" s="1156"/>
      <c r="K24" s="1156"/>
      <c r="L24" s="1156"/>
      <c r="M24" s="1328"/>
      <c r="N24" s="1329"/>
      <c r="O24" s="1329"/>
      <c r="P24" s="1346" t="s">
        <v>544</v>
      </c>
      <c r="Q24" s="1363"/>
      <c r="R24" s="1372"/>
      <c r="S24" s="1372"/>
      <c r="T24" s="1372"/>
      <c r="U24" s="730"/>
      <c r="AC24" s="1368"/>
      <c r="AE24" s="1368"/>
      <c r="AF24" s="1367"/>
      <c r="AL24" s="1368"/>
      <c r="AN24" s="1368"/>
      <c r="AO24" s="1367"/>
      <c r="AP24" s="1367"/>
      <c r="AQ24" s="1367"/>
      <c r="AR24" s="1367"/>
      <c r="AS24" s="1367"/>
      <c r="AT24" s="1367"/>
      <c r="AU24" s="1368"/>
      <c r="AV24" s="1367"/>
      <c r="AW24" s="1368"/>
      <c r="AX24" s="5248"/>
      <c r="BA24" s="512"/>
      <c r="BB24" s="512"/>
      <c r="BC24" s="512"/>
      <c r="BD24" s="512"/>
      <c r="BE24" s="512"/>
      <c r="BF24" s="1161">
        <v>0</v>
      </c>
    </row>
    <row s="1367" customFormat="1" customHeight="1" ht="14.25" hidden="1">
      <c r="A25" s="1156"/>
      <c r="B25" s="1156"/>
      <c r="C25" s="1156"/>
      <c r="D25" s="1156"/>
      <c r="E25" s="1156"/>
      <c r="F25" s="1156"/>
      <c r="G25" s="1156"/>
      <c r="H25" s="1156"/>
      <c r="I25" s="1156"/>
      <c r="J25" s="1156"/>
      <c r="K25" s="1156"/>
      <c r="L25" s="1156"/>
      <c r="M25" s="1328"/>
      <c r="N25" s="1329"/>
      <c r="O25" s="1329"/>
      <c r="P25" s="1329"/>
      <c r="Q25" s="1363"/>
      <c r="R25" s="1372"/>
      <c r="S25" s="1372"/>
      <c r="T25" s="1372"/>
      <c r="U25" s="730"/>
      <c r="AF25" s="1367"/>
      <c r="AO25" s="1367"/>
      <c r="AP25" s="1367"/>
      <c r="AQ25" s="1367"/>
      <c r="AR25" s="1367"/>
      <c r="AS25" s="1367"/>
      <c r="AT25" s="1367"/>
      <c r="AU25" s="1367"/>
      <c r="AV25" s="1367"/>
      <c r="AW25" s="1367"/>
      <c r="AX25" s="5248"/>
      <c r="BA25" s="512"/>
      <c r="BB25" s="512"/>
      <c r="BC25" s="512"/>
      <c r="BD25" s="512"/>
      <c r="BE25" s="512"/>
      <c r="BF25" s="1161">
        <v>0</v>
      </c>
    </row>
    <row s="1367" customFormat="1" customHeight="1" ht="14.25" hidden="1">
      <c r="A26" s="1156"/>
      <c r="B26" s="1156"/>
      <c r="C26" s="1156"/>
      <c r="D26" s="1156"/>
      <c r="E26" s="1156"/>
      <c r="F26" s="1156"/>
      <c r="G26" s="1156"/>
      <c r="H26" s="1156"/>
      <c r="I26" s="1156"/>
      <c r="J26" s="1156"/>
      <c r="K26" s="1156"/>
      <c r="L26" s="1156"/>
      <c r="M26" s="1328"/>
      <c r="N26" s="1329"/>
      <c r="O26" s="1329"/>
      <c r="P26" s="1311" t="s">
        <v>545</v>
      </c>
      <c r="Q26" s="1363"/>
      <c r="R26" s="1372"/>
      <c r="S26" s="1372"/>
      <c r="T26" s="1372"/>
      <c r="U26" s="730"/>
      <c r="V26" s="1161" t="s">
        <v>546</v>
      </c>
      <c r="AD26" s="187" t="s">
        <v>547</v>
      </c>
      <c r="AF26" s="187" t="s">
        <v>548</v>
      </c>
      <c r="AG26" s="1161" t="s">
        <v>546</v>
      </c>
      <c r="AM26" s="187" t="s">
        <v>549</v>
      </c>
      <c r="AO26" s="187" t="s">
        <v>548</v>
      </c>
      <c r="AP26" s="1367"/>
      <c r="AQ26" s="1367"/>
      <c r="AR26" s="1367"/>
      <c r="AS26" s="1367"/>
      <c r="AT26" s="1367"/>
      <c r="AU26" s="1367"/>
      <c r="AV26" s="1371" t="s">
        <v>547</v>
      </c>
      <c r="AW26" s="1367"/>
      <c r="AX26" s="5249" t="s">
        <v>548</v>
      </c>
      <c r="BA26" s="512"/>
      <c r="BB26" s="512"/>
      <c r="BC26" s="512"/>
      <c r="BD26" s="512"/>
      <c r="BE26" s="512"/>
      <c r="BF26" s="1161">
        <v>0</v>
      </c>
    </row>
    <row customHeight="1" ht="14.25" hidden="1">
      <c r="P27" s="1311"/>
      <c r="AP27" s="1636"/>
      <c r="AQ27" s="1636"/>
      <c r="AR27" s="1636"/>
      <c r="AS27" s="1636"/>
      <c r="AT27" s="1636"/>
      <c r="AU27" s="1636"/>
      <c r="AV27" s="1636"/>
      <c r="AW27" s="1636"/>
      <c r="AX27" s="5239"/>
      <c r="BF27" s="1156">
        <v>0</v>
      </c>
    </row>
    <row customHeight="1" ht="14.25" hidden="1">
      <c r="P28" s="1311"/>
      <c r="AP28" s="1636"/>
      <c r="AQ28" s="1636"/>
      <c r="AR28" s="1636"/>
      <c r="AS28" s="1636"/>
      <c r="AT28" s="1636"/>
      <c r="AU28" s="1636"/>
      <c r="AV28" s="1636"/>
      <c r="AW28" s="1636"/>
      <c r="AX28" s="5239"/>
      <c r="BF28" s="1156">
        <v>0</v>
      </c>
    </row>
    <row customHeight="1" ht="14.699999999999998">
      <c r="R29" s="377"/>
      <c r="S29" s="377"/>
      <c r="T29" s="377"/>
      <c r="U29" s="1276"/>
      <c r="V29" s="364"/>
      <c r="W29" s="364"/>
      <c r="X29" s="510"/>
      <c r="Y29" s="510"/>
      <c r="Z29" s="510"/>
      <c r="AA29" s="510"/>
      <c r="AB29" s="510"/>
      <c r="AC29" s="510"/>
      <c r="AD29" s="510"/>
      <c r="AE29" s="510"/>
      <c r="AF29" s="510"/>
      <c r="AG29" s="510"/>
      <c r="AH29" s="510"/>
      <c r="AI29" s="510"/>
      <c r="AJ29" s="510"/>
      <c r="AK29" s="510"/>
      <c r="AL29" s="510"/>
      <c r="AM29" s="510"/>
      <c r="AN29" s="510"/>
      <c r="AO29" s="510"/>
      <c r="AP29" s="1636"/>
      <c r="AQ29" s="1636"/>
      <c r="AR29" s="1636"/>
      <c r="AS29" s="1636"/>
      <c r="AT29" s="1636"/>
      <c r="AU29" s="1636"/>
      <c r="AV29" s="1636"/>
      <c r="AW29" s="1636"/>
      <c r="AX29" s="5239"/>
      <c r="BF29" s="1156">
        <v>14</v>
      </c>
    </row>
    <row customHeight="1" ht="56.699999999999996">
      <c r="R30" s="377"/>
      <c r="S30" s="377"/>
      <c r="T30" s="377"/>
      <c r="U30" s="2249" t="str">
        <f>IF(TEMPLATE_GROUP="P",PT_P_FORM_HEAT_6_NAME_FORM,PT_R_FORM_HEAT_23_NAME_FORM)</f>
        <v>Форма 5. Информация об установленных тарифах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 о тарифах на горячую воду, поставляемую единой теплоснабжающей организацией в ценовых зонах теплоснабжения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v>
      </c>
      <c r="V30" s="2249"/>
      <c r="W30" s="2249"/>
      <c r="X30" s="2249"/>
      <c r="Y30" s="2249"/>
      <c r="Z30" s="2249"/>
      <c r="AA30" s="2249"/>
      <c r="AB30" s="2249"/>
      <c r="AC30" s="2249"/>
      <c r="AD30" s="2249"/>
      <c r="AE30" s="2249"/>
      <c r="AF30" s="2249"/>
      <c r="AG30" s="2249"/>
      <c r="AH30" s="2249"/>
      <c r="AI30" s="2249"/>
      <c r="AJ30" s="2249"/>
      <c r="AK30" s="2249"/>
      <c r="AL30" s="2249"/>
      <c r="AM30" s="2249"/>
      <c r="AN30" s="2249"/>
      <c r="AO30" s="1244"/>
      <c r="AP30" s="2249"/>
      <c r="AQ30" s="2249"/>
      <c r="AR30" s="2249"/>
      <c r="AS30" s="2249"/>
      <c r="AT30" s="2249"/>
      <c r="AU30" s="2249"/>
      <c r="AV30" s="2249"/>
      <c r="AW30" s="2249"/>
      <c r="AX30" s="5250"/>
      <c r="BF30" s="1156">
        <v>54</v>
      </c>
    </row>
    <row customHeight="1" ht="14.699999999999998">
      <c r="R31" s="377"/>
      <c r="S31" s="377"/>
      <c r="T31" s="377"/>
      <c r="U31" s="2250" t="str">
        <f>IF(org=0,"Не определено",org)</f>
        <v>ПАО "ТГК-1" (филиал "Кольский")</v>
      </c>
      <c r="V31" s="2250"/>
      <c r="W31" s="2250"/>
      <c r="X31" s="2250"/>
      <c r="Y31" s="2250"/>
      <c r="Z31" s="2250"/>
      <c r="AA31" s="2250"/>
      <c r="AB31" s="2250"/>
      <c r="AC31" s="2250"/>
      <c r="AD31" s="2250"/>
      <c r="AE31" s="2250"/>
      <c r="AF31" s="2250"/>
      <c r="AG31" s="2250"/>
      <c r="AH31" s="2250"/>
      <c r="AI31" s="2250"/>
      <c r="AJ31" s="2250"/>
      <c r="AK31" s="2250"/>
      <c r="AL31" s="2250"/>
      <c r="AM31" s="2250"/>
      <c r="AN31" s="2250"/>
      <c r="AO31" s="1244"/>
      <c r="AP31" s="2250"/>
      <c r="AQ31" s="2250"/>
      <c r="AR31" s="2250"/>
      <c r="AS31" s="2250"/>
      <c r="AT31" s="2250"/>
      <c r="AU31" s="2250"/>
      <c r="AV31" s="2250"/>
      <c r="AW31" s="2250"/>
      <c r="AX31" s="5251"/>
      <c r="BF31" s="1156">
        <v>14</v>
      </c>
    </row>
    <row customHeight="1" ht="14.25">
      <c r="R32" s="377"/>
      <c r="S32" s="377"/>
      <c r="T32" s="377"/>
      <c r="U32" s="1276"/>
      <c r="V32" s="364"/>
      <c r="W32" s="364"/>
      <c r="X32" s="323"/>
      <c r="Y32" s="323"/>
      <c r="Z32" s="323"/>
      <c r="AA32" s="323"/>
      <c r="AB32" s="323"/>
      <c r="AC32" s="323"/>
      <c r="AD32" s="323"/>
      <c r="AE32" s="323"/>
      <c r="AF32" s="323"/>
      <c r="AG32" s="323"/>
      <c r="AH32" s="323"/>
      <c r="AI32" s="323"/>
      <c r="AJ32" s="323"/>
      <c r="AK32" s="323"/>
      <c r="AL32" s="323"/>
      <c r="AM32" s="323"/>
      <c r="AN32" s="323"/>
      <c r="AO32" s="323"/>
      <c r="AP32" s="323"/>
      <c r="AQ32" s="323"/>
      <c r="AR32" s="323"/>
      <c r="AS32" s="323"/>
      <c r="AT32" s="323"/>
      <c r="AU32" s="323"/>
      <c r="AV32" s="323"/>
      <c r="AW32" s="323"/>
      <c r="AX32" s="5252"/>
      <c r="AY32" s="510"/>
      <c r="BF32" s="1156">
        <v>0</v>
      </c>
    </row>
    <row s="1854" customFormat="1" customHeight="1" ht="25.5">
      <c r="A33" s="1249"/>
      <c r="B33" s="1249"/>
      <c r="C33" s="1249"/>
      <c r="D33" s="1249"/>
      <c r="E33" s="1249"/>
      <c r="F33" s="1249"/>
      <c r="G33" s="1249"/>
      <c r="H33" s="1249"/>
      <c r="I33" s="1249"/>
      <c r="J33" s="1249"/>
      <c r="K33" s="1249"/>
      <c r="L33" s="1249"/>
      <c r="M33" s="1381"/>
      <c r="N33" s="1249"/>
      <c r="O33" s="1249"/>
      <c r="P33" s="1249"/>
      <c r="U33" s="2251" t="s">
        <v>42</v>
      </c>
      <c r="V33" s="2251"/>
      <c r="W33" s="1373"/>
      <c r="X33" s="2252" t="str">
        <f>IF(TITLE_NAME_OR_PR_CHANGE="",IF(TITLE_NAME_OR_PR="","",TITLE_NAME_OR_PR),TITLE_NAME_OR_PR_CHANGE)</f>
        <v>Комитет по тарифному регулированию Мурманской области</v>
      </c>
      <c r="Y33" s="2252"/>
      <c r="Z33" s="2252"/>
      <c r="AA33" s="2252"/>
      <c r="AB33" s="2252"/>
      <c r="AC33" s="2252"/>
      <c r="AD33" s="2252"/>
      <c r="AE33" s="2252"/>
      <c r="AF33" s="327"/>
      <c r="AG33" s="2252" t="str">
        <f>IF(TITLE_NAME_OR_PR_CHANGE="",IF(TITLE_NAME_OR_PR="","",TITLE_NAME_OR_PR),TITLE_NAME_OR_PR_CHANGE)</f>
        <v>Комитет по тарифному регулированию Мурманской области</v>
      </c>
      <c r="AH33" s="2252"/>
      <c r="AI33" s="2252"/>
      <c r="AJ33" s="2252"/>
      <c r="AK33" s="2252"/>
      <c r="AL33" s="2252"/>
      <c r="AM33" s="2252"/>
      <c r="AN33" s="2252"/>
      <c r="AO33" s="327"/>
      <c r="AP33" s="2252" t="str">
        <f>IF(TITLE_NAME_OR_PR_CHANGE="",IF(TITLE_NAME_OR_PR="","",TITLE_NAME_OR_PR),TITLE_NAME_OR_PR_CHANGE)</f>
        <v>Комитет по тарифному регулированию Мурманской области</v>
      </c>
      <c r="AQ33" s="2252"/>
      <c r="AR33" s="2252"/>
      <c r="AS33" s="2252"/>
      <c r="AT33" s="2252"/>
      <c r="AU33" s="2252"/>
      <c r="AV33" s="2252"/>
      <c r="AW33" s="2252"/>
      <c r="AX33" s="5239"/>
      <c r="AY33" s="327"/>
      <c r="AZ33" s="281"/>
      <c r="BA33" s="369"/>
      <c r="BB33" s="369"/>
      <c r="BC33" s="369"/>
      <c r="BD33" s="369"/>
      <c r="BE33" s="369"/>
      <c r="BF33" s="419">
        <v>0</v>
      </c>
    </row>
    <row s="1854" customFormat="1" customHeight="1" ht="18.75">
      <c r="A34" s="1249"/>
      <c r="B34" s="1249"/>
      <c r="C34" s="1249"/>
      <c r="D34" s="1249"/>
      <c r="E34" s="1249"/>
      <c r="F34" s="1249"/>
      <c r="G34" s="1249"/>
      <c r="H34" s="1249"/>
      <c r="I34" s="1249"/>
      <c r="J34" s="1249"/>
      <c r="K34" s="1249"/>
      <c r="L34" s="1249"/>
      <c r="M34" s="1381"/>
      <c r="N34" s="1249"/>
      <c r="O34" s="1249"/>
      <c r="P34" s="1249"/>
      <c r="U34" s="2251" t="s">
        <v>550</v>
      </c>
      <c r="V34" s="2251"/>
      <c r="W34" s="1373"/>
      <c r="X34" s="2265" t="str">
        <f>IF(TITLE_DATE_PR_CHANGE="",IF(TITLE_DATE_PR="","",TITLE_DATE_PR),TITLE_DATE_PR_CHANGE)</f>
        <v>46010</v>
      </c>
      <c r="Y34" s="2265"/>
      <c r="Z34" s="2265"/>
      <c r="AA34" s="2265"/>
      <c r="AB34" s="2265"/>
      <c r="AC34" s="2265"/>
      <c r="AD34" s="2265"/>
      <c r="AE34" s="2265"/>
      <c r="AF34" s="327"/>
      <c r="AG34" s="2265" t="str">
        <f>IF(TITLE_DATE_PR_CHANGE="",IF(TITLE_DATE_PR="","",TITLE_DATE_PR),TITLE_DATE_PR_CHANGE)</f>
        <v>46010</v>
      </c>
      <c r="AH34" s="2265"/>
      <c r="AI34" s="2265"/>
      <c r="AJ34" s="2265"/>
      <c r="AK34" s="2265"/>
      <c r="AL34" s="2265"/>
      <c r="AM34" s="2265"/>
      <c r="AN34" s="2265"/>
      <c r="AO34" s="327"/>
      <c r="AP34" s="2265" t="str">
        <f>IF(TITLE_DATE_PR_CHANGE="",IF(TITLE_DATE_PR="","",TITLE_DATE_PR),TITLE_DATE_PR_CHANGE)</f>
        <v>46010</v>
      </c>
      <c r="AQ34" s="2265"/>
      <c r="AR34" s="2265"/>
      <c r="AS34" s="2265"/>
      <c r="AT34" s="2265"/>
      <c r="AU34" s="2265"/>
      <c r="AV34" s="2265"/>
      <c r="AW34" s="2265"/>
      <c r="AX34" s="5239"/>
      <c r="AY34" s="327"/>
      <c r="AZ34" s="281"/>
      <c r="BA34" s="369"/>
      <c r="BB34" s="369"/>
      <c r="BC34" s="369"/>
      <c r="BD34" s="369"/>
      <c r="BE34" s="369"/>
      <c r="BF34" s="419">
        <v>0</v>
      </c>
    </row>
    <row s="1854" customFormat="1" customHeight="1" ht="18.75">
      <c r="A35" s="1249"/>
      <c r="B35" s="1249"/>
      <c r="C35" s="1249"/>
      <c r="D35" s="1249"/>
      <c r="E35" s="1249"/>
      <c r="F35" s="1249"/>
      <c r="G35" s="1249"/>
      <c r="H35" s="1249"/>
      <c r="I35" s="1249"/>
      <c r="J35" s="1249"/>
      <c r="K35" s="1249"/>
      <c r="L35" s="1249"/>
      <c r="M35" s="1381"/>
      <c r="N35" s="1249"/>
      <c r="O35" s="1249"/>
      <c r="P35" s="1249"/>
      <c r="U35" s="2251" t="s">
        <v>551</v>
      </c>
      <c r="V35" s="2251"/>
      <c r="W35" s="1373"/>
      <c r="X35" s="2252" t="str">
        <f>IF(TITLE_NUMBER_PR_CHANGE="",IF(TITLE_NUMBER_PR="","",TITLE_NUMBER_PR),TITLE_NUMBER_PR_CHANGE)</f>
        <v>53/77; 53/49</v>
      </c>
      <c r="Y35" s="2252"/>
      <c r="Z35" s="2252"/>
      <c r="AA35" s="2252"/>
      <c r="AB35" s="2252"/>
      <c r="AC35" s="2252"/>
      <c r="AD35" s="2252"/>
      <c r="AE35" s="2252"/>
      <c r="AF35" s="327"/>
      <c r="AG35" s="2252" t="str">
        <f>IF(TITLE_NUMBER_PR_CHANGE="",IF(TITLE_NUMBER_PR="","",TITLE_NUMBER_PR),TITLE_NUMBER_PR_CHANGE)</f>
        <v>53/77; 53/49</v>
      </c>
      <c r="AH35" s="2252"/>
      <c r="AI35" s="2252"/>
      <c r="AJ35" s="2252"/>
      <c r="AK35" s="2252"/>
      <c r="AL35" s="2252"/>
      <c r="AM35" s="2252"/>
      <c r="AN35" s="2252"/>
      <c r="AO35" s="327"/>
      <c r="AP35" s="2252" t="str">
        <f>IF(TITLE_NUMBER_PR_CHANGE="",IF(TITLE_NUMBER_PR="","",TITLE_NUMBER_PR),TITLE_NUMBER_PR_CHANGE)</f>
        <v>53/77; 53/49</v>
      </c>
      <c r="AQ35" s="2252"/>
      <c r="AR35" s="2252"/>
      <c r="AS35" s="2252"/>
      <c r="AT35" s="2252"/>
      <c r="AU35" s="2252"/>
      <c r="AV35" s="2252"/>
      <c r="AW35" s="2252"/>
      <c r="AX35" s="5239"/>
      <c r="AY35" s="327"/>
      <c r="AZ35" s="281"/>
      <c r="BA35" s="369"/>
      <c r="BB35" s="369"/>
      <c r="BC35" s="369"/>
      <c r="BD35" s="369"/>
      <c r="BE35" s="369"/>
      <c r="BF35" s="419">
        <v>0</v>
      </c>
    </row>
    <row s="1854" customFormat="1" customHeight="1" ht="18.75">
      <c r="A36" s="1249"/>
      <c r="B36" s="1249"/>
      <c r="C36" s="1249"/>
      <c r="D36" s="1249"/>
      <c r="E36" s="1249"/>
      <c r="F36" s="1249"/>
      <c r="G36" s="1249"/>
      <c r="H36" s="1249"/>
      <c r="I36" s="1249"/>
      <c r="J36" s="1249"/>
      <c r="K36" s="1249"/>
      <c r="L36" s="1249"/>
      <c r="M36" s="1381"/>
      <c r="N36" s="1249"/>
      <c r="O36" s="1249"/>
      <c r="P36" s="1249"/>
      <c r="U36" s="2251" t="s">
        <v>44</v>
      </c>
      <c r="V36" s="2251"/>
      <c r="W36" s="1373"/>
      <c r="X36" s="2252" t="str">
        <f>IF(TITLE_IST_PUB_CHANGE="",IF(TITLE_IST_PUB="","",TITLE_IST_PUB),TITLE_IST_PUB_CHANGE)</f>
        <v>Официальный электронный бюллетень Правительства Мурманской области</v>
      </c>
      <c r="Y36" s="2252"/>
      <c r="Z36" s="2252"/>
      <c r="AA36" s="2252"/>
      <c r="AB36" s="2252"/>
      <c r="AC36" s="2252"/>
      <c r="AD36" s="2252"/>
      <c r="AE36" s="2252"/>
      <c r="AF36" s="327"/>
      <c r="AG36" s="2252" t="str">
        <f>IF(TITLE_IST_PUB_CHANGE="",IF(TITLE_IST_PUB="","",TITLE_IST_PUB),TITLE_IST_PUB_CHANGE)</f>
        <v>Официальный электронный бюллетень Правительства Мурманской области</v>
      </c>
      <c r="AH36" s="2252"/>
      <c r="AI36" s="2252"/>
      <c r="AJ36" s="2252"/>
      <c r="AK36" s="2252"/>
      <c r="AL36" s="2252"/>
      <c r="AM36" s="2252"/>
      <c r="AN36" s="2252"/>
      <c r="AO36" s="327"/>
      <c r="AP36" s="2252" t="str">
        <f>IF(TITLE_IST_PUB_CHANGE="",IF(TITLE_IST_PUB="","",TITLE_IST_PUB),TITLE_IST_PUB_CHANGE)</f>
        <v>Официальный электронный бюллетень Правительства Мурманской области</v>
      </c>
      <c r="AQ36" s="2252"/>
      <c r="AR36" s="2252"/>
      <c r="AS36" s="2252"/>
      <c r="AT36" s="2252"/>
      <c r="AU36" s="2252"/>
      <c r="AV36" s="2252"/>
      <c r="AW36" s="2252"/>
      <c r="AX36" s="5239"/>
      <c r="AY36" s="327"/>
      <c r="AZ36" s="281"/>
      <c r="BA36" s="369"/>
      <c r="BB36" s="369"/>
      <c r="BC36" s="369"/>
      <c r="BD36" s="369"/>
      <c r="BE36" s="369"/>
      <c r="BF36" s="419">
        <v>0</v>
      </c>
    </row>
    <row customHeight="1" ht="14.25" hidden="1">
      <c r="R37" s="377"/>
      <c r="S37" s="377"/>
      <c r="T37" s="377"/>
      <c r="U37" s="1276"/>
      <c r="V37" s="364"/>
      <c r="W37" s="364"/>
      <c r="X37" s="323"/>
      <c r="Y37" s="323"/>
      <c r="Z37" s="323"/>
      <c r="AA37" s="323"/>
      <c r="AB37" s="323"/>
      <c r="AC37" s="323"/>
      <c r="AD37" s="323"/>
      <c r="AE37" s="323"/>
      <c r="AF37" s="323"/>
      <c r="AG37" s="323"/>
      <c r="AH37" s="323"/>
      <c r="AI37" s="323"/>
      <c r="AJ37" s="323"/>
      <c r="AK37" s="323"/>
      <c r="AL37" s="323"/>
      <c r="AM37" s="323"/>
      <c r="AN37" s="323"/>
      <c r="AO37" s="323"/>
      <c r="AP37" s="323"/>
      <c r="AQ37" s="323"/>
      <c r="AR37" s="323"/>
      <c r="AS37" s="323"/>
      <c r="AT37" s="323"/>
      <c r="AU37" s="323"/>
      <c r="AV37" s="323"/>
      <c r="AW37" s="323"/>
      <c r="AX37" s="5252"/>
      <c r="AY37" s="510"/>
      <c r="BF37" s="1156">
        <v>0</v>
      </c>
    </row>
    <row s="1854" customFormat="1" customHeight="1" ht="18.75" hidden="1">
      <c r="A38" s="1249"/>
      <c r="B38" s="1249"/>
      <c r="C38" s="1249"/>
      <c r="D38" s="1249"/>
      <c r="E38" s="1249"/>
      <c r="F38" s="1249"/>
      <c r="G38" s="1249"/>
      <c r="H38" s="1249"/>
      <c r="I38" s="1249"/>
      <c r="J38" s="1249"/>
      <c r="K38" s="1249"/>
      <c r="L38" s="1249"/>
      <c r="M38" s="1381"/>
      <c r="N38" s="1249"/>
      <c r="O38" s="1249"/>
      <c r="P38" s="1249"/>
      <c r="U38" s="2251" t="s">
        <v>552</v>
      </c>
      <c r="V38" s="2251"/>
      <c r="W38" s="1373"/>
      <c r="X38" s="2265" t="str">
        <f>IF(TITLE_DATE_PR_CHANGE="",IF(TITLE_DATE_PR="","",TITLE_DATE_PR),TITLE_DATE_PR_CHANGE)</f>
        <v>46010</v>
      </c>
      <c r="Y38" s="2265"/>
      <c r="Z38" s="2265"/>
      <c r="AA38" s="2265"/>
      <c r="AB38" s="2265"/>
      <c r="AC38" s="2265"/>
      <c r="AD38" s="2265"/>
      <c r="AE38" s="2265"/>
      <c r="AF38" s="327"/>
      <c r="AG38" s="2265" t="str">
        <f>IF(TITLE_DATE_PR_CHANGE="",IF(TITLE_DATE_PR="","",TITLE_DATE_PR),TITLE_DATE_PR_CHANGE)</f>
        <v>46010</v>
      </c>
      <c r="AH38" s="2265"/>
      <c r="AI38" s="2265"/>
      <c r="AJ38" s="2265"/>
      <c r="AK38" s="2265"/>
      <c r="AL38" s="2265"/>
      <c r="AM38" s="2265"/>
      <c r="AN38" s="2265"/>
      <c r="AO38" s="327"/>
      <c r="AP38" s="2265" t="str">
        <f>IF(TITLE_DATE_PR_CHANGE="",IF(TITLE_DATE_PR="","",TITLE_DATE_PR),TITLE_DATE_PR_CHANGE)</f>
        <v>46010</v>
      </c>
      <c r="AQ38" s="2265"/>
      <c r="AR38" s="2265"/>
      <c r="AS38" s="2265"/>
      <c r="AT38" s="2265"/>
      <c r="AU38" s="2265"/>
      <c r="AV38" s="2265"/>
      <c r="AW38" s="2265"/>
      <c r="AX38" s="5239"/>
      <c r="AY38" s="327"/>
      <c r="AZ38" s="281"/>
      <c r="BA38" s="369"/>
      <c r="BB38" s="369"/>
      <c r="BC38" s="369"/>
      <c r="BD38" s="369"/>
      <c r="BE38" s="369"/>
      <c r="BF38" s="419">
        <v>0</v>
      </c>
    </row>
    <row s="1854" customFormat="1" customHeight="1" ht="18.75" hidden="1">
      <c r="A39" s="1249"/>
      <c r="B39" s="1249"/>
      <c r="C39" s="1249"/>
      <c r="D39" s="1249"/>
      <c r="E39" s="1249"/>
      <c r="F39" s="1249"/>
      <c r="G39" s="1249"/>
      <c r="H39" s="1249"/>
      <c r="I39" s="1249"/>
      <c r="J39" s="1249"/>
      <c r="K39" s="1249"/>
      <c r="L39" s="1249"/>
      <c r="M39" s="1381"/>
      <c r="N39" s="1249"/>
      <c r="O39" s="1249"/>
      <c r="P39" s="1249"/>
      <c r="U39" s="2251" t="s">
        <v>553</v>
      </c>
      <c r="V39" s="2251"/>
      <c r="W39" s="1373"/>
      <c r="X39" s="2252" t="str">
        <f>IF(TITLE_NUMBER_PR_CHANGE="",IF(TITLE_NUMBER_PR="","",TITLE_NUMBER_PR),TITLE_NUMBER_PR_CHANGE)</f>
        <v>53/77; 53/49</v>
      </c>
      <c r="Y39" s="2252"/>
      <c r="Z39" s="2252"/>
      <c r="AA39" s="2252"/>
      <c r="AB39" s="2252"/>
      <c r="AC39" s="2252"/>
      <c r="AD39" s="2252"/>
      <c r="AE39" s="2252"/>
      <c r="AF39" s="327"/>
      <c r="AG39" s="2252" t="str">
        <f>IF(TITLE_NUMBER_PR_CHANGE="",IF(TITLE_NUMBER_PR="","",TITLE_NUMBER_PR),TITLE_NUMBER_PR_CHANGE)</f>
        <v>53/77; 53/49</v>
      </c>
      <c r="AH39" s="2252"/>
      <c r="AI39" s="2252"/>
      <c r="AJ39" s="2252"/>
      <c r="AK39" s="2252"/>
      <c r="AL39" s="2252"/>
      <c r="AM39" s="2252"/>
      <c r="AN39" s="2252"/>
      <c r="AO39" s="327"/>
      <c r="AP39" s="2252" t="str">
        <f>IF(TITLE_NUMBER_PR_CHANGE="",IF(TITLE_NUMBER_PR="","",TITLE_NUMBER_PR),TITLE_NUMBER_PR_CHANGE)</f>
        <v>53/77; 53/49</v>
      </c>
      <c r="AQ39" s="2252"/>
      <c r="AR39" s="2252"/>
      <c r="AS39" s="2252"/>
      <c r="AT39" s="2252"/>
      <c r="AU39" s="2252"/>
      <c r="AV39" s="2252"/>
      <c r="AW39" s="2252"/>
      <c r="AX39" s="5239"/>
      <c r="AY39" s="327"/>
      <c r="AZ39" s="281"/>
      <c r="BA39" s="369"/>
      <c r="BB39" s="369"/>
      <c r="BC39" s="369"/>
      <c r="BD39" s="369"/>
      <c r="BE39" s="369"/>
      <c r="BF39" s="419">
        <v>0</v>
      </c>
    </row>
    <row s="1854" customFormat="1" customHeight="1" ht="0">
      <c r="A40" s="1249"/>
      <c r="B40" s="1249"/>
      <c r="C40" s="1249"/>
      <c r="D40" s="1249"/>
      <c r="E40" s="1249"/>
      <c r="F40" s="1249"/>
      <c r="G40" s="1249"/>
      <c r="H40" s="1249"/>
      <c r="I40" s="1249"/>
      <c r="J40" s="1249"/>
      <c r="K40" s="1249"/>
      <c r="L40" s="1249"/>
      <c r="M40" s="1381"/>
      <c r="N40" s="1249"/>
      <c r="O40" s="1249"/>
      <c r="P40" s="1249"/>
      <c r="U40" s="324"/>
      <c r="V40" s="324"/>
      <c r="W40" s="1341"/>
      <c r="X40" s="327"/>
      <c r="Y40" s="327"/>
      <c r="Z40" s="327"/>
      <c r="AA40" s="327"/>
      <c r="AB40" s="327"/>
      <c r="AC40" s="327"/>
      <c r="AD40" s="327"/>
      <c r="AE40" s="327"/>
      <c r="AF40" s="279" t="s">
        <v>554</v>
      </c>
      <c r="AG40" s="327"/>
      <c r="AH40" s="327"/>
      <c r="AI40" s="327"/>
      <c r="AJ40" s="327"/>
      <c r="AK40" s="327"/>
      <c r="AL40" s="327"/>
      <c r="AM40" s="327"/>
      <c r="AN40" s="327"/>
      <c r="AO40" s="279" t="s">
        <v>554</v>
      </c>
      <c r="AP40" s="1636"/>
      <c r="AQ40" s="1636"/>
      <c r="AR40" s="1636"/>
      <c r="AS40" s="1636"/>
      <c r="AT40" s="1636"/>
      <c r="AU40" s="1636"/>
      <c r="AV40" s="1636"/>
      <c r="AW40" s="1636"/>
      <c r="AX40" s="5253" t="s">
        <v>554</v>
      </c>
      <c r="BA40" s="369"/>
      <c r="BB40" s="369"/>
      <c r="BC40" s="369"/>
      <c r="BD40" s="369"/>
      <c r="BE40" s="369"/>
      <c r="BF40" s="419">
        <v>0</v>
      </c>
    </row>
    <row customHeight="1" ht="14.699999999999998">
      <c r="R41" s="377"/>
      <c r="S41" s="377"/>
      <c r="T41" s="377"/>
      <c r="U41" s="1276"/>
      <c r="V41" s="364"/>
      <c r="W41" s="1245"/>
      <c r="X41" s="2253"/>
      <c r="Y41" s="2253"/>
      <c r="Z41" s="2253"/>
      <c r="AA41" s="2253"/>
      <c r="AB41" s="2253"/>
      <c r="AC41" s="2253"/>
      <c r="AD41" s="2253"/>
      <c r="AE41" s="2253"/>
      <c r="AF41" s="2253"/>
      <c r="AG41" s="2253"/>
      <c r="AH41" s="2253"/>
      <c r="AI41" s="2253"/>
      <c r="AJ41" s="2253"/>
      <c r="AK41" s="2253"/>
      <c r="AL41" s="2253"/>
      <c r="AM41" s="2253"/>
      <c r="AN41" s="2253"/>
      <c r="AO41" s="2253"/>
      <c r="AP41" s="2253" t="s">
        <v>108</v>
      </c>
      <c r="AQ41" s="2253"/>
      <c r="AR41" s="2253"/>
      <c r="AS41" s="2253"/>
      <c r="AT41" s="2253"/>
      <c r="AU41" s="2253"/>
      <c r="AV41" s="2253"/>
      <c r="AW41" s="2253"/>
      <c r="AX41" s="5254"/>
      <c r="BF41" s="1156">
        <v>14</v>
      </c>
    </row>
    <row customHeight="1" ht="15">
      <c r="R42" s="377"/>
      <c r="S42" s="377"/>
      <c r="T42" s="377"/>
      <c r="U42" s="2128" t="s">
        <v>430</v>
      </c>
      <c r="V42" s="2128"/>
      <c r="W42" s="2128"/>
      <c r="X42" s="2128"/>
      <c r="Y42" s="2128"/>
      <c r="Z42" s="2128"/>
      <c r="AA42" s="2128"/>
      <c r="AB42" s="2128"/>
      <c r="AC42" s="2128"/>
      <c r="AD42" s="2128"/>
      <c r="AE42" s="2128"/>
      <c r="AF42" s="2128"/>
      <c r="AG42" s="2128"/>
      <c r="AH42" s="2128"/>
      <c r="AI42" s="2128"/>
      <c r="AJ42" s="2128"/>
      <c r="AK42" s="2128"/>
      <c r="AL42" s="2128"/>
      <c r="AM42" s="2128"/>
      <c r="AN42" s="2128"/>
      <c r="AO42" s="2128"/>
      <c r="AP42" s="2313" t="s">
        <v>430</v>
      </c>
      <c r="AQ42" s="2313"/>
      <c r="AR42" s="2313"/>
      <c r="AS42" s="2313"/>
      <c r="AT42" s="2313"/>
      <c r="AU42" s="2313"/>
      <c r="AV42" s="2313"/>
      <c r="AW42" s="2313"/>
      <c r="AX42" s="5255"/>
      <c r="AY42" s="2128"/>
      <c r="AZ42" s="2128"/>
      <c r="BF42" s="1156"/>
    </row>
    <row customHeight="1" ht="14.699999999999998">
      <c r="R43" s="377"/>
      <c r="S43" s="377"/>
      <c r="T43" s="377"/>
      <c r="U43" s="2274" t="s">
        <v>92</v>
      </c>
      <c r="V43" s="2210" t="s">
        <v>555</v>
      </c>
      <c r="W43" s="302"/>
      <c r="X43" s="2275" t="s">
        <v>556</v>
      </c>
      <c r="Y43" s="2292"/>
      <c r="Z43" s="2292"/>
      <c r="AA43" s="2292"/>
      <c r="AB43" s="2292"/>
      <c r="AC43" s="2276"/>
      <c r="AD43" s="2276"/>
      <c r="AE43" s="2277"/>
      <c r="AF43" s="2278" t="s">
        <v>557</v>
      </c>
      <c r="AG43" s="2275" t="s">
        <v>556</v>
      </c>
      <c r="AH43" s="2292"/>
      <c r="AI43" s="2292"/>
      <c r="AJ43" s="2292"/>
      <c r="AK43" s="2292"/>
      <c r="AL43" s="2276"/>
      <c r="AM43" s="2276"/>
      <c r="AN43" s="2277"/>
      <c r="AO43" s="2278" t="s">
        <v>558</v>
      </c>
      <c r="AP43" s="2400" t="s">
        <v>556</v>
      </c>
      <c r="AQ43" s="2292"/>
      <c r="AR43" s="2292"/>
      <c r="AS43" s="2292"/>
      <c r="AT43" s="2292"/>
      <c r="AU43" s="2401"/>
      <c r="AV43" s="2401"/>
      <c r="AW43" s="2402"/>
      <c r="AX43" s="5256" t="s">
        <v>557</v>
      </c>
      <c r="AY43" s="2281" t="s">
        <v>559</v>
      </c>
      <c r="AZ43" s="2128"/>
      <c r="BF43" s="1156">
        <v>14</v>
      </c>
    </row>
    <row customHeight="1" ht="35.699999999999996">
      <c r="R44" s="377"/>
      <c r="S44" s="377"/>
      <c r="T44" s="377"/>
      <c r="U44" s="2274"/>
      <c r="V44" s="2210"/>
      <c r="W44" s="1032"/>
      <c r="X44" s="2295" t="s">
        <v>585</v>
      </c>
      <c r="Y44" s="2313" t="s">
        <v>586</v>
      </c>
      <c r="Z44" s="2313"/>
      <c r="AA44" s="2313"/>
      <c r="AB44" s="2313"/>
      <c r="AC44" s="2295" t="s">
        <v>563</v>
      </c>
      <c r="AD44" s="2612"/>
      <c r="AE44" s="2315"/>
      <c r="AF44" s="2279"/>
      <c r="AG44" s="2295" t="s">
        <v>585</v>
      </c>
      <c r="AH44" s="2313" t="s">
        <v>586</v>
      </c>
      <c r="AI44" s="2313"/>
      <c r="AJ44" s="2313"/>
      <c r="AK44" s="2313"/>
      <c r="AL44" s="2295" t="s">
        <v>563</v>
      </c>
      <c r="AM44" s="2612"/>
      <c r="AN44" s="2315"/>
      <c r="AO44" s="2279"/>
      <c r="AP44" s="2295" t="s">
        <v>585</v>
      </c>
      <c r="AQ44" s="2313" t="s">
        <v>586</v>
      </c>
      <c r="AR44" s="2313"/>
      <c r="AS44" s="2313"/>
      <c r="AT44" s="2313"/>
      <c r="AU44" s="2295" t="s">
        <v>563</v>
      </c>
      <c r="AV44" s="2612"/>
      <c r="AW44" s="2315"/>
      <c r="AX44" s="5257"/>
      <c r="AY44" s="2282"/>
      <c r="AZ44" s="2128"/>
      <c r="BF44" s="1156">
        <v>34</v>
      </c>
    </row>
    <row customHeight="1" ht="14.699999999999998">
      <c r="R45" s="377"/>
      <c r="S45" s="377"/>
      <c r="T45" s="377"/>
      <c r="U45" s="2274"/>
      <c r="V45" s="2210"/>
      <c r="W45" s="1032"/>
      <c r="X45" s="2326"/>
      <c r="Y45" s="2318" t="s">
        <v>587</v>
      </c>
      <c r="Z45" s="2271" t="s">
        <v>588</v>
      </c>
      <c r="AA45" s="2321"/>
      <c r="AB45" s="2272"/>
      <c r="AC45" s="2296"/>
      <c r="AD45" s="2613"/>
      <c r="AE45" s="2317"/>
      <c r="AF45" s="2279"/>
      <c r="AG45" s="2326"/>
      <c r="AH45" s="2318" t="s">
        <v>587</v>
      </c>
      <c r="AI45" s="2271" t="s">
        <v>588</v>
      </c>
      <c r="AJ45" s="2321"/>
      <c r="AK45" s="2272"/>
      <c r="AL45" s="2296"/>
      <c r="AM45" s="2613"/>
      <c r="AN45" s="2317"/>
      <c r="AO45" s="2279"/>
      <c r="AP45" s="2326"/>
      <c r="AQ45" s="2318" t="s">
        <v>587</v>
      </c>
      <c r="AR45" s="2271" t="s">
        <v>588</v>
      </c>
      <c r="AS45" s="2321"/>
      <c r="AT45" s="2272"/>
      <c r="AU45" s="2296"/>
      <c r="AV45" s="2613"/>
      <c r="AW45" s="2317"/>
      <c r="AX45" s="5257"/>
      <c r="AY45" s="2282"/>
      <c r="AZ45" s="2128"/>
      <c r="BF45" s="1156">
        <v>14</v>
      </c>
    </row>
    <row customHeight="1" ht="27.299999999999997">
      <c r="R46" s="377"/>
      <c r="S46" s="377"/>
      <c r="T46" s="377"/>
      <c r="U46" s="2274"/>
      <c r="V46" s="2210"/>
      <c r="W46" s="1032"/>
      <c r="X46" s="2326"/>
      <c r="Y46" s="2319"/>
      <c r="Z46" s="2318" t="s">
        <v>589</v>
      </c>
      <c r="AA46" s="2271" t="s">
        <v>590</v>
      </c>
      <c r="AB46" s="2272"/>
      <c r="AC46" s="2318" t="s">
        <v>573</v>
      </c>
      <c r="AD46" s="2322" t="s">
        <v>574</v>
      </c>
      <c r="AE46" s="2323"/>
      <c r="AF46" s="2279"/>
      <c r="AG46" s="2326"/>
      <c r="AH46" s="2319"/>
      <c r="AI46" s="2318" t="s">
        <v>589</v>
      </c>
      <c r="AJ46" s="2271" t="s">
        <v>590</v>
      </c>
      <c r="AK46" s="2272"/>
      <c r="AL46" s="2318" t="s">
        <v>573</v>
      </c>
      <c r="AM46" s="2322" t="s">
        <v>574</v>
      </c>
      <c r="AN46" s="2323"/>
      <c r="AO46" s="2279"/>
      <c r="AP46" s="2326"/>
      <c r="AQ46" s="2319"/>
      <c r="AR46" s="2318" t="s">
        <v>589</v>
      </c>
      <c r="AS46" s="2271" t="s">
        <v>590</v>
      </c>
      <c r="AT46" s="2272"/>
      <c r="AU46" s="2318" t="s">
        <v>573</v>
      </c>
      <c r="AV46" s="2322" t="s">
        <v>574</v>
      </c>
      <c r="AW46" s="2323"/>
      <c r="AX46" s="5257"/>
      <c r="AY46" s="2282"/>
      <c r="AZ46" s="2128"/>
      <c r="BF46" s="1156">
        <v>26</v>
      </c>
    </row>
    <row customHeight="1" ht="65.25">
      <c r="A47" s="1260"/>
      <c r="B47" s="1260" t="s">
        <v>148</v>
      </c>
      <c r="C47" s="1260" t="s">
        <v>149</v>
      </c>
      <c r="D47" s="1260" t="s">
        <v>150</v>
      </c>
      <c r="E47" s="1311" t="s">
        <v>564</v>
      </c>
      <c r="F47" s="1311" t="s">
        <v>565</v>
      </c>
      <c r="G47" s="1311" t="s">
        <v>566</v>
      </c>
      <c r="H47" s="1311" t="s">
        <v>567</v>
      </c>
      <c r="I47" s="1311" t="s">
        <v>568</v>
      </c>
      <c r="J47" s="1311" t="s">
        <v>569</v>
      </c>
      <c r="K47" s="1311" t="s">
        <v>570</v>
      </c>
      <c r="L47" s="1311" t="s">
        <v>591</v>
      </c>
      <c r="M47" s="1311" t="s">
        <v>545</v>
      </c>
      <c r="R47" s="377"/>
      <c r="S47" s="377"/>
      <c r="T47" s="377"/>
      <c r="U47" s="2274"/>
      <c r="V47" s="2210"/>
      <c r="W47" s="303"/>
      <c r="X47" s="2296"/>
      <c r="Y47" s="2320"/>
      <c r="Z47" s="2320"/>
      <c r="AA47" s="1223" t="s">
        <v>592</v>
      </c>
      <c r="AB47" s="1223" t="s">
        <v>593</v>
      </c>
      <c r="AC47" s="2320"/>
      <c r="AD47" s="2324"/>
      <c r="AE47" s="2325"/>
      <c r="AF47" s="2280"/>
      <c r="AG47" s="2296"/>
      <c r="AH47" s="2320"/>
      <c r="AI47" s="2320"/>
      <c r="AJ47" s="1223" t="s">
        <v>592</v>
      </c>
      <c r="AK47" s="1223" t="s">
        <v>593</v>
      </c>
      <c r="AL47" s="2320"/>
      <c r="AM47" s="2324"/>
      <c r="AN47" s="2325"/>
      <c r="AO47" s="2280"/>
      <c r="AP47" s="2296"/>
      <c r="AQ47" s="2320"/>
      <c r="AR47" s="2320"/>
      <c r="AS47" s="2578" t="s">
        <v>592</v>
      </c>
      <c r="AT47" s="2578" t="s">
        <v>593</v>
      </c>
      <c r="AU47" s="2320"/>
      <c r="AV47" s="2324"/>
      <c r="AW47" s="2325"/>
      <c r="AX47" s="5258"/>
      <c r="AY47" s="2283"/>
      <c r="AZ47" s="2128"/>
      <c r="BF47" s="1156">
        <v>62</v>
      </c>
    </row>
    <row s="1642" customFormat="1" customHeight="1" ht="11.25" hidden="1">
      <c r="A48" s="1260"/>
      <c r="B48" s="1260"/>
      <c r="C48" s="1260"/>
      <c r="D48" s="1260"/>
      <c r="E48" s="1260"/>
      <c r="F48" s="1260"/>
      <c r="G48" s="1260"/>
      <c r="H48" s="1260"/>
      <c r="I48" s="1260"/>
      <c r="J48" s="1260"/>
      <c r="K48" s="1260"/>
      <c r="L48" s="1260"/>
      <c r="M48" s="1311"/>
      <c r="N48" s="1329"/>
      <c r="O48" s="1329"/>
      <c r="P48" s="1329"/>
      <c r="Q48" s="1247"/>
      <c r="R48" s="1248"/>
      <c r="S48" s="1255">
        <v>1</v>
      </c>
      <c r="T48" s="1255"/>
      <c r="U48" s="1278" t="s">
        <v>123</v>
      </c>
      <c r="V48" s="1256" t="s">
        <v>107</v>
      </c>
      <c r="W48" s="1246" t="str">
        <f>OFFSET(W48,0,-1)</f>
        <v>2</v>
      </c>
      <c r="X48" s="1336">
        <f>OFFSET(X48,0,-1)+1</f>
        <v>3</v>
      </c>
      <c r="Y48" s="1342"/>
      <c r="Z48" s="1342"/>
      <c r="AA48" s="1342">
        <f>OFFSET(AA48,0,-1)+1</f>
        <v>1</v>
      </c>
      <c r="AB48" s="1342">
        <f>OFFSET(AB48,0,-1)+1</f>
        <v>2</v>
      </c>
      <c r="AC48" s="1336">
        <f>OFFSET(AC48,0,-1)+1</f>
        <v>3</v>
      </c>
      <c r="AD48" s="2273">
        <f>OFFSET(AD48,0,-1)+1</f>
        <v>4</v>
      </c>
      <c r="AE48" s="2273"/>
      <c r="AF48" s="1336">
        <f>OFFSET(AF48,0,-2)+1</f>
        <v>5</v>
      </c>
      <c r="AG48" s="1336">
        <f>OFFSET(AG48,0,-1)+1</f>
        <v>6</v>
      </c>
      <c r="AH48" s="1336"/>
      <c r="AI48" s="1336"/>
      <c r="AJ48" s="1336">
        <f>OFFSET(AJ48,0,-1)+1</f>
        <v>1</v>
      </c>
      <c r="AK48" s="1336">
        <f>OFFSET(AK48,0,-1)+1</f>
        <v>2</v>
      </c>
      <c r="AL48" s="1336">
        <f>OFFSET(AL48,0,-1)+1</f>
        <v>3</v>
      </c>
      <c r="AM48" s="2273">
        <f>OFFSET(AM48,0,-1)+1</f>
        <v>4</v>
      </c>
      <c r="AN48" s="2273"/>
      <c r="AO48" s="1336">
        <f>OFFSET(AO48,0,-2)+1</f>
        <v>5</v>
      </c>
      <c r="AP48" s="2273">
        <f>OFFSET(AP48,0,-1)+1</f>
        <v>6</v>
      </c>
      <c r="AQ48" s="1342"/>
      <c r="AR48" s="1342"/>
      <c r="AS48" s="1342">
        <f>OFFSET(AS48,0,-1)+1</f>
        <v>1</v>
      </c>
      <c r="AT48" s="1342">
        <f>OFFSET(AT48,0,-1)+1</f>
        <v>2</v>
      </c>
      <c r="AU48" s="2273">
        <f>OFFSET(AU48,0,-1)+1</f>
        <v>3</v>
      </c>
      <c r="AV48" s="2273">
        <f>OFFSET(AV48,0,-1)+1</f>
        <v>4</v>
      </c>
      <c r="AW48" s="2273"/>
      <c r="AX48" s="5259">
        <f>OFFSET(AX48,0,-2)+1</f>
        <v>5</v>
      </c>
      <c r="AY48" s="1246">
        <f>OFFSET(AY48,0,-1)</f>
        <v>5</v>
      </c>
      <c r="AZ48" s="1336">
        <f>OFFSET(AZ48,0,-1)+1</f>
        <v>6</v>
      </c>
      <c r="BA48" s="512"/>
      <c r="BB48" s="512"/>
      <c r="BC48" s="512"/>
      <c r="BD48" s="512"/>
      <c r="BE48" s="512"/>
      <c r="BF48" s="497">
        <v>0</v>
      </c>
    </row>
    <row customHeight="1" ht="22.049999999999997">
      <c r="A49" s="1268" t="s">
        <v>273</v>
      </c>
      <c r="B49" s="1268"/>
      <c r="C49" s="1268"/>
      <c r="D49" s="1268"/>
      <c r="E49" s="2290">
        <v>1</v>
      </c>
      <c r="F49" s="1268"/>
      <c r="G49" s="1268"/>
      <c r="H49" s="1268"/>
      <c r="I49" s="1268"/>
      <c r="J49" s="1268"/>
      <c r="K49" s="1268"/>
      <c r="L49" s="1268"/>
      <c r="M49" s="1311"/>
      <c r="N49" s="689"/>
      <c r="O49" s="689"/>
      <c r="P49" s="689"/>
      <c r="Q49" s="362"/>
      <c r="R49" s="361"/>
      <c r="S49" s="361"/>
      <c r="T49" s="356"/>
      <c r="U49" s="1337">
        <f>INDEX(PT_DIFFERENTIATION_NUM_NTAR,MATCH(A49,PT_DIFFERENTIATION_NTAR_ID,0))</f>
        <v>1</v>
      </c>
      <c r="V49" s="299" t="s">
        <v>136</v>
      </c>
      <c r="W49" s="301"/>
      <c r="X49" s="2243"/>
      <c r="Y49" s="2244"/>
      <c r="Z49" s="2244"/>
      <c r="AA49" s="2244"/>
      <c r="AB49" s="2244"/>
      <c r="AC49" s="2244"/>
      <c r="AD49" s="2244"/>
      <c r="AE49" s="2244"/>
      <c r="AF49" s="2245"/>
      <c r="AG49" s="2243" t="str">
        <f>INDEX(PT_DIFFERENTIATION_NTAR,MATCH(A49,PT_DIFFERENTIATION_NTAR_ID,0))</f>
        <v>Тарифы на горячую воду в открытых системах теплоснабжения (горячее водоснабжение), поставляемую группе потребителей "население". Муниципальный округ город Апатиты с подведомственной территорией Мурманской области.</v>
      </c>
      <c r="AH49" s="2244"/>
      <c r="AI49" s="2244"/>
      <c r="AJ49" s="2244"/>
      <c r="AK49" s="2244"/>
      <c r="AL49" s="2244"/>
      <c r="AM49" s="2244"/>
      <c r="AN49" s="2244"/>
      <c r="AO49" s="2244"/>
      <c r="AP49" s="2243"/>
      <c r="AQ49" s="2244"/>
      <c r="AR49" s="2244"/>
      <c r="AS49" s="2244"/>
      <c r="AT49" s="2244"/>
      <c r="AU49" s="2244"/>
      <c r="AV49" s="2244"/>
      <c r="AW49" s="2244"/>
      <c r="AX49" s="5240"/>
      <c r="AY49" s="2245"/>
      <c r="AZ49" s="1259" t="str">
        <f>IF(TEMPLATE_GROUP="P","По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реквизиты"&amp;" (дата и номер) решения об установлении цены (тарифа), источник официального опубликования решения об установлении цены (тарифа) в сфере теплоснабжения.","В соответствии с данной формой раскрывается в том числе информация о тарифах на горячую воду, поставляемую единой теплоснабжающей организацией потребителям с использованием открытых систем теплоснабжения"&amp;" (горячего водоснабжения), установленных в виде формулы двухкомпонентного тарифа "&amp;"с использованием компонента на теплоноситель и компонента на тепловую энергию, в том числе о числовых значениях компонентов указанного тарифа. "&amp;"В соответствии с данной формой раскрывается в том числе информация о тарифах на товары (услуги) в сфере теплоснабжения в случаях, указанных частях 12 1 - 12 4 статьи 10 "&amp;"Федерального закона от 27 июля 2010 г. N 190-ФЗ ""О теплоснабжении"", теплоснабжающей организации, теплосетевой организации в ценовых зонах теплоснабжения.
"&amp;"Указывается наименование тарифа в случае расчета нескольких тарифов.
"&amp;"В случае наличия нескольких тарифов информация по ним указывается в отдельных строках.")</f>
        <v>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 N 190-ФЗ "О теплоснабжении", теплоснабжающей организации, теплосетевой организации в ценовых зонах теплоснабжения.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 (тарифа), источник официального опубликования решения об установлении цены (тарифа) в сфере теплоснабжения.</v>
      </c>
      <c r="BB49" s="501"/>
      <c r="BC49" s="501" t="str">
        <f>IF(V49="","",V49)</f>
        <v>Наименование тарифа</v>
      </c>
      <c r="BD49" s="501"/>
      <c r="BE49" s="501"/>
      <c r="BF49" s="1156">
        <v>21</v>
      </c>
    </row>
    <row customHeight="1" ht="22.049999999999997">
      <c r="A50" s="1268" t="s">
        <v>273</v>
      </c>
      <c r="B50" s="1268" t="s">
        <v>274</v>
      </c>
      <c r="C50" s="1268"/>
      <c r="D50" s="1268"/>
      <c r="E50" s="2291"/>
      <c r="F50" s="2290">
        <v>1</v>
      </c>
      <c r="G50" s="1268"/>
      <c r="H50" s="1268"/>
      <c r="I50" s="1268"/>
      <c r="J50" s="1268"/>
      <c r="K50" s="1268"/>
      <c r="L50" s="1268"/>
      <c r="M50" s="1311"/>
      <c r="N50" s="689"/>
      <c r="O50" s="689"/>
      <c r="P50" s="689"/>
      <c r="Q50" s="1333"/>
      <c r="R50" s="353"/>
      <c r="S50" s="510"/>
      <c r="T50" s="354"/>
      <c r="U50" s="1337" t="str">
        <f>INDEX(PT_DIFFERENTIATION_NUM_TER,MATCH(B50,PT_DIFFERENTIATION_TER_ID,0))</f>
        <v>1.1</v>
      </c>
      <c r="V50" s="309" t="s">
        <v>527</v>
      </c>
      <c r="W50" s="301"/>
      <c r="X50" s="2243"/>
      <c r="Y50" s="2244"/>
      <c r="Z50" s="2244"/>
      <c r="AA50" s="2244"/>
      <c r="AB50" s="2244"/>
      <c r="AC50" s="2244"/>
      <c r="AD50" s="2244"/>
      <c r="AE50" s="2244"/>
      <c r="AF50" s="2245"/>
      <c r="AG50" s="2243" t="str">
        <f>INDEX(PT_DIFFERENTIATION_TER,MATCH(B50,PT_DIFFERENTIATION_TER_ID,0))</f>
        <v>Территория 1</v>
      </c>
      <c r="AH50" s="2244"/>
      <c r="AI50" s="2244"/>
      <c r="AJ50" s="2244"/>
      <c r="AK50" s="2244"/>
      <c r="AL50" s="2244"/>
      <c r="AM50" s="2244"/>
      <c r="AN50" s="2244"/>
      <c r="AO50" s="2244"/>
      <c r="AP50" s="2243"/>
      <c r="AQ50" s="2244"/>
      <c r="AR50" s="2244"/>
      <c r="AS50" s="2244"/>
      <c r="AT50" s="2244"/>
      <c r="AU50" s="2244"/>
      <c r="AV50" s="2244"/>
      <c r="AW50" s="2244"/>
      <c r="AX50" s="5240"/>
      <c r="AY50" s="2245"/>
      <c r="AZ50" s="1259" t="s">
        <v>528</v>
      </c>
      <c r="BB50" s="501"/>
      <c r="BC50" s="501" t="str">
        <f>IF(V50="","",V50)</f>
        <v>Территория действия тарифа</v>
      </c>
      <c r="BD50" s="501"/>
      <c r="BE50" s="501"/>
      <c r="BF50" s="1156">
        <v>21</v>
      </c>
    </row>
    <row customHeight="1" ht="24">
      <c r="A51" s="1268" t="s">
        <v>273</v>
      </c>
      <c r="B51" s="1268" t="s">
        <v>274</v>
      </c>
      <c r="C51" s="1268" t="s">
        <v>275</v>
      </c>
      <c r="D51" s="1268"/>
      <c r="E51" s="2291"/>
      <c r="F51" s="2291"/>
      <c r="G51" s="2290">
        <v>1</v>
      </c>
      <c r="H51" s="1268"/>
      <c r="I51" s="1268"/>
      <c r="J51" s="1268"/>
      <c r="K51" s="1268"/>
      <c r="L51" s="1268"/>
      <c r="M51" s="1311"/>
      <c r="N51" s="689"/>
      <c r="O51" s="689"/>
      <c r="P51" s="689"/>
      <c r="Q51" s="355"/>
      <c r="R51" s="353"/>
      <c r="S51" s="510"/>
      <c r="T51" s="354"/>
      <c r="U51" s="1337" t="str">
        <f>INDEX(PT_DIFFERENTIATION_NUM_CS,MATCH(C51,PT_DIFFERENTIATION_CS_ID,0))</f>
        <v>1.1.1</v>
      </c>
      <c r="V51" s="310" t="s">
        <v>529</v>
      </c>
      <c r="W51" s="301"/>
      <c r="X51" s="2243"/>
      <c r="Y51" s="2244"/>
      <c r="Z51" s="2244"/>
      <c r="AA51" s="2244"/>
      <c r="AB51" s="2244"/>
      <c r="AC51" s="2244"/>
      <c r="AD51" s="2244"/>
      <c r="AE51" s="2244"/>
      <c r="AF51" s="2245"/>
      <c r="AG51" s="2243" t="str">
        <f>INDEX(PT_DIFFERENTIATION_CS,MATCH(C51,PT_DIFFERENTIATION_CS_ID,0))</f>
        <v>открытая система теплоснабжения г. Апатиты</v>
      </c>
      <c r="AH51" s="2244"/>
      <c r="AI51" s="2244"/>
      <c r="AJ51" s="2244"/>
      <c r="AK51" s="2244"/>
      <c r="AL51" s="2244"/>
      <c r="AM51" s="2244"/>
      <c r="AN51" s="2244"/>
      <c r="AO51" s="2244"/>
      <c r="AP51" s="2243"/>
      <c r="AQ51" s="2244"/>
      <c r="AR51" s="2244"/>
      <c r="AS51" s="2244"/>
      <c r="AT51" s="2244"/>
      <c r="AU51" s="2244"/>
      <c r="AV51" s="2244"/>
      <c r="AW51" s="2244"/>
      <c r="AX51" s="5240"/>
      <c r="AY51" s="2245"/>
      <c r="AZ51" s="1259" t="s">
        <v>530</v>
      </c>
      <c r="BB51" s="501"/>
      <c r="BC51" s="501" t="str">
        <f>IF(V51="","",V51)</f>
        <v>Наименование системы теплоснабжения </v>
      </c>
      <c r="BD51" s="501"/>
      <c r="BE51" s="501"/>
      <c r="BF51" s="1156">
        <v>23</v>
      </c>
    </row>
    <row customHeight="1" ht="22.049999999999997">
      <c r="A52" s="1268" t="s">
        <v>273</v>
      </c>
      <c r="B52" s="1268" t="s">
        <v>274</v>
      </c>
      <c r="C52" s="1268" t="s">
        <v>275</v>
      </c>
      <c r="D52" s="1268" t="s">
        <v>276</v>
      </c>
      <c r="E52" s="2291"/>
      <c r="F52" s="2291"/>
      <c r="G52" s="2291"/>
      <c r="H52" s="2311">
        <v>1</v>
      </c>
      <c r="I52" s="1268"/>
      <c r="J52" s="1268"/>
      <c r="K52" s="1268"/>
      <c r="L52" s="1268"/>
      <c r="M52" s="1311"/>
      <c r="N52" s="689"/>
      <c r="O52" s="689"/>
      <c r="P52" s="689"/>
      <c r="Q52" s="355"/>
      <c r="R52" s="353"/>
      <c r="S52" s="510"/>
      <c r="T52" s="354"/>
      <c r="U52" s="1337" t="str">
        <f>INDEX(PT_DIFFERENTIATION_NUM_IST_TE,MATCH(D52,PT_DIFFERENTIATION_IST_TE_ID,0))</f>
        <v>1.1.1.1</v>
      </c>
      <c r="V52" s="311" t="s">
        <v>531</v>
      </c>
      <c r="W52" s="301"/>
      <c r="X52" s="2243"/>
      <c r="Y52" s="2244"/>
      <c r="Z52" s="2244"/>
      <c r="AA52" s="2244"/>
      <c r="AB52" s="2244"/>
      <c r="AC52" s="2244"/>
      <c r="AD52" s="2244"/>
      <c r="AE52" s="2244"/>
      <c r="AF52" s="2245"/>
      <c r="AG52" s="2243" t="str">
        <f>INDEX(PT_DIFFERENTIATION_IST_TE,MATCH(D52,PT_DIFFERENTIATION_IST_TE_ID,0))</f>
        <v>Апатитская ТЭЦ</v>
      </c>
      <c r="AH52" s="2244"/>
      <c r="AI52" s="2244"/>
      <c r="AJ52" s="2244"/>
      <c r="AK52" s="2244"/>
      <c r="AL52" s="2244"/>
      <c r="AM52" s="2244"/>
      <c r="AN52" s="2244"/>
      <c r="AO52" s="2244"/>
      <c r="AP52" s="2243"/>
      <c r="AQ52" s="2244"/>
      <c r="AR52" s="2244"/>
      <c r="AS52" s="2244"/>
      <c r="AT52" s="2244"/>
      <c r="AU52" s="2244"/>
      <c r="AV52" s="2244"/>
      <c r="AW52" s="2244"/>
      <c r="AX52" s="5240"/>
      <c r="AY52" s="2245"/>
      <c r="AZ52" s="1259" t="s">
        <v>532</v>
      </c>
      <c r="BB52" s="501"/>
      <c r="BC52" s="501" t="str">
        <f>IF(V52="","",V52)</f>
        <v>Источник тепловой энергии  </v>
      </c>
      <c r="BD52" s="501"/>
      <c r="BE52" s="501"/>
      <c r="BF52" s="1156">
        <v>21</v>
      </c>
    </row>
    <row s="1643" customFormat="1" customHeight="1" ht="0">
      <c r="A53" s="1376" t="s">
        <v>273</v>
      </c>
      <c r="B53" s="1376" t="s">
        <v>274</v>
      </c>
      <c r="C53" s="1376" t="s">
        <v>275</v>
      </c>
      <c r="D53" s="1376" t="s">
        <v>276</v>
      </c>
      <c r="E53" s="2291"/>
      <c r="F53" s="2291"/>
      <c r="G53" s="2291"/>
      <c r="H53" s="2312"/>
      <c r="I53" s="2128" t="str">
        <f>U52&amp;".1"</f>
        <v>1.1.1.1.1</v>
      </c>
      <c r="J53" s="1376"/>
      <c r="K53" s="1376"/>
      <c r="L53" s="1376"/>
      <c r="M53" s="1382" t="s">
        <v>533</v>
      </c>
      <c r="N53" s="1247"/>
      <c r="O53" s="1247"/>
      <c r="P53" s="1247"/>
      <c r="Q53" s="2258">
        <v>1</v>
      </c>
      <c r="R53" s="1332"/>
      <c r="S53" s="1332"/>
      <c r="T53" s="357"/>
      <c r="U53" s="1043"/>
      <c r="V53" s="1384"/>
      <c r="W53" s="1385"/>
      <c r="X53" s="2297"/>
      <c r="Y53" s="2298"/>
      <c r="Z53" s="2298"/>
      <c r="AA53" s="2298"/>
      <c r="AB53" s="2298"/>
      <c r="AC53" s="2298"/>
      <c r="AD53" s="2298"/>
      <c r="AE53" s="2298"/>
      <c r="AF53" s="2299"/>
      <c r="AG53" s="2297"/>
      <c r="AH53" s="2298"/>
      <c r="AI53" s="2298"/>
      <c r="AJ53" s="2298"/>
      <c r="AK53" s="2298"/>
      <c r="AL53" s="2298"/>
      <c r="AM53" s="2298"/>
      <c r="AN53" s="2298"/>
      <c r="AO53" s="2298"/>
      <c r="AP53" s="2297"/>
      <c r="AQ53" s="2298"/>
      <c r="AR53" s="2298"/>
      <c r="AS53" s="2298"/>
      <c r="AT53" s="2298"/>
      <c r="AU53" s="2298"/>
      <c r="AV53" s="2298"/>
      <c r="AW53" s="2298"/>
      <c r="AX53" s="5309"/>
      <c r="AY53" s="2299"/>
      <c r="AZ53" s="1386"/>
      <c r="BB53" s="501"/>
      <c r="BC53" s="501" t="str">
        <f>IF(V53="","",V53)</f>
        <v/>
      </c>
      <c r="BD53" s="501"/>
      <c r="BE53" s="501"/>
      <c r="BF53" s="512">
        <v>0</v>
      </c>
    </row>
    <row customHeight="1" ht="22.049999999999997">
      <c r="A54" s="1268" t="s">
        <v>273</v>
      </c>
      <c r="B54" s="1268" t="s">
        <v>274</v>
      </c>
      <c r="C54" s="1268" t="s">
        <v>275</v>
      </c>
      <c r="D54" s="1268" t="s">
        <v>276</v>
      </c>
      <c r="E54" s="2291"/>
      <c r="F54" s="2291"/>
      <c r="G54" s="2291"/>
      <c r="H54" s="2312"/>
      <c r="I54" s="2102"/>
      <c r="J54" s="2128" t="str">
        <f>I53&amp;".1"</f>
        <v>1.1.1.1.1.1</v>
      </c>
      <c r="K54" s="1268"/>
      <c r="L54" s="1268"/>
      <c r="M54" s="1311" t="s">
        <v>536</v>
      </c>
      <c r="Q54" s="2258"/>
      <c r="R54" s="2258">
        <v>1</v>
      </c>
      <c r="S54" s="519"/>
      <c r="T54" s="358"/>
      <c r="U54" s="1337" t="str">
        <f>$J54</f>
        <v>1.1.1.1.1.1</v>
      </c>
      <c r="V54" s="287" t="s">
        <v>537</v>
      </c>
      <c r="W54" s="301"/>
      <c r="X54" s="2246"/>
      <c r="Y54" s="2247"/>
      <c r="Z54" s="2247"/>
      <c r="AA54" s="2247"/>
      <c r="AB54" s="2247"/>
      <c r="AC54" s="2236"/>
      <c r="AD54" s="2236"/>
      <c r="AE54" s="2236"/>
      <c r="AF54" s="2309"/>
      <c r="AG54" s="2246" t="s">
        <v>578</v>
      </c>
      <c r="AH54" s="2247"/>
      <c r="AI54" s="2247"/>
      <c r="AJ54" s="2247"/>
      <c r="AK54" s="2247"/>
      <c r="AL54" s="2247"/>
      <c r="AM54" s="2247"/>
      <c r="AN54" s="2247"/>
      <c r="AO54" s="2247"/>
      <c r="AP54" s="2246"/>
      <c r="AQ54" s="2247"/>
      <c r="AR54" s="2247"/>
      <c r="AS54" s="2247"/>
      <c r="AT54" s="2247"/>
      <c r="AU54" s="2236"/>
      <c r="AV54" s="2236"/>
      <c r="AW54" s="2236"/>
      <c r="AX54" s="5321"/>
      <c r="AY54" s="2248"/>
      <c r="AZ54" s="1259" t="s">
        <v>538</v>
      </c>
      <c r="BB54" s="501"/>
      <c r="BC54" s="501" t="str">
        <f>IF(V54="","",V54)</f>
        <v>Группа потребителей</v>
      </c>
      <c r="BD54" s="501"/>
      <c r="BE54" s="501"/>
      <c r="BF54" s="1156">
        <v>21</v>
      </c>
    </row>
    <row customHeight="1" ht="22.049999999999997">
      <c r="A55" s="1268" t="s">
        <v>273</v>
      </c>
      <c r="B55" s="1268" t="s">
        <v>274</v>
      </c>
      <c r="C55" s="1268" t="s">
        <v>275</v>
      </c>
      <c r="D55" s="1268" t="s">
        <v>276</v>
      </c>
      <c r="E55" s="2291"/>
      <c r="F55" s="2291"/>
      <c r="G55" s="2291"/>
      <c r="H55" s="2312"/>
      <c r="I55" s="2102"/>
      <c r="J55" s="2102"/>
      <c r="K55" s="2128" t="str">
        <f>J54&amp;".1"</f>
        <v>1.1.1.1.1.1.1</v>
      </c>
      <c r="L55" s="140"/>
      <c r="M55" s="1311" t="s">
        <v>539</v>
      </c>
      <c r="Q55" s="2258"/>
      <c r="R55" s="2258"/>
      <c r="S55" s="519">
        <v>1</v>
      </c>
      <c r="T55" s="358"/>
      <c r="U55" s="1337" t="str">
        <f>$K55</f>
        <v>1.1.1.1.1.1.1</v>
      </c>
      <c r="V55" s="1348" t="s">
        <v>594</v>
      </c>
      <c r="W55" s="301"/>
      <c r="X55" s="752"/>
      <c r="Y55" s="752"/>
      <c r="Z55" s="752"/>
      <c r="AA55" s="752"/>
      <c r="AB55" s="1406"/>
      <c r="AC55" s="2266"/>
      <c r="AD55" s="2108" t="s">
        <v>65</v>
      </c>
      <c r="AE55" s="2266"/>
      <c r="AF55" s="2108" t="s">
        <v>65</v>
      </c>
      <c r="AG55" s="1408"/>
      <c r="AH55" s="752">
        <v>39.33</v>
      </c>
      <c r="AI55" s="752">
        <v>3633.01</v>
      </c>
      <c r="AJ55" s="752"/>
      <c r="AK55" s="1258"/>
      <c r="AL55" s="2603">
        <v>46023</v>
      </c>
      <c r="AM55" s="2108" t="s">
        <v>65</v>
      </c>
      <c r="AN55" s="2603">
        <v>46295</v>
      </c>
      <c r="AO55" s="2108" t="s">
        <v>65</v>
      </c>
      <c r="AP55" s="752"/>
      <c r="AQ55" s="752">
        <v>52.33</v>
      </c>
      <c r="AR55" s="752">
        <v>4109.3</v>
      </c>
      <c r="AS55" s="752"/>
      <c r="AT55" s="1406"/>
      <c r="AU55" s="2603">
        <v>46296</v>
      </c>
      <c r="AV55" s="2108" t="s">
        <v>65</v>
      </c>
      <c r="AW55" s="2603">
        <v>46387</v>
      </c>
      <c r="AX55" s="2108" t="s">
        <v>65</v>
      </c>
      <c r="AY55" s="1349"/>
      <c r="AZ55" s="1308" t="s">
        <v>582</v>
      </c>
      <c r="BA55" s="512">
        <f>STRCHECKDATE(X57:AY57)</f>
      </c>
      <c r="BB55" s="501"/>
      <c r="BC55" s="501" t="str">
        <f>IF(V55="","",V55)</f>
        <v>горячая вода в системе централизованного теплоснабжения на горячее водоснабжение</v>
      </c>
      <c r="BD55" s="501"/>
      <c r="BE55" s="501"/>
      <c r="BF55" s="1156">
        <v>21</v>
      </c>
    </row>
    <row customHeight="1" ht="11.549999999999999">
      <c r="A56" s="1268" t="s">
        <v>273</v>
      </c>
      <c r="B56" s="1268" t="s">
        <v>274</v>
      </c>
      <c r="C56" s="1268" t="s">
        <v>275</v>
      </c>
      <c r="D56" s="1268" t="s">
        <v>276</v>
      </c>
      <c r="E56" s="2291"/>
      <c r="F56" s="2291"/>
      <c r="G56" s="2291"/>
      <c r="H56" s="2312"/>
      <c r="I56" s="2102"/>
      <c r="J56" s="2102"/>
      <c r="K56" s="2102"/>
      <c r="L56" s="2128" t="str">
        <f>K55&amp;".1"</f>
        <v>1.1.1.1.1.1.1.1</v>
      </c>
      <c r="M56" s="1311"/>
      <c r="Q56" s="2258"/>
      <c r="R56" s="2258"/>
      <c r="S56" s="519">
        <v>1</v>
      </c>
      <c r="T56" s="358"/>
      <c r="U56" s="1337" t="str">
        <f>$L56</f>
        <v>1.1.1.1.1.1.1.1</v>
      </c>
      <c r="V56" s="1392"/>
      <c r="W56" s="301"/>
      <c r="X56" s="326"/>
      <c r="Y56" s="752"/>
      <c r="Z56" s="752"/>
      <c r="AA56" s="752"/>
      <c r="AB56" s="1406"/>
      <c r="AC56" s="2310"/>
      <c r="AD56" s="2108"/>
      <c r="AE56" s="2310"/>
      <c r="AF56" s="2108"/>
      <c r="AG56" s="1408"/>
      <c r="AH56" s="752"/>
      <c r="AI56" s="752"/>
      <c r="AJ56" s="752"/>
      <c r="AK56" s="1258"/>
      <c r="AL56" s="2310"/>
      <c r="AM56" s="2108"/>
      <c r="AN56" s="2310"/>
      <c r="AO56" s="2108"/>
      <c r="AP56" s="326"/>
      <c r="AQ56" s="752"/>
      <c r="AR56" s="752"/>
      <c r="AS56" s="752"/>
      <c r="AT56" s="1406"/>
      <c r="AU56" s="2310"/>
      <c r="AV56" s="2108"/>
      <c r="AW56" s="2310"/>
      <c r="AX56" s="2108"/>
      <c r="AY56" s="1349"/>
      <c r="AZ56" s="2254" t="s">
        <v>583</v>
      </c>
      <c r="BA56" s="512">
        <f>STRCHECKDATE(X58:AY58)</f>
      </c>
      <c r="BB56" s="501"/>
      <c r="BC56" s="501" t="str">
        <f>IF(V56="","",V56)</f>
        <v/>
      </c>
      <c r="BD56" s="501"/>
      <c r="BE56" s="501"/>
      <c r="BF56" s="1156">
        <v>11</v>
      </c>
    </row>
    <row customHeight="1" ht="0">
      <c r="A57" s="1268" t="s">
        <v>273</v>
      </c>
      <c r="B57" s="1268" t="s">
        <v>274</v>
      </c>
      <c r="C57" s="1268" t="s">
        <v>275</v>
      </c>
      <c r="D57" s="1268" t="s">
        <v>276</v>
      </c>
      <c r="E57" s="2291"/>
      <c r="F57" s="2291"/>
      <c r="G57" s="2291"/>
      <c r="H57" s="2312"/>
      <c r="I57" s="2102"/>
      <c r="J57" s="2102"/>
      <c r="K57" s="2102"/>
      <c r="L57" s="2128"/>
      <c r="M57" s="1311"/>
      <c r="Q57" s="2258"/>
      <c r="R57" s="2258"/>
      <c r="S57" s="519"/>
      <c r="T57" s="358"/>
      <c r="U57" s="1343"/>
      <c r="V57" s="301"/>
      <c r="W57" s="301"/>
      <c r="X57" s="326"/>
      <c r="Y57" s="326"/>
      <c r="Z57" s="326"/>
      <c r="AA57" s="326"/>
      <c r="AB57" s="1407" t="str">
        <f>AC55&amp;"-"&amp;AE55</f>
        <v>-</v>
      </c>
      <c r="AC57" s="2310"/>
      <c r="AD57" s="2108"/>
      <c r="AE57" s="2310"/>
      <c r="AF57" s="2108"/>
      <c r="AG57" s="1383"/>
      <c r="AH57" s="326"/>
      <c r="AI57" s="326"/>
      <c r="AJ57" s="326"/>
      <c r="AK57" s="329" t="str">
        <f>AL55&amp;"-"&amp;AN55</f>
        <v>46023-46295</v>
      </c>
      <c r="AL57" s="2310"/>
      <c r="AM57" s="2108"/>
      <c r="AN57" s="2310"/>
      <c r="AO57" s="2108"/>
      <c r="AP57" s="326"/>
      <c r="AQ57" s="326"/>
      <c r="AR57" s="326"/>
      <c r="AS57" s="326"/>
      <c r="AT57" s="1407" t="str">
        <f>AU55&amp;"-"&amp;AW55</f>
        <v>46296-46387</v>
      </c>
      <c r="AU57" s="2310"/>
      <c r="AV57" s="2108"/>
      <c r="AW57" s="2310"/>
      <c r="AX57" s="2108"/>
      <c r="AY57" s="1350"/>
      <c r="AZ57" s="2255"/>
      <c r="BB57" s="501"/>
      <c r="BC57" s="501" t="str">
        <f>IF(V57="","",V57)</f>
        <v/>
      </c>
      <c r="BD57" s="501"/>
      <c r="BE57" s="501"/>
      <c r="BF57" s="1156">
        <v>0</v>
      </c>
    </row>
    <row customHeight="1" ht="11.549999999999999">
      <c r="A58" s="1268" t="s">
        <v>273</v>
      </c>
      <c r="B58" s="1268" t="s">
        <v>274</v>
      </c>
      <c r="C58" s="1268" t="s">
        <v>275</v>
      </c>
      <c r="D58" s="1268" t="s">
        <v>276</v>
      </c>
      <c r="E58" s="2291"/>
      <c r="F58" s="2291"/>
      <c r="G58" s="2291"/>
      <c r="H58" s="2312"/>
      <c r="I58" s="2102"/>
      <c r="J58" s="2102"/>
      <c r="K58" s="2128"/>
      <c r="L58" s="1268"/>
      <c r="M58" s="1311"/>
      <c r="Q58" s="2258"/>
      <c r="R58" s="2258"/>
      <c r="S58" s="1332"/>
      <c r="T58" s="357"/>
      <c r="U58" s="1279"/>
      <c r="V58" s="289" t="s">
        <v>584</v>
      </c>
      <c r="W58" s="368"/>
      <c r="X58" s="368"/>
      <c r="Y58" s="368"/>
      <c r="Z58" s="368"/>
      <c r="AA58" s="368"/>
      <c r="AB58" s="368"/>
      <c r="AC58" s="2310"/>
      <c r="AD58" s="2108"/>
      <c r="AE58" s="2310"/>
      <c r="AF58" s="2108"/>
      <c r="AG58" s="368"/>
      <c r="AH58" s="368"/>
      <c r="AI58" s="368"/>
      <c r="AJ58" s="368"/>
      <c r="AK58" s="368"/>
      <c r="AL58" s="2310"/>
      <c r="AM58" s="2108"/>
      <c r="AN58" s="2310"/>
      <c r="AO58" s="2108"/>
      <c r="AP58" s="4405"/>
      <c r="AQ58" s="4406"/>
      <c r="AR58" s="4407"/>
      <c r="AS58" s="4408"/>
      <c r="AT58" s="4409"/>
      <c r="AU58" s="2310"/>
      <c r="AV58" s="2108"/>
      <c r="AW58" s="2310"/>
      <c r="AX58" s="2108"/>
      <c r="AY58" s="325"/>
      <c r="AZ58" s="2255"/>
      <c r="BB58" s="501"/>
      <c r="BC58" s="501" t="str">
        <f>IF(V58="","",V58)</f>
        <v>Добавить наименование поставщика</v>
      </c>
      <c r="BD58" s="501"/>
      <c r="BE58" s="501"/>
      <c r="BF58" s="1156">
        <v>11</v>
      </c>
    </row>
    <row customHeight="1" ht="11.549999999999999">
      <c r="A59" s="1268" t="s">
        <v>273</v>
      </c>
      <c r="B59" s="1268" t="s">
        <v>274</v>
      </c>
      <c r="C59" s="1268" t="s">
        <v>275</v>
      </c>
      <c r="D59" s="1268" t="s">
        <v>276</v>
      </c>
      <c r="E59" s="2291"/>
      <c r="F59" s="2291"/>
      <c r="G59" s="2291"/>
      <c r="H59" s="2312"/>
      <c r="I59" s="2102"/>
      <c r="J59" s="2128"/>
      <c r="K59" s="1268"/>
      <c r="L59" s="1268"/>
      <c r="M59" s="1311"/>
      <c r="Q59" s="2258"/>
      <c r="R59" s="2258"/>
      <c r="S59" s="1332"/>
      <c r="T59" s="357"/>
      <c r="U59" s="1279"/>
      <c r="V59" s="288" t="s">
        <v>541</v>
      </c>
      <c r="W59" s="368"/>
      <c r="X59" s="368"/>
      <c r="Y59" s="368"/>
      <c r="Z59" s="368"/>
      <c r="AA59" s="368"/>
      <c r="AB59" s="368"/>
      <c r="AC59" s="1409"/>
      <c r="AD59" s="1409"/>
      <c r="AE59" s="1409"/>
      <c r="AF59" s="1409"/>
      <c r="AG59" s="368"/>
      <c r="AH59" s="368"/>
      <c r="AI59" s="368"/>
      <c r="AJ59" s="368"/>
      <c r="AK59" s="368"/>
      <c r="AL59" s="368"/>
      <c r="AM59" s="368"/>
      <c r="AN59" s="368"/>
      <c r="AO59" s="368"/>
      <c r="AP59" s="4410"/>
      <c r="AQ59" s="4411"/>
      <c r="AR59" s="4412"/>
      <c r="AS59" s="4413"/>
      <c r="AT59" s="4414"/>
      <c r="AU59" s="4415"/>
      <c r="AV59" s="4416"/>
      <c r="AW59" s="4417"/>
      <c r="AX59" s="5324"/>
      <c r="AY59" s="325"/>
      <c r="AZ59" s="2256"/>
      <c r="BB59" s="501"/>
      <c r="BC59" s="501" t="str">
        <f>IF(V59="","",V59)</f>
        <v>Добавить вид теплоносителя (параметры теплоносителя)</v>
      </c>
      <c r="BD59" s="501"/>
      <c r="BE59" s="501"/>
      <c r="BF59" s="1156">
        <v>11</v>
      </c>
    </row>
    <row customHeight="1" ht="11.549999999999999">
      <c r="A60" s="1268" t="s">
        <v>273</v>
      </c>
      <c r="B60" s="1268" t="s">
        <v>274</v>
      </c>
      <c r="C60" s="1268" t="s">
        <v>275</v>
      </c>
      <c r="D60" s="1268" t="s">
        <v>276</v>
      </c>
      <c r="E60" s="2291"/>
      <c r="F60" s="2291"/>
      <c r="G60" s="2291"/>
      <c r="H60" s="2312"/>
      <c r="I60" s="2128"/>
      <c r="J60" s="1268"/>
      <c r="K60" s="1268"/>
      <c r="L60" s="1268"/>
      <c r="M60" s="1311"/>
      <c r="Q60" s="2258"/>
      <c r="R60" s="1332"/>
      <c r="S60" s="1332"/>
      <c r="T60" s="357"/>
      <c r="U60" s="1279"/>
      <c r="V60" s="366" t="s">
        <v>542</v>
      </c>
      <c r="W60" s="368"/>
      <c r="X60" s="368"/>
      <c r="Y60" s="368"/>
      <c r="Z60" s="368"/>
      <c r="AA60" s="368"/>
      <c r="AB60" s="368"/>
      <c r="AC60" s="368"/>
      <c r="AD60" s="368"/>
      <c r="AE60" s="368"/>
      <c r="AF60" s="367"/>
      <c r="AG60" s="368"/>
      <c r="AH60" s="368"/>
      <c r="AI60" s="368"/>
      <c r="AJ60" s="368"/>
      <c r="AK60" s="368"/>
      <c r="AL60" s="368"/>
      <c r="AM60" s="368"/>
      <c r="AN60" s="368"/>
      <c r="AO60" s="367"/>
      <c r="AP60" s="4419"/>
      <c r="AQ60" s="4420"/>
      <c r="AR60" s="4421"/>
      <c r="AS60" s="4422"/>
      <c r="AT60" s="4423"/>
      <c r="AU60" s="4424"/>
      <c r="AV60" s="4425"/>
      <c r="AW60" s="4426"/>
      <c r="AX60" s="5325"/>
      <c r="AY60" s="368"/>
      <c r="AZ60" s="304"/>
      <c r="BB60" s="501"/>
      <c r="BC60" s="501" t="str">
        <f>IF(V60="","",V60)</f>
        <v>Добавить группу потребителей</v>
      </c>
      <c r="BD60" s="501"/>
      <c r="BE60" s="501"/>
      <c r="BF60" s="1156">
        <v>11</v>
      </c>
    </row>
    <row customHeight="1" ht="0">
      <c r="A61" s="1268" t="s">
        <v>273</v>
      </c>
      <c r="B61" s="1268" t="s">
        <v>274</v>
      </c>
      <c r="C61" s="1268" t="s">
        <v>275</v>
      </c>
      <c r="D61" s="1268" t="s">
        <v>276</v>
      </c>
      <c r="E61" s="2291"/>
      <c r="F61" s="2291"/>
      <c r="G61" s="2291"/>
      <c r="H61" s="2311"/>
      <c r="I61" s="1268"/>
      <c r="J61" s="1268"/>
      <c r="K61" s="1268"/>
      <c r="L61" s="1268"/>
      <c r="M61" s="1311"/>
      <c r="N61" s="689"/>
      <c r="O61" s="689"/>
      <c r="P61" s="510"/>
      <c r="Q61" s="361"/>
      <c r="R61" s="376"/>
      <c r="S61" s="356"/>
      <c r="T61" s="361"/>
      <c r="U61" s="1387"/>
      <c r="V61" s="1388"/>
      <c r="W61" s="1389"/>
      <c r="X61" s="1389"/>
      <c r="Y61" s="1389"/>
      <c r="Z61" s="1389"/>
      <c r="AA61" s="1389"/>
      <c r="AB61" s="1389"/>
      <c r="AC61" s="1389"/>
      <c r="AD61" s="1389"/>
      <c r="AE61" s="1389"/>
      <c r="AF61" s="1389"/>
      <c r="AG61" s="1389"/>
      <c r="AH61" s="1389"/>
      <c r="AI61" s="1389"/>
      <c r="AJ61" s="1389"/>
      <c r="AK61" s="1389"/>
      <c r="AL61" s="1389"/>
      <c r="AM61" s="1389"/>
      <c r="AN61" s="1389"/>
      <c r="AO61" s="1389"/>
      <c r="AP61" s="1389"/>
      <c r="AQ61" s="1389"/>
      <c r="AR61" s="1389"/>
      <c r="AS61" s="1389"/>
      <c r="AT61" s="1389"/>
      <c r="AU61" s="1389"/>
      <c r="AV61" s="1389"/>
      <c r="AW61" s="1389"/>
      <c r="AX61" s="1389"/>
      <c r="AY61" s="1389"/>
      <c r="AZ61" s="1390"/>
      <c r="BB61" s="501"/>
      <c r="BC61" s="501" t="str">
        <f>IF(V61="","",V61)</f>
        <v/>
      </c>
      <c r="BD61" s="501"/>
      <c r="BE61" s="501"/>
      <c r="BF61" s="1156">
        <v>0</v>
      </c>
    </row>
    <row s="1643" customFormat="1" customHeight="1" ht="0">
      <c r="A62" s="1376" t="s">
        <v>273</v>
      </c>
      <c r="B62" s="1376" t="s">
        <v>274</v>
      </c>
      <c r="C62" s="1376" t="s">
        <v>275</v>
      </c>
      <c r="D62" s="1375"/>
      <c r="E62" s="2291"/>
      <c r="F62" s="2291"/>
      <c r="G62" s="2290"/>
      <c r="H62" s="1375"/>
      <c r="I62" s="1375"/>
      <c r="J62" s="1375"/>
      <c r="K62" s="1375"/>
      <c r="L62" s="1375"/>
      <c r="M62" s="1378"/>
      <c r="N62" s="1379"/>
      <c r="O62" s="1379"/>
      <c r="P62" s="352"/>
      <c r="Q62" s="1317"/>
      <c r="R62" s="1318"/>
      <c r="S62" s="1317"/>
      <c r="T62" s="1317"/>
      <c r="U62" s="1323"/>
      <c r="V62" s="1326" t="s">
        <v>177</v>
      </c>
      <c r="W62" s="1325"/>
      <c r="X62" s="1325"/>
      <c r="Y62" s="1325"/>
      <c r="Z62" s="1325"/>
      <c r="AA62" s="1325"/>
      <c r="AB62" s="1325"/>
      <c r="AC62" s="1325"/>
      <c r="AD62" s="1325"/>
      <c r="AE62" s="1325"/>
      <c r="AF62" s="1325"/>
      <c r="AG62" s="1325"/>
      <c r="AH62" s="1325"/>
      <c r="AI62" s="1325"/>
      <c r="AJ62" s="1325"/>
      <c r="AK62" s="1325"/>
      <c r="AL62" s="1325"/>
      <c r="AM62" s="1325"/>
      <c r="AN62" s="1325"/>
      <c r="AO62" s="1325"/>
      <c r="AP62" s="1325"/>
      <c r="AQ62" s="1325"/>
      <c r="AR62" s="1325"/>
      <c r="AS62" s="1325"/>
      <c r="AT62" s="1325"/>
      <c r="AU62" s="1325"/>
      <c r="AV62" s="1325"/>
      <c r="AW62" s="1325"/>
      <c r="AX62" s="1325"/>
      <c r="AY62" s="1325"/>
      <c r="AZ62" s="1325"/>
      <c r="BB62" s="790"/>
      <c r="BC62" s="790" t="str">
        <f>IF(V62="","",V62)</f>
        <v>Добавить источник для дифференциации</v>
      </c>
      <c r="BD62" s="790"/>
      <c r="BE62" s="790"/>
      <c r="BF62" s="519">
        <v>0</v>
      </c>
    </row>
    <row s="1643" customFormat="1" customHeight="1" ht="0">
      <c r="A63" s="1376" t="s">
        <v>273</v>
      </c>
      <c r="B63" s="1376" t="s">
        <v>274</v>
      </c>
      <c r="C63" s="1375"/>
      <c r="D63" s="1375"/>
      <c r="E63" s="2291"/>
      <c r="F63" s="2290"/>
      <c r="G63" s="1375"/>
      <c r="H63" s="1375"/>
      <c r="I63" s="1375"/>
      <c r="J63" s="1375"/>
      <c r="K63" s="1375"/>
      <c r="L63" s="1375"/>
      <c r="M63" s="1378"/>
      <c r="N63" s="1380"/>
      <c r="O63" s="1380"/>
      <c r="P63" s="352"/>
      <c r="Q63" s="1317"/>
      <c r="R63" s="1318"/>
      <c r="S63" s="1317"/>
      <c r="T63" s="1317"/>
      <c r="U63" s="1323"/>
      <c r="V63" s="1326" t="s">
        <v>178</v>
      </c>
      <c r="W63" s="1325"/>
      <c r="X63" s="1325"/>
      <c r="Y63" s="1325"/>
      <c r="Z63" s="1325"/>
      <c r="AA63" s="1325"/>
      <c r="AB63" s="1325"/>
      <c r="AC63" s="1325"/>
      <c r="AD63" s="1325"/>
      <c r="AE63" s="1325"/>
      <c r="AF63" s="1325"/>
      <c r="AG63" s="1325"/>
      <c r="AH63" s="1325"/>
      <c r="AI63" s="1325"/>
      <c r="AJ63" s="1325"/>
      <c r="AK63" s="1325"/>
      <c r="AL63" s="1325"/>
      <c r="AM63" s="1325"/>
      <c r="AN63" s="1325"/>
      <c r="AO63" s="1325"/>
      <c r="AP63" s="1325"/>
      <c r="AQ63" s="1325"/>
      <c r="AR63" s="1325"/>
      <c r="AS63" s="1325"/>
      <c r="AT63" s="1325"/>
      <c r="AU63" s="1325"/>
      <c r="AV63" s="1325"/>
      <c r="AW63" s="1325"/>
      <c r="AX63" s="1325"/>
      <c r="AY63" s="1325"/>
      <c r="AZ63" s="1325"/>
      <c r="BB63" s="790"/>
      <c r="BC63" s="790" t="str">
        <f>IF(V63="","",V63)</f>
        <v>Добавить централизованную систему для дифференциации</v>
      </c>
      <c r="BD63" s="790"/>
      <c r="BE63" s="790"/>
      <c r="BF63" s="519">
        <v>0</v>
      </c>
    </row>
    <row s="1643" customFormat="1" customHeight="1" ht="0">
      <c r="A64" s="1376" t="s">
        <v>273</v>
      </c>
      <c r="B64" s="1376"/>
      <c r="C64" s="1376"/>
      <c r="D64" s="1376"/>
      <c r="E64" s="2290"/>
      <c r="F64" s="1376"/>
      <c r="G64" s="1376"/>
      <c r="H64" s="1376"/>
      <c r="I64" s="1376"/>
      <c r="J64" s="1376"/>
      <c r="K64" s="1376"/>
      <c r="L64" s="1376"/>
      <c r="M64" s="1382"/>
      <c r="N64" s="1380"/>
      <c r="O64" s="1380"/>
      <c r="P64" s="352"/>
      <c r="Q64" s="381"/>
      <c r="R64" s="1345"/>
      <c r="S64" s="381"/>
      <c r="T64" s="381"/>
      <c r="U64" s="1323"/>
      <c r="V64" s="1326" t="s">
        <v>183</v>
      </c>
      <c r="W64" s="1325"/>
      <c r="X64" s="1325"/>
      <c r="Y64" s="1325"/>
      <c r="Z64" s="1325"/>
      <c r="AA64" s="1325"/>
      <c r="AB64" s="1325"/>
      <c r="AC64" s="1325"/>
      <c r="AD64" s="1325"/>
      <c r="AE64" s="1325"/>
      <c r="AF64" s="1325"/>
      <c r="AG64" s="1325"/>
      <c r="AH64" s="1325"/>
      <c r="AI64" s="1325"/>
      <c r="AJ64" s="1325"/>
      <c r="AK64" s="1325"/>
      <c r="AL64" s="1325"/>
      <c r="AM64" s="1325"/>
      <c r="AN64" s="1325"/>
      <c r="AO64" s="1325"/>
      <c r="AP64" s="1325"/>
      <c r="AQ64" s="1325"/>
      <c r="AR64" s="1325"/>
      <c r="AS64" s="1325"/>
      <c r="AT64" s="1325"/>
      <c r="AU64" s="1325"/>
      <c r="AV64" s="1325"/>
      <c r="AW64" s="1325"/>
      <c r="AX64" s="1325"/>
      <c r="AY64" s="1325"/>
      <c r="AZ64" s="1325"/>
      <c r="BB64" s="501"/>
      <c r="BC64" s="501" t="str">
        <f>IF(V64="","",V64)</f>
        <v>Добавить территорию для дифференциации</v>
      </c>
      <c r="BD64" s="501"/>
      <c r="BE64" s="501"/>
      <c r="BF64" s="512">
        <v>0</v>
      </c>
    </row>
    <row s="1851" customFormat="1" customHeight="1" ht="21">
      <c r="A65" s="1975" t="s">
        <v>278</v>
      </c>
      <c r="B65" s="1975"/>
      <c r="C65" s="1975"/>
      <c r="D65" s="1975"/>
      <c r="E65" s="2311" t="s">
        <v>107</v>
      </c>
      <c r="F65" s="1975"/>
      <c r="G65" s="1975"/>
      <c r="H65" s="1975"/>
      <c r="I65" s="1975"/>
      <c r="J65" s="1975"/>
      <c r="K65" s="1975"/>
      <c r="L65" s="1975"/>
      <c r="M65" s="2183"/>
      <c r="N65" s="2408"/>
      <c r="O65" s="2408"/>
      <c r="P65" s="2408"/>
      <c r="Q65" s="2398"/>
      <c r="R65" s="1824"/>
      <c r="S65" s="1824"/>
      <c r="T65" s="356"/>
      <c r="U65" s="2274" t="str">
        <f>INDEX(PT_DIFFERENTIATION_NUM_NTAR,MATCH(A65,PT_DIFFERENTIATION_NTAR_ID,0))</f>
        <v>2</v>
      </c>
      <c r="V65" s="1526" t="s">
        <v>136</v>
      </c>
      <c r="W65" s="301"/>
      <c r="X65" s="2243"/>
      <c r="Y65" s="2244"/>
      <c r="Z65" s="2244"/>
      <c r="AA65" s="2244"/>
      <c r="AB65" s="2244"/>
      <c r="AC65" s="2244"/>
      <c r="AD65" s="2244"/>
      <c r="AE65" s="2244"/>
      <c r="AF65" s="2245"/>
      <c r="AG65" s="2243" t="str">
        <f>INDEX(PT_DIFFERENTIATION_NTAR,MATCH(A65,PT_DIFFERENTIATION_NTAR_ID,0))</f>
        <v>Тарифы на горячую воду в открытых системах теплоснабжения (горячее водоснабжение), поставляемую группе потребителей "население". Муниципальный округ город Кировск с подведомственной территорией Мурманской области.</v>
      </c>
      <c r="AH65" s="2244"/>
      <c r="AI65" s="2244"/>
      <c r="AJ65" s="2244"/>
      <c r="AK65" s="2244"/>
      <c r="AL65" s="2244"/>
      <c r="AM65" s="2244"/>
      <c r="AN65" s="2244"/>
      <c r="AO65" s="2244"/>
      <c r="AP65" s="2243"/>
      <c r="AQ65" s="2244"/>
      <c r="AR65" s="2244"/>
      <c r="AS65" s="2244"/>
      <c r="AT65" s="2244"/>
      <c r="AU65" s="2244"/>
      <c r="AV65" s="2244"/>
      <c r="AW65" s="2244"/>
      <c r="AX65" s="5240"/>
      <c r="AY65" s="2245"/>
      <c r="AZ65" s="1259" t="s">
        <v>526</v>
      </c>
      <c r="BA65" s="1643"/>
      <c r="BB65" s="1625"/>
      <c r="BC65" s="1625" t="str">
        <f>IF(V65="","",V65)</f>
        <v>Наименование тарифа</v>
      </c>
      <c r="BD65" s="1625"/>
      <c r="BE65" s="1625"/>
      <c r="BF65" s="1636">
        <v>0</v>
      </c>
    </row>
    <row s="1851" customFormat="1" customHeight="1" ht="21">
      <c r="A66" s="1975"/>
      <c r="B66" s="1975" t="s">
        <v>279</v>
      </c>
      <c r="C66" s="1975"/>
      <c r="D66" s="1975"/>
      <c r="E66" s="2312">
        <v>1</v>
      </c>
      <c r="F66" s="2311">
        <v>1</v>
      </c>
      <c r="G66" s="1975"/>
      <c r="H66" s="1975"/>
      <c r="I66" s="1975"/>
      <c r="J66" s="1975"/>
      <c r="K66" s="1975"/>
      <c r="L66" s="1975"/>
      <c r="M66" s="2183"/>
      <c r="N66" s="2408"/>
      <c r="O66" s="2408"/>
      <c r="P66" s="2408"/>
      <c r="Q66" s="2126"/>
      <c r="R66" s="353"/>
      <c r="S66" s="1636"/>
      <c r="T66" s="354"/>
      <c r="U66" s="2274" t="str">
        <f>INDEX(PT_DIFFERENTIATION_NUM_TER,MATCH(B66,PT_DIFFERENTIATION_TER_ID,0))</f>
        <v>2.1</v>
      </c>
      <c r="V66" s="1523" t="s">
        <v>527</v>
      </c>
      <c r="W66" s="301"/>
      <c r="X66" s="2243"/>
      <c r="Y66" s="2244"/>
      <c r="Z66" s="2244"/>
      <c r="AA66" s="2244"/>
      <c r="AB66" s="2244"/>
      <c r="AC66" s="2244"/>
      <c r="AD66" s="2244"/>
      <c r="AE66" s="2244"/>
      <c r="AF66" s="2245"/>
      <c r="AG66" s="2243" t="str">
        <f>INDEX(PT_DIFFERENTIATION_TER,MATCH(B66,PT_DIFFERENTIATION_TER_ID,0))</f>
        <v>Территория 2</v>
      </c>
      <c r="AH66" s="2244"/>
      <c r="AI66" s="2244"/>
      <c r="AJ66" s="2244"/>
      <c r="AK66" s="2244"/>
      <c r="AL66" s="2244"/>
      <c r="AM66" s="2244"/>
      <c r="AN66" s="2244"/>
      <c r="AO66" s="2244"/>
      <c r="AP66" s="2243"/>
      <c r="AQ66" s="2244"/>
      <c r="AR66" s="2244"/>
      <c r="AS66" s="2244"/>
      <c r="AT66" s="2244"/>
      <c r="AU66" s="2244"/>
      <c r="AV66" s="2244"/>
      <c r="AW66" s="2244"/>
      <c r="AX66" s="5240"/>
      <c r="AY66" s="2245"/>
      <c r="AZ66" s="1259" t="s">
        <v>528</v>
      </c>
      <c r="BA66" s="1643"/>
      <c r="BB66" s="1625"/>
      <c r="BC66" s="1625" t="str">
        <f>IF(V66="","",V66)</f>
        <v>Территория действия тарифа</v>
      </c>
      <c r="BD66" s="1625"/>
      <c r="BE66" s="1625"/>
      <c r="BF66" s="1636">
        <v>0</v>
      </c>
    </row>
    <row s="1851" customFormat="1" customHeight="1" ht="22.5">
      <c r="A67" s="1975"/>
      <c r="B67" s="1975"/>
      <c r="C67" s="1975" t="s">
        <v>280</v>
      </c>
      <c r="D67" s="1975"/>
      <c r="E67" s="2312">
        <v>1</v>
      </c>
      <c r="F67" s="2312"/>
      <c r="G67" s="2311">
        <v>1</v>
      </c>
      <c r="H67" s="1975"/>
      <c r="I67" s="1975"/>
      <c r="J67" s="1975"/>
      <c r="K67" s="1975"/>
      <c r="L67" s="1975"/>
      <c r="M67" s="2183"/>
      <c r="N67" s="2408"/>
      <c r="O67" s="2408"/>
      <c r="P67" s="2408"/>
      <c r="Q67" s="355"/>
      <c r="R67" s="353"/>
      <c r="S67" s="1636"/>
      <c r="T67" s="354"/>
      <c r="U67" s="2274" t="str">
        <f>INDEX(PT_DIFFERENTIATION_NUM_CS,MATCH(C67,PT_DIFFERENTIATION_CS_ID,0))</f>
        <v>2.1.1</v>
      </c>
      <c r="V67" s="310" t="s">
        <v>529</v>
      </c>
      <c r="W67" s="301"/>
      <c r="X67" s="2243"/>
      <c r="Y67" s="2244"/>
      <c r="Z67" s="2244"/>
      <c r="AA67" s="2244"/>
      <c r="AB67" s="2244"/>
      <c r="AC67" s="2244"/>
      <c r="AD67" s="2244"/>
      <c r="AE67" s="2244"/>
      <c r="AF67" s="2245"/>
      <c r="AG67" s="2243" t="str">
        <f>INDEX(PT_DIFFERENTIATION_CS,MATCH(C67,PT_DIFFERENTIATION_CS_ID,0))</f>
        <v>открытая система теплоснабжения г. Кировск</v>
      </c>
      <c r="AH67" s="2244"/>
      <c r="AI67" s="2244"/>
      <c r="AJ67" s="2244"/>
      <c r="AK67" s="2244"/>
      <c r="AL67" s="2244"/>
      <c r="AM67" s="2244"/>
      <c r="AN67" s="2244"/>
      <c r="AO67" s="2244"/>
      <c r="AP67" s="2243"/>
      <c r="AQ67" s="2244"/>
      <c r="AR67" s="2244"/>
      <c r="AS67" s="2244"/>
      <c r="AT67" s="2244"/>
      <c r="AU67" s="2244"/>
      <c r="AV67" s="2244"/>
      <c r="AW67" s="2244"/>
      <c r="AX67" s="5240"/>
      <c r="AY67" s="2245"/>
      <c r="AZ67" s="1259" t="s">
        <v>530</v>
      </c>
      <c r="BA67" s="1643"/>
      <c r="BB67" s="1625"/>
      <c r="BC67" s="1625" t="str">
        <f>IF(V67="","",V67)</f>
        <v>Наименование системы теплоснабжения </v>
      </c>
      <c r="BD67" s="1625"/>
      <c r="BE67" s="1625"/>
      <c r="BF67" s="1636">
        <v>0</v>
      </c>
    </row>
    <row s="1851" customFormat="1" customHeight="1" ht="21">
      <c r="A68" s="1975"/>
      <c r="B68" s="1975"/>
      <c r="C68" s="1975"/>
      <c r="D68" s="1975" t="s">
        <v>281</v>
      </c>
      <c r="E68" s="2312">
        <v>1</v>
      </c>
      <c r="F68" s="2312"/>
      <c r="G68" s="2312"/>
      <c r="H68" s="2311">
        <v>1</v>
      </c>
      <c r="I68" s="1975"/>
      <c r="J68" s="1975"/>
      <c r="K68" s="1975"/>
      <c r="L68" s="1975"/>
      <c r="M68" s="2183"/>
      <c r="N68" s="2408"/>
      <c r="O68" s="2408"/>
      <c r="P68" s="2408"/>
      <c r="Q68" s="355"/>
      <c r="R68" s="353"/>
      <c r="S68" s="1636"/>
      <c r="T68" s="354"/>
      <c r="U68" s="2274" t="str">
        <f>INDEX(PT_DIFFERENTIATION_NUM_IST_TE,MATCH(D68,PT_DIFFERENTIATION_IST_TE_ID,0))</f>
        <v>2.1.1.1</v>
      </c>
      <c r="V68" s="311" t="s">
        <v>531</v>
      </c>
      <c r="W68" s="301"/>
      <c r="X68" s="2243"/>
      <c r="Y68" s="2244"/>
      <c r="Z68" s="2244"/>
      <c r="AA68" s="2244"/>
      <c r="AB68" s="2244"/>
      <c r="AC68" s="2244"/>
      <c r="AD68" s="2244"/>
      <c r="AE68" s="2244"/>
      <c r="AF68" s="2245"/>
      <c r="AG68" s="2243" t="str">
        <f>INDEX(PT_DIFFERENTIATION_IST_TE,MATCH(D68,PT_DIFFERENTIATION_IST_TE_ID,0))</f>
        <v>Апатитская ТЭЦ</v>
      </c>
      <c r="AH68" s="2244"/>
      <c r="AI68" s="2244"/>
      <c r="AJ68" s="2244"/>
      <c r="AK68" s="2244"/>
      <c r="AL68" s="2244"/>
      <c r="AM68" s="2244"/>
      <c r="AN68" s="2244"/>
      <c r="AO68" s="2244"/>
      <c r="AP68" s="2243"/>
      <c r="AQ68" s="2244"/>
      <c r="AR68" s="2244"/>
      <c r="AS68" s="2244"/>
      <c r="AT68" s="2244"/>
      <c r="AU68" s="2244"/>
      <c r="AV68" s="2244"/>
      <c r="AW68" s="2244"/>
      <c r="AX68" s="5240"/>
      <c r="AY68" s="2245"/>
      <c r="AZ68" s="1259" t="s">
        <v>532</v>
      </c>
      <c r="BA68" s="1643"/>
      <c r="BB68" s="1625"/>
      <c r="BC68" s="1625" t="str">
        <f>IF(V68="","",V68)</f>
        <v>Источник тепловой энергии  </v>
      </c>
      <c r="BD68" s="1625"/>
      <c r="BE68" s="1625"/>
      <c r="BF68" s="1636">
        <v>0</v>
      </c>
    </row>
    <row s="1851" customFormat="1" customHeight="1" ht="14.25">
      <c r="A69" s="1975"/>
      <c r="B69" s="1975"/>
      <c r="C69" s="1975"/>
      <c r="D69" s="1975"/>
      <c r="E69" s="2312">
        <v>1</v>
      </c>
      <c r="F69" s="2312"/>
      <c r="G69" s="2312"/>
      <c r="H69" s="2312"/>
      <c r="I69" s="2313" t="str">
        <f>U68&amp;".1"</f>
        <v>2.1.1.1.1</v>
      </c>
      <c r="J69" s="1975"/>
      <c r="K69" s="1975"/>
      <c r="L69" s="1975"/>
      <c r="M69" s="2183" t="s">
        <v>533</v>
      </c>
      <c r="N69" s="1636"/>
      <c r="O69" s="2398"/>
      <c r="P69" s="2398"/>
      <c r="Q69" s="2375">
        <v>1</v>
      </c>
      <c r="R69" s="2375"/>
      <c r="S69" s="2375"/>
      <c r="T69" s="357"/>
      <c r="U69" s="2305"/>
      <c r="V69" s="1384"/>
      <c r="W69" s="1385"/>
      <c r="X69" s="2297"/>
      <c r="Y69" s="2298"/>
      <c r="Z69" s="2298"/>
      <c r="AA69" s="2298"/>
      <c r="AB69" s="2298"/>
      <c r="AC69" s="2298"/>
      <c r="AD69" s="2298"/>
      <c r="AE69" s="2298"/>
      <c r="AF69" s="2299"/>
      <c r="AG69" s="2297"/>
      <c r="AH69" s="2298"/>
      <c r="AI69" s="2298"/>
      <c r="AJ69" s="2298"/>
      <c r="AK69" s="2298"/>
      <c r="AL69" s="2298"/>
      <c r="AM69" s="2298"/>
      <c r="AN69" s="2298"/>
      <c r="AO69" s="2298"/>
      <c r="AP69" s="2297"/>
      <c r="AQ69" s="2298"/>
      <c r="AR69" s="2298"/>
      <c r="AS69" s="2298"/>
      <c r="AT69" s="2298"/>
      <c r="AU69" s="2298"/>
      <c r="AV69" s="2298"/>
      <c r="AW69" s="2298"/>
      <c r="AX69" s="5309"/>
      <c r="AY69" s="2299"/>
      <c r="AZ69" s="1386"/>
      <c r="BA69" s="1643"/>
      <c r="BB69" s="1625"/>
      <c r="BC69" s="1625" t="str">
        <f>IF(V69="","",V69)</f>
        <v/>
      </c>
      <c r="BD69" s="1625"/>
      <c r="BE69" s="1625"/>
      <c r="BF69" s="1636">
        <v>0</v>
      </c>
    </row>
    <row s="1851" customFormat="1" customHeight="1" ht="21">
      <c r="A70" s="1975"/>
      <c r="B70" s="1975"/>
      <c r="C70" s="1975"/>
      <c r="D70" s="1975"/>
      <c r="E70" s="2312">
        <v>1</v>
      </c>
      <c r="F70" s="2312"/>
      <c r="G70" s="2312"/>
      <c r="H70" s="2312"/>
      <c r="I70" s="2263"/>
      <c r="J70" s="2313" t="str">
        <f>I69&amp;".1"</f>
        <v>2.1.1.1.1.1</v>
      </c>
      <c r="K70" s="1975"/>
      <c r="L70" s="1975"/>
      <c r="M70" s="2183" t="s">
        <v>536</v>
      </c>
      <c r="N70" s="1636"/>
      <c r="O70" s="1636"/>
      <c r="P70" s="2398"/>
      <c r="Q70" s="2375"/>
      <c r="R70" s="2375">
        <v>1</v>
      </c>
      <c r="S70" s="1643"/>
      <c r="T70" s="358"/>
      <c r="U70" s="2274" t="str">
        <f>$J70</f>
        <v>2.1.1.1.1.1</v>
      </c>
      <c r="V70" s="287" t="s">
        <v>537</v>
      </c>
      <c r="W70" s="301"/>
      <c r="X70" s="2246"/>
      <c r="Y70" s="2247"/>
      <c r="Z70" s="2247"/>
      <c r="AA70" s="2247"/>
      <c r="AB70" s="2247"/>
      <c r="AC70" s="2236"/>
      <c r="AD70" s="2236"/>
      <c r="AE70" s="2236"/>
      <c r="AF70" s="2309"/>
      <c r="AG70" s="2246" t="s">
        <v>578</v>
      </c>
      <c r="AH70" s="2247"/>
      <c r="AI70" s="2247"/>
      <c r="AJ70" s="2247"/>
      <c r="AK70" s="2247"/>
      <c r="AL70" s="2247"/>
      <c r="AM70" s="2247"/>
      <c r="AN70" s="2247"/>
      <c r="AO70" s="2247"/>
      <c r="AP70" s="2246"/>
      <c r="AQ70" s="2247"/>
      <c r="AR70" s="2247"/>
      <c r="AS70" s="2247"/>
      <c r="AT70" s="2247"/>
      <c r="AU70" s="2236"/>
      <c r="AV70" s="2236"/>
      <c r="AW70" s="2236"/>
      <c r="AX70" s="5321"/>
      <c r="AY70" s="2248"/>
      <c r="AZ70" s="1259" t="s">
        <v>538</v>
      </c>
      <c r="BA70" s="1643"/>
      <c r="BB70" s="1625"/>
      <c r="BC70" s="1625" t="str">
        <f>IF(V70="","",V70)</f>
        <v>Группа потребителей</v>
      </c>
      <c r="BD70" s="1625"/>
      <c r="BE70" s="1625"/>
      <c r="BF70" s="1636">
        <v>0</v>
      </c>
    </row>
    <row s="1851" customFormat="1" customHeight="1" ht="21">
      <c r="A71" s="1975"/>
      <c r="B71" s="1975"/>
      <c r="C71" s="1975"/>
      <c r="D71" s="1975"/>
      <c r="E71" s="2312">
        <v>1</v>
      </c>
      <c r="F71" s="2312"/>
      <c r="G71" s="2312"/>
      <c r="H71" s="2312"/>
      <c r="I71" s="2263"/>
      <c r="J71" s="2263"/>
      <c r="K71" s="2313" t="str">
        <f>J70&amp;".1"</f>
        <v>2.1.1.1.1.1.1</v>
      </c>
      <c r="L71" s="2126"/>
      <c r="M71" s="2183" t="s">
        <v>539</v>
      </c>
      <c r="N71" s="1636"/>
      <c r="O71" s="1636"/>
      <c r="P71" s="1636"/>
      <c r="Q71" s="2375"/>
      <c r="R71" s="2375"/>
      <c r="S71" s="2375">
        <v>1</v>
      </c>
      <c r="T71" s="358"/>
      <c r="U71" s="2274" t="str">
        <f>$K71</f>
        <v>2.1.1.1.1.1.1</v>
      </c>
      <c r="V71" s="1348" t="s">
        <v>594</v>
      </c>
      <c r="W71" s="301"/>
      <c r="X71" s="752"/>
      <c r="Y71" s="752"/>
      <c r="Z71" s="752"/>
      <c r="AA71" s="752"/>
      <c r="AB71" s="1406"/>
      <c r="AC71" s="2603"/>
      <c r="AD71" s="2108" t="s">
        <v>65</v>
      </c>
      <c r="AE71" s="2603"/>
      <c r="AF71" s="2108" t="s">
        <v>65</v>
      </c>
      <c r="AG71" s="1408"/>
      <c r="AH71" s="752">
        <v>39.33</v>
      </c>
      <c r="AI71" s="752">
        <v>3892.21</v>
      </c>
      <c r="AJ71" s="752"/>
      <c r="AK71" s="1258"/>
      <c r="AL71" s="2603">
        <v>46023</v>
      </c>
      <c r="AM71" s="2108" t="s">
        <v>65</v>
      </c>
      <c r="AN71" s="2603">
        <v>46295</v>
      </c>
      <c r="AO71" s="2108" t="s">
        <v>65</v>
      </c>
      <c r="AP71" s="752"/>
      <c r="AQ71" s="752">
        <v>52.33</v>
      </c>
      <c r="AR71" s="752">
        <v>3892.21</v>
      </c>
      <c r="AS71" s="752"/>
      <c r="AT71" s="1406"/>
      <c r="AU71" s="2603">
        <v>46296</v>
      </c>
      <c r="AV71" s="2108" t="s">
        <v>65</v>
      </c>
      <c r="AW71" s="2603">
        <v>46387</v>
      </c>
      <c r="AX71" s="2108" t="s">
        <v>65</v>
      </c>
      <c r="AY71" s="326"/>
      <c r="AZ71" s="1308" t="s">
        <v>582</v>
      </c>
      <c r="BA71" s="1643">
        <f>STRCHECKDATE(X73:AY73)</f>
      </c>
      <c r="BB71" s="1625"/>
      <c r="BC71" s="1625" t="str">
        <f>IF(V71="","",V71)</f>
        <v>горячая вода в системе централизованного теплоснабжения на горячее водоснабжение</v>
      </c>
      <c r="BD71" s="1625"/>
      <c r="BE71" s="1625"/>
      <c r="BF71" s="1636">
        <v>0</v>
      </c>
    </row>
    <row s="1851" customFormat="1" customHeight="1" ht="21">
      <c r="A72" s="1975"/>
      <c r="B72" s="1975"/>
      <c r="C72" s="1975"/>
      <c r="D72" s="1975"/>
      <c r="E72" s="2312">
        <v>1</v>
      </c>
      <c r="F72" s="2312"/>
      <c r="G72" s="2312"/>
      <c r="H72" s="2312"/>
      <c r="I72" s="2263"/>
      <c r="J72" s="2263"/>
      <c r="K72" s="2263"/>
      <c r="L72" s="2313" t="str">
        <f>K71&amp;".1"</f>
        <v>2.1.1.1.1.1.1.1</v>
      </c>
      <c r="M72" s="2183"/>
      <c r="N72" s="1636"/>
      <c r="O72" s="1636"/>
      <c r="P72" s="1636"/>
      <c r="Q72" s="2375"/>
      <c r="R72" s="2375"/>
      <c r="S72" s="2375"/>
      <c r="T72" s="358"/>
      <c r="U72" s="2274" t="str">
        <f>$L72</f>
        <v>2.1.1.1.1.1.1.1</v>
      </c>
      <c r="V72" s="1392"/>
      <c r="W72" s="301"/>
      <c r="X72" s="326"/>
      <c r="Y72" s="752"/>
      <c r="Z72" s="752"/>
      <c r="AA72" s="752"/>
      <c r="AB72" s="1406"/>
      <c r="AC72" s="2310"/>
      <c r="AD72" s="2108"/>
      <c r="AE72" s="2310"/>
      <c r="AF72" s="2108"/>
      <c r="AG72" s="1408"/>
      <c r="AH72" s="752"/>
      <c r="AI72" s="752"/>
      <c r="AJ72" s="752"/>
      <c r="AK72" s="1258"/>
      <c r="AL72" s="2310"/>
      <c r="AM72" s="2108"/>
      <c r="AN72" s="2310"/>
      <c r="AO72" s="2108"/>
      <c r="AP72" s="326"/>
      <c r="AQ72" s="752"/>
      <c r="AR72" s="752"/>
      <c r="AS72" s="752"/>
      <c r="AT72" s="1406"/>
      <c r="AU72" s="2310"/>
      <c r="AV72" s="2108"/>
      <c r="AW72" s="2310"/>
      <c r="AX72" s="2108"/>
      <c r="AY72" s="326"/>
      <c r="AZ72" s="2254" t="s">
        <v>583</v>
      </c>
      <c r="BA72" s="1643"/>
      <c r="BB72" s="1625"/>
      <c r="BC72" s="1625"/>
      <c r="BD72" s="1625"/>
      <c r="BE72" s="1625"/>
      <c r="BF72" s="1636">
        <v>0</v>
      </c>
    </row>
    <row s="1851" customFormat="1" customHeight="1" ht="14.25">
      <c r="A73" s="1975"/>
      <c r="B73" s="1975"/>
      <c r="C73" s="1975"/>
      <c r="D73" s="1975"/>
      <c r="E73" s="2312">
        <v>1</v>
      </c>
      <c r="F73" s="2312"/>
      <c r="G73" s="2312"/>
      <c r="H73" s="2312"/>
      <c r="I73" s="2263"/>
      <c r="J73" s="2263"/>
      <c r="K73" s="2263"/>
      <c r="L73" s="2313"/>
      <c r="M73" s="2183"/>
      <c r="N73" s="1636"/>
      <c r="O73" s="1636"/>
      <c r="P73" s="1636"/>
      <c r="Q73" s="2375"/>
      <c r="R73" s="2375"/>
      <c r="S73" s="2375"/>
      <c r="T73" s="358"/>
      <c r="U73" s="2514"/>
      <c r="V73" s="301"/>
      <c r="W73" s="301"/>
      <c r="X73" s="326"/>
      <c r="Y73" s="326"/>
      <c r="Z73" s="326"/>
      <c r="AA73" s="326"/>
      <c r="AB73" s="1407" t="str">
        <f>AC71&amp;"-"&amp;AE71</f>
        <v>-</v>
      </c>
      <c r="AC73" s="2310"/>
      <c r="AD73" s="2108"/>
      <c r="AE73" s="2310"/>
      <c r="AF73" s="2108"/>
      <c r="AG73" s="1383"/>
      <c r="AH73" s="326"/>
      <c r="AI73" s="326"/>
      <c r="AJ73" s="326"/>
      <c r="AK73" s="329" t="str">
        <f>AL71&amp;"-"&amp;AN71</f>
        <v>46023-46295</v>
      </c>
      <c r="AL73" s="2310"/>
      <c r="AM73" s="2108"/>
      <c r="AN73" s="2310"/>
      <c r="AO73" s="2108"/>
      <c r="AP73" s="326"/>
      <c r="AQ73" s="326"/>
      <c r="AR73" s="326"/>
      <c r="AS73" s="326"/>
      <c r="AT73" s="1407" t="str">
        <f>AU71&amp;"-"&amp;AW71</f>
        <v>46296-46387</v>
      </c>
      <c r="AU73" s="2310"/>
      <c r="AV73" s="2108"/>
      <c r="AW73" s="2310"/>
      <c r="AX73" s="2108"/>
      <c r="AY73" s="326"/>
      <c r="AZ73" s="2255"/>
      <c r="BA73" s="1643"/>
      <c r="BB73" s="1625"/>
      <c r="BC73" s="1625" t="str">
        <f>IF(V73="","",V73)</f>
        <v/>
      </c>
      <c r="BD73" s="1625"/>
      <c r="BE73" s="1625"/>
      <c r="BF73" s="1636">
        <v>0</v>
      </c>
    </row>
    <row s="1851" customFormat="1" customHeight="1" ht="11.25">
      <c r="A74" s="1975"/>
      <c r="B74" s="1975"/>
      <c r="C74" s="1975"/>
      <c r="D74" s="1975"/>
      <c r="E74" s="2312">
        <v>1</v>
      </c>
      <c r="F74" s="2312"/>
      <c r="G74" s="2312"/>
      <c r="H74" s="2312"/>
      <c r="I74" s="2263"/>
      <c r="J74" s="2263"/>
      <c r="K74" s="2313"/>
      <c r="L74" s="1975"/>
      <c r="M74" s="2183"/>
      <c r="N74" s="1636"/>
      <c r="O74" s="1636"/>
      <c r="P74" s="1636"/>
      <c r="Q74" s="2375"/>
      <c r="R74" s="2375"/>
      <c r="S74" s="2375"/>
      <c r="T74" s="358"/>
      <c r="U74" s="4428"/>
      <c r="V74" s="4429" t="s">
        <v>584</v>
      </c>
      <c r="W74" s="4430"/>
      <c r="X74" s="4431"/>
      <c r="Y74" s="4432"/>
      <c r="Z74" s="4433"/>
      <c r="AA74" s="4434"/>
      <c r="AB74" s="4435"/>
      <c r="AC74" s="2310"/>
      <c r="AD74" s="2108"/>
      <c r="AE74" s="2310"/>
      <c r="AF74" s="2108"/>
      <c r="AG74" s="4436"/>
      <c r="AH74" s="4437"/>
      <c r="AI74" s="4438"/>
      <c r="AJ74" s="4439"/>
      <c r="AK74" s="4440"/>
      <c r="AL74" s="2310"/>
      <c r="AM74" s="2108"/>
      <c r="AN74" s="2310"/>
      <c r="AO74" s="2108"/>
      <c r="AP74" s="4441"/>
      <c r="AQ74" s="4442"/>
      <c r="AR74" s="4443"/>
      <c r="AS74" s="4444"/>
      <c r="AT74" s="4445"/>
      <c r="AU74" s="2310"/>
      <c r="AV74" s="2108"/>
      <c r="AW74" s="2310"/>
      <c r="AX74" s="2108"/>
      <c r="AY74" s="4446"/>
      <c r="AZ74" s="2255"/>
      <c r="BA74" s="1643"/>
      <c r="BB74" s="1625"/>
      <c r="BC74" s="1625"/>
      <c r="BD74" s="1625"/>
      <c r="BE74" s="1625"/>
      <c r="BF74" s="1636">
        <v>0</v>
      </c>
    </row>
    <row s="1851" customFormat="1" customHeight="1" ht="15">
      <c r="A75" s="1975"/>
      <c r="B75" s="1975"/>
      <c r="C75" s="1975"/>
      <c r="D75" s="1975"/>
      <c r="E75" s="2312">
        <v>1</v>
      </c>
      <c r="F75" s="2312"/>
      <c r="G75" s="2312"/>
      <c r="H75" s="2312"/>
      <c r="I75" s="2263"/>
      <c r="J75" s="2313"/>
      <c r="K75" s="1975"/>
      <c r="L75" s="1975"/>
      <c r="M75" s="2183"/>
      <c r="N75" s="1636"/>
      <c r="O75" s="1636"/>
      <c r="P75" s="2398"/>
      <c r="Q75" s="2375"/>
      <c r="R75" s="2375"/>
      <c r="S75" s="2375"/>
      <c r="T75" s="357"/>
      <c r="U75" s="4447"/>
      <c r="V75" s="4448" t="s">
        <v>541</v>
      </c>
      <c r="W75" s="4449"/>
      <c r="X75" s="4450"/>
      <c r="Y75" s="4451"/>
      <c r="Z75" s="4452"/>
      <c r="AA75" s="4453"/>
      <c r="AB75" s="4454"/>
      <c r="AC75" s="4455"/>
      <c r="AD75" s="4456"/>
      <c r="AE75" s="4457"/>
      <c r="AF75" s="4458"/>
      <c r="AG75" s="4459"/>
      <c r="AH75" s="4460"/>
      <c r="AI75" s="4461"/>
      <c r="AJ75" s="4462"/>
      <c r="AK75" s="4463"/>
      <c r="AL75" s="4464"/>
      <c r="AM75" s="4465"/>
      <c r="AN75" s="4466"/>
      <c r="AO75" s="4467"/>
      <c r="AP75" s="4468"/>
      <c r="AQ75" s="4469"/>
      <c r="AR75" s="4470"/>
      <c r="AS75" s="4471"/>
      <c r="AT75" s="4472"/>
      <c r="AU75" s="4473"/>
      <c r="AV75" s="4474"/>
      <c r="AW75" s="4475"/>
      <c r="AX75" s="5326"/>
      <c r="AY75" s="4477"/>
      <c r="AZ75" s="2256"/>
      <c r="BA75" s="1643"/>
      <c r="BB75" s="1625"/>
      <c r="BC75" s="1625" t="str">
        <f>IF(V75="","",V75)</f>
        <v>Добавить вид теплоносителя (параметры теплоносителя)</v>
      </c>
      <c r="BD75" s="1625"/>
      <c r="BE75" s="1625"/>
      <c r="BF75" s="1636">
        <v>0</v>
      </c>
    </row>
    <row s="1851" customFormat="1" customHeight="1" ht="11.25">
      <c r="A76" s="1975"/>
      <c r="B76" s="1975"/>
      <c r="C76" s="1975"/>
      <c r="D76" s="1975"/>
      <c r="E76" s="2312">
        <v>1</v>
      </c>
      <c r="F76" s="2312"/>
      <c r="G76" s="2312"/>
      <c r="H76" s="2312"/>
      <c r="I76" s="2313"/>
      <c r="J76" s="1975"/>
      <c r="K76" s="1975"/>
      <c r="L76" s="1975"/>
      <c r="M76" s="2183"/>
      <c r="N76" s="1636"/>
      <c r="O76" s="2398"/>
      <c r="P76" s="2398"/>
      <c r="Q76" s="2375"/>
      <c r="R76" s="2375"/>
      <c r="S76" s="2375"/>
      <c r="T76" s="357"/>
      <c r="U76" s="4478"/>
      <c r="V76" s="4479" t="s">
        <v>542</v>
      </c>
      <c r="W76" s="4480"/>
      <c r="X76" s="4481"/>
      <c r="Y76" s="4482"/>
      <c r="Z76" s="4483"/>
      <c r="AA76" s="4484"/>
      <c r="AB76" s="4485"/>
      <c r="AC76" s="4486"/>
      <c r="AD76" s="4487"/>
      <c r="AE76" s="4488"/>
      <c r="AF76" s="4489"/>
      <c r="AG76" s="4490"/>
      <c r="AH76" s="4491"/>
      <c r="AI76" s="4492"/>
      <c r="AJ76" s="4493"/>
      <c r="AK76" s="4494"/>
      <c r="AL76" s="4495"/>
      <c r="AM76" s="4496"/>
      <c r="AN76" s="4497"/>
      <c r="AO76" s="4498"/>
      <c r="AP76" s="4499"/>
      <c r="AQ76" s="4500"/>
      <c r="AR76" s="4501"/>
      <c r="AS76" s="4502"/>
      <c r="AT76" s="4503"/>
      <c r="AU76" s="4504"/>
      <c r="AV76" s="4505"/>
      <c r="AW76" s="4506"/>
      <c r="AX76" s="5327"/>
      <c r="AY76" s="4508"/>
      <c r="AZ76" s="4509"/>
      <c r="BA76" s="1643"/>
      <c r="BB76" s="1625"/>
      <c r="BC76" s="1625" t="str">
        <f>IF(V76="","",V76)</f>
        <v>Добавить группу потребителей</v>
      </c>
      <c r="BD76" s="1625"/>
      <c r="BE76" s="1625"/>
      <c r="BF76" s="1636">
        <v>0</v>
      </c>
    </row>
    <row s="1851" customFormat="1" customHeight="1" ht="14.25">
      <c r="A77" s="1975"/>
      <c r="B77" s="1975"/>
      <c r="C77" s="1975"/>
      <c r="D77" s="1975"/>
      <c r="E77" s="2312">
        <v>1</v>
      </c>
      <c r="F77" s="2312"/>
      <c r="G77" s="2312"/>
      <c r="H77" s="2311"/>
      <c r="I77" s="1975"/>
      <c r="J77" s="1975"/>
      <c r="K77" s="1975"/>
      <c r="L77" s="1975"/>
      <c r="M77" s="2183"/>
      <c r="N77" s="2408"/>
      <c r="O77" s="2408"/>
      <c r="P77" s="1636"/>
      <c r="Q77" s="1824"/>
      <c r="R77" s="376"/>
      <c r="S77" s="356"/>
      <c r="T77" s="1824"/>
      <c r="U77" s="1387"/>
      <c r="V77" s="1388"/>
      <c r="W77" s="1389"/>
      <c r="X77" s="1389"/>
      <c r="Y77" s="1389"/>
      <c r="Z77" s="1389"/>
      <c r="AA77" s="1389"/>
      <c r="AB77" s="1389"/>
      <c r="AC77" s="1389"/>
      <c r="AD77" s="1389"/>
      <c r="AE77" s="1389"/>
      <c r="AF77" s="1389"/>
      <c r="AG77" s="1389"/>
      <c r="AH77" s="1389"/>
      <c r="AI77" s="1389"/>
      <c r="AJ77" s="1389"/>
      <c r="AK77" s="1389"/>
      <c r="AL77" s="1389"/>
      <c r="AM77" s="1389"/>
      <c r="AN77" s="1389"/>
      <c r="AO77" s="1389"/>
      <c r="AP77" s="1389"/>
      <c r="AQ77" s="1389"/>
      <c r="AR77" s="1389"/>
      <c r="AS77" s="1389"/>
      <c r="AT77" s="1389"/>
      <c r="AU77" s="1389"/>
      <c r="AV77" s="1389"/>
      <c r="AW77" s="1389"/>
      <c r="AX77" s="1389"/>
      <c r="AY77" s="1389"/>
      <c r="AZ77" s="1390"/>
      <c r="BA77" s="1643"/>
      <c r="BB77" s="1625"/>
      <c r="BC77" s="1625" t="str">
        <f>IF(V77="","",V77)</f>
        <v/>
      </c>
      <c r="BD77" s="1625"/>
      <c r="BE77" s="1625"/>
      <c r="BF77" s="1636">
        <v>0</v>
      </c>
    </row>
    <row s="623" customFormat="1" customHeight="1" ht="14.25">
      <c r="A78" s="1376"/>
      <c r="B78" s="1376"/>
      <c r="C78" s="1376"/>
      <c r="D78" s="1376"/>
      <c r="E78" s="2312">
        <v>1</v>
      </c>
      <c r="F78" s="2312"/>
      <c r="G78" s="2311"/>
      <c r="H78" s="1376"/>
      <c r="I78" s="1376"/>
      <c r="J78" s="1376"/>
      <c r="K78" s="1376"/>
      <c r="L78" s="1376"/>
      <c r="M78" s="1382"/>
      <c r="N78" s="1379"/>
      <c r="O78" s="1379"/>
      <c r="P78" s="1642"/>
      <c r="Q78" s="1317"/>
      <c r="R78" s="1345"/>
      <c r="S78" s="1317"/>
      <c r="T78" s="1317"/>
      <c r="U78" s="1319"/>
      <c r="V78" s="1320" t="s">
        <v>177</v>
      </c>
      <c r="W78" s="1321"/>
      <c r="X78" s="1321"/>
      <c r="Y78" s="1321"/>
      <c r="Z78" s="1321"/>
      <c r="AA78" s="1321"/>
      <c r="AB78" s="1321"/>
      <c r="AC78" s="1321"/>
      <c r="AD78" s="1321"/>
      <c r="AE78" s="1321"/>
      <c r="AF78" s="1321"/>
      <c r="AG78" s="1321"/>
      <c r="AH78" s="1321"/>
      <c r="AI78" s="1321"/>
      <c r="AJ78" s="1321"/>
      <c r="AK78" s="1321"/>
      <c r="AL78" s="1321"/>
      <c r="AM78" s="1321"/>
      <c r="AN78" s="1321"/>
      <c r="AO78" s="1321"/>
      <c r="AP78" s="1321"/>
      <c r="AQ78" s="1321"/>
      <c r="AR78" s="1321"/>
      <c r="AS78" s="1321"/>
      <c r="AT78" s="1321"/>
      <c r="AU78" s="1321"/>
      <c r="AV78" s="1321"/>
      <c r="AW78" s="1321"/>
      <c r="AX78" s="1321"/>
      <c r="AY78" s="1321"/>
      <c r="AZ78" s="1321"/>
      <c r="BA78" s="1643"/>
      <c r="BB78" s="1625"/>
      <c r="BC78" s="1625" t="str">
        <f>IF(V78="","",V78)</f>
        <v>Добавить источник для дифференциации</v>
      </c>
      <c r="BD78" s="1625"/>
      <c r="BE78" s="1625"/>
      <c r="BF78" s="1643">
        <v>0</v>
      </c>
    </row>
    <row s="623" customFormat="1" customHeight="1" ht="14.25">
      <c r="A79" s="1376"/>
      <c r="B79" s="1376"/>
      <c r="C79" s="1376"/>
      <c r="D79" s="1376"/>
      <c r="E79" s="2312">
        <v>1</v>
      </c>
      <c r="F79" s="2311"/>
      <c r="G79" s="1376"/>
      <c r="H79" s="1376"/>
      <c r="I79" s="1376"/>
      <c r="J79" s="1376"/>
      <c r="K79" s="1376"/>
      <c r="L79" s="1376"/>
      <c r="M79" s="1382"/>
      <c r="N79" s="1380"/>
      <c r="O79" s="1380"/>
      <c r="P79" s="1642"/>
      <c r="Q79" s="1317"/>
      <c r="R79" s="1345"/>
      <c r="S79" s="1317"/>
      <c r="T79" s="1317"/>
      <c r="U79" s="1323"/>
      <c r="V79" s="1324" t="s">
        <v>178</v>
      </c>
      <c r="W79" s="1325"/>
      <c r="X79" s="1325"/>
      <c r="Y79" s="1325"/>
      <c r="Z79" s="1325"/>
      <c r="AA79" s="1325"/>
      <c r="AB79" s="1325"/>
      <c r="AC79" s="1325"/>
      <c r="AD79" s="1325"/>
      <c r="AE79" s="1325"/>
      <c r="AF79" s="1325"/>
      <c r="AG79" s="1325"/>
      <c r="AH79" s="1325"/>
      <c r="AI79" s="1325"/>
      <c r="AJ79" s="1325"/>
      <c r="AK79" s="1325"/>
      <c r="AL79" s="1325"/>
      <c r="AM79" s="1325"/>
      <c r="AN79" s="1325"/>
      <c r="AO79" s="1325"/>
      <c r="AP79" s="1325"/>
      <c r="AQ79" s="1325"/>
      <c r="AR79" s="1325"/>
      <c r="AS79" s="1325"/>
      <c r="AT79" s="1325"/>
      <c r="AU79" s="1325"/>
      <c r="AV79" s="1325"/>
      <c r="AW79" s="1325"/>
      <c r="AX79" s="1325"/>
      <c r="AY79" s="1325"/>
      <c r="AZ79" s="1325"/>
      <c r="BA79" s="1643"/>
      <c r="BB79" s="1625"/>
      <c r="BC79" s="1625" t="str">
        <f>IF(V79="","",V79)</f>
        <v>Добавить централизованную систему для дифференциации</v>
      </c>
      <c r="BD79" s="1625"/>
      <c r="BE79" s="1625"/>
      <c r="BF79" s="1643">
        <v>0</v>
      </c>
    </row>
    <row s="623" customFormat="1" customHeight="1" ht="14.25">
      <c r="A80" s="1376"/>
      <c r="B80" s="1376"/>
      <c r="C80" s="1376"/>
      <c r="D80" s="1376"/>
      <c r="E80" s="2311">
        <v>1</v>
      </c>
      <c r="F80" s="1376"/>
      <c r="G80" s="1376"/>
      <c r="H80" s="1376"/>
      <c r="I80" s="1376"/>
      <c r="J80" s="1376"/>
      <c r="K80" s="1376"/>
      <c r="L80" s="1376"/>
      <c r="M80" s="1382"/>
      <c r="N80" s="1380"/>
      <c r="O80" s="1380"/>
      <c r="P80" s="1642"/>
      <c r="Q80" s="1317"/>
      <c r="R80" s="1345"/>
      <c r="S80" s="1317"/>
      <c r="T80" s="1317"/>
      <c r="U80" s="1323"/>
      <c r="V80" s="1326" t="s">
        <v>183</v>
      </c>
      <c r="W80" s="1325"/>
      <c r="X80" s="1325"/>
      <c r="Y80" s="1325"/>
      <c r="Z80" s="1325"/>
      <c r="AA80" s="1325"/>
      <c r="AB80" s="1325"/>
      <c r="AC80" s="1325"/>
      <c r="AD80" s="1325"/>
      <c r="AE80" s="1325"/>
      <c r="AF80" s="1325"/>
      <c r="AG80" s="1325"/>
      <c r="AH80" s="1325"/>
      <c r="AI80" s="1325"/>
      <c r="AJ80" s="1325"/>
      <c r="AK80" s="1325"/>
      <c r="AL80" s="1325"/>
      <c r="AM80" s="1325"/>
      <c r="AN80" s="1325"/>
      <c r="AO80" s="1325"/>
      <c r="AP80" s="1325"/>
      <c r="AQ80" s="1325"/>
      <c r="AR80" s="1325"/>
      <c r="AS80" s="1325"/>
      <c r="AT80" s="1325"/>
      <c r="AU80" s="1325"/>
      <c r="AV80" s="1325"/>
      <c r="AW80" s="1325"/>
      <c r="AX80" s="1325"/>
      <c r="AY80" s="1325"/>
      <c r="AZ80" s="1325"/>
      <c r="BA80" s="1643"/>
      <c r="BB80" s="1625"/>
      <c r="BC80" s="1625" t="str">
        <f>IF(V80="","",V80)</f>
        <v>Добавить территорию для дифференциации</v>
      </c>
      <c r="BD80" s="1625"/>
      <c r="BE80" s="1625"/>
      <c r="BF80" s="1643">
        <v>0</v>
      </c>
    </row>
    <row s="1851" customFormat="1" customHeight="1" ht="21">
      <c r="A81" s="1975" t="s">
        <v>283</v>
      </c>
      <c r="B81" s="1975"/>
      <c r="C81" s="1975"/>
      <c r="D81" s="1975"/>
      <c r="E81" s="2311" t="s">
        <v>94</v>
      </c>
      <c r="F81" s="1975"/>
      <c r="G81" s="1975"/>
      <c r="H81" s="1975"/>
      <c r="I81" s="1975"/>
      <c r="J81" s="1975"/>
      <c r="K81" s="1975"/>
      <c r="L81" s="1975"/>
      <c r="M81" s="2183"/>
      <c r="N81" s="2408"/>
      <c r="O81" s="2408"/>
      <c r="P81" s="2408"/>
      <c r="Q81" s="2398"/>
      <c r="R81" s="1824"/>
      <c r="S81" s="1824"/>
      <c r="T81" s="356"/>
      <c r="U81" s="2274" t="str">
        <f>INDEX(PT_DIFFERENTIATION_NUM_NTAR,MATCH(A81,PT_DIFFERENTIATION_NTAR_ID,0))</f>
        <v>3</v>
      </c>
      <c r="V81" s="1526" t="s">
        <v>136</v>
      </c>
      <c r="W81" s="301"/>
      <c r="X81" s="2243"/>
      <c r="Y81" s="2244"/>
      <c r="Z81" s="2244"/>
      <c r="AA81" s="2244"/>
      <c r="AB81" s="2244"/>
      <c r="AC81" s="2244"/>
      <c r="AD81" s="2244"/>
      <c r="AE81" s="2244"/>
      <c r="AF81" s="2245"/>
      <c r="AG81" s="2243" t="str">
        <f>INDEX(PT_DIFFERENTIATION_NTAR,MATCH(A81,PT_DIFFERENTIATION_NTAR_ID,0))</f>
        <v>Тарифы на горячую воду в открытых системах теплоснабжения (горячее водоснабжение), поставляемую потребителям. Муниципальный округ город Апатиты с подведомственной территорией Мурманской области. Для потребителей на коллекторах источника тепловой энергии Апатитская ТЭЦ</v>
      </c>
      <c r="AH81" s="2244"/>
      <c r="AI81" s="2244"/>
      <c r="AJ81" s="2244"/>
      <c r="AK81" s="2244"/>
      <c r="AL81" s="2244"/>
      <c r="AM81" s="2244"/>
      <c r="AN81" s="2244"/>
      <c r="AO81" s="2244"/>
      <c r="AP81" s="2243"/>
      <c r="AQ81" s="2244"/>
      <c r="AR81" s="2244"/>
      <c r="AS81" s="2244"/>
      <c r="AT81" s="2244"/>
      <c r="AU81" s="2244"/>
      <c r="AV81" s="2244"/>
      <c r="AW81" s="2244"/>
      <c r="AX81" s="5240"/>
      <c r="AY81" s="2245"/>
      <c r="AZ81" s="1259" t="s">
        <v>526</v>
      </c>
      <c r="BA81" s="1643"/>
      <c r="BB81" s="1625"/>
      <c r="BC81" s="1625" t="str">
        <f>IF(V81="","",V81)</f>
        <v>Наименование тарифа</v>
      </c>
      <c r="BD81" s="1625"/>
      <c r="BE81" s="1625"/>
      <c r="BF81" s="1636">
        <v>0</v>
      </c>
    </row>
    <row s="1851" customFormat="1" customHeight="1" ht="21">
      <c r="A82" s="1975"/>
      <c r="B82" s="1975" t="s">
        <v>284</v>
      </c>
      <c r="C82" s="1975"/>
      <c r="D82" s="1975"/>
      <c r="E82" s="2312" t="s">
        <v>107</v>
      </c>
      <c r="F82" s="2311">
        <v>1</v>
      </c>
      <c r="G82" s="1975"/>
      <c r="H82" s="1975"/>
      <c r="I82" s="1975"/>
      <c r="J82" s="1975"/>
      <c r="K82" s="1975"/>
      <c r="L82" s="1975"/>
      <c r="M82" s="2183"/>
      <c r="N82" s="2408"/>
      <c r="O82" s="2408"/>
      <c r="P82" s="2408"/>
      <c r="Q82" s="2126"/>
      <c r="R82" s="353"/>
      <c r="S82" s="1636"/>
      <c r="T82" s="354"/>
      <c r="U82" s="2274" t="str">
        <f>INDEX(PT_DIFFERENTIATION_NUM_TER,MATCH(B82,PT_DIFFERENTIATION_TER_ID,0))</f>
        <v>3.1</v>
      </c>
      <c r="V82" s="1523" t="s">
        <v>527</v>
      </c>
      <c r="W82" s="301"/>
      <c r="X82" s="2243"/>
      <c r="Y82" s="2244"/>
      <c r="Z82" s="2244"/>
      <c r="AA82" s="2244"/>
      <c r="AB82" s="2244"/>
      <c r="AC82" s="2244"/>
      <c r="AD82" s="2244"/>
      <c r="AE82" s="2244"/>
      <c r="AF82" s="2245"/>
      <c r="AG82" s="2243" t="str">
        <f>INDEX(PT_DIFFERENTIATION_TER,MATCH(B82,PT_DIFFERENTIATION_TER_ID,0))</f>
        <v>Территория 1</v>
      </c>
      <c r="AH82" s="2244"/>
      <c r="AI82" s="2244"/>
      <c r="AJ82" s="2244"/>
      <c r="AK82" s="2244"/>
      <c r="AL82" s="2244"/>
      <c r="AM82" s="2244"/>
      <c r="AN82" s="2244"/>
      <c r="AO82" s="2244"/>
      <c r="AP82" s="2243"/>
      <c r="AQ82" s="2244"/>
      <c r="AR82" s="2244"/>
      <c r="AS82" s="2244"/>
      <c r="AT82" s="2244"/>
      <c r="AU82" s="2244"/>
      <c r="AV82" s="2244"/>
      <c r="AW82" s="2244"/>
      <c r="AX82" s="5240"/>
      <c r="AY82" s="2245"/>
      <c r="AZ82" s="1259" t="s">
        <v>528</v>
      </c>
      <c r="BA82" s="1643"/>
      <c r="BB82" s="1625"/>
      <c r="BC82" s="1625" t="str">
        <f>IF(V82="","",V82)</f>
        <v>Территория действия тарифа</v>
      </c>
      <c r="BD82" s="1625"/>
      <c r="BE82" s="1625"/>
      <c r="BF82" s="1636">
        <v>0</v>
      </c>
    </row>
    <row s="1851" customFormat="1" customHeight="1" ht="22.5">
      <c r="A83" s="1975"/>
      <c r="B83" s="1975"/>
      <c r="C83" s="1975" t="s">
        <v>285</v>
      </c>
      <c r="D83" s="1975"/>
      <c r="E83" s="2312" t="s">
        <v>107</v>
      </c>
      <c r="F83" s="2312"/>
      <c r="G83" s="2311">
        <v>1</v>
      </c>
      <c r="H83" s="1975"/>
      <c r="I83" s="1975"/>
      <c r="J83" s="1975"/>
      <c r="K83" s="1975"/>
      <c r="L83" s="1975"/>
      <c r="M83" s="2183"/>
      <c r="N83" s="2408"/>
      <c r="O83" s="2408"/>
      <c r="P83" s="2408"/>
      <c r="Q83" s="355"/>
      <c r="R83" s="353"/>
      <c r="S83" s="1636"/>
      <c r="T83" s="354"/>
      <c r="U83" s="2274" t="str">
        <f>INDEX(PT_DIFFERENTIATION_NUM_CS,MATCH(C83,PT_DIFFERENTIATION_CS_ID,0))</f>
        <v>3.1.1</v>
      </c>
      <c r="V83" s="310" t="s">
        <v>529</v>
      </c>
      <c r="W83" s="301"/>
      <c r="X83" s="2243"/>
      <c r="Y83" s="2244"/>
      <c r="Z83" s="2244"/>
      <c r="AA83" s="2244"/>
      <c r="AB83" s="2244"/>
      <c r="AC83" s="2244"/>
      <c r="AD83" s="2244"/>
      <c r="AE83" s="2244"/>
      <c r="AF83" s="2245"/>
      <c r="AG83" s="2243" t="str">
        <f>INDEX(PT_DIFFERENTIATION_CS,MATCH(C83,PT_DIFFERENTIATION_CS_ID,0))</f>
        <v>открытая система теплоснабжения г. Апатиты</v>
      </c>
      <c r="AH83" s="2244"/>
      <c r="AI83" s="2244"/>
      <c r="AJ83" s="2244"/>
      <c r="AK83" s="2244"/>
      <c r="AL83" s="2244"/>
      <c r="AM83" s="2244"/>
      <c r="AN83" s="2244"/>
      <c r="AO83" s="2244"/>
      <c r="AP83" s="2243"/>
      <c r="AQ83" s="2244"/>
      <c r="AR83" s="2244"/>
      <c r="AS83" s="2244"/>
      <c r="AT83" s="2244"/>
      <c r="AU83" s="2244"/>
      <c r="AV83" s="2244"/>
      <c r="AW83" s="2244"/>
      <c r="AX83" s="5240"/>
      <c r="AY83" s="2245"/>
      <c r="AZ83" s="1259" t="s">
        <v>530</v>
      </c>
      <c r="BA83" s="1643"/>
      <c r="BB83" s="1625"/>
      <c r="BC83" s="1625" t="str">
        <f>IF(V83="","",V83)</f>
        <v>Наименование системы теплоснабжения </v>
      </c>
      <c r="BD83" s="1625"/>
      <c r="BE83" s="1625"/>
      <c r="BF83" s="1636">
        <v>0</v>
      </c>
    </row>
    <row s="1851" customFormat="1" customHeight="1" ht="21">
      <c r="A84" s="1975"/>
      <c r="B84" s="1975"/>
      <c r="C84" s="1975"/>
      <c r="D84" s="1975" t="s">
        <v>286</v>
      </c>
      <c r="E84" s="2312" t="s">
        <v>107</v>
      </c>
      <c r="F84" s="2312"/>
      <c r="G84" s="2312"/>
      <c r="H84" s="2311">
        <v>1</v>
      </c>
      <c r="I84" s="1975"/>
      <c r="J84" s="1975"/>
      <c r="K84" s="1975"/>
      <c r="L84" s="1975"/>
      <c r="M84" s="2183"/>
      <c r="N84" s="2408"/>
      <c r="O84" s="2408"/>
      <c r="P84" s="2408"/>
      <c r="Q84" s="355"/>
      <c r="R84" s="353"/>
      <c r="S84" s="1636"/>
      <c r="T84" s="354"/>
      <c r="U84" s="2274" t="str">
        <f>INDEX(PT_DIFFERENTIATION_NUM_IST_TE,MATCH(D84,PT_DIFFERENTIATION_IST_TE_ID,0))</f>
        <v>3.1.1.1</v>
      </c>
      <c r="V84" s="311" t="s">
        <v>531</v>
      </c>
      <c r="W84" s="301"/>
      <c r="X84" s="2243"/>
      <c r="Y84" s="2244"/>
      <c r="Z84" s="2244"/>
      <c r="AA84" s="2244"/>
      <c r="AB84" s="2244"/>
      <c r="AC84" s="2244"/>
      <c r="AD84" s="2244"/>
      <c r="AE84" s="2244"/>
      <c r="AF84" s="2245"/>
      <c r="AG84" s="2243" t="str">
        <f>INDEX(PT_DIFFERENTIATION_IST_TE,MATCH(D84,PT_DIFFERENTIATION_IST_TE_ID,0))</f>
        <v>Апатитская ТЭЦ</v>
      </c>
      <c r="AH84" s="2244"/>
      <c r="AI84" s="2244"/>
      <c r="AJ84" s="2244"/>
      <c r="AK84" s="2244"/>
      <c r="AL84" s="2244"/>
      <c r="AM84" s="2244"/>
      <c r="AN84" s="2244"/>
      <c r="AO84" s="2244"/>
      <c r="AP84" s="2243"/>
      <c r="AQ84" s="2244"/>
      <c r="AR84" s="2244"/>
      <c r="AS84" s="2244"/>
      <c r="AT84" s="2244"/>
      <c r="AU84" s="2244"/>
      <c r="AV84" s="2244"/>
      <c r="AW84" s="2244"/>
      <c r="AX84" s="5240"/>
      <c r="AY84" s="2245"/>
      <c r="AZ84" s="1259" t="s">
        <v>532</v>
      </c>
      <c r="BA84" s="1643"/>
      <c r="BB84" s="1625"/>
      <c r="BC84" s="1625" t="str">
        <f>IF(V84="","",V84)</f>
        <v>Источник тепловой энергии  </v>
      </c>
      <c r="BD84" s="1625"/>
      <c r="BE84" s="1625"/>
      <c r="BF84" s="1636">
        <v>0</v>
      </c>
    </row>
    <row s="1851" customFormat="1" customHeight="1" ht="14.25">
      <c r="A85" s="1975"/>
      <c r="B85" s="1975"/>
      <c r="C85" s="1975"/>
      <c r="D85" s="1975"/>
      <c r="E85" s="2312" t="s">
        <v>107</v>
      </c>
      <c r="F85" s="2312"/>
      <c r="G85" s="2312"/>
      <c r="H85" s="2312"/>
      <c r="I85" s="2313" t="str">
        <f>U84&amp;".1"</f>
        <v>3.1.1.1.1</v>
      </c>
      <c r="J85" s="1975"/>
      <c r="K85" s="1975"/>
      <c r="L85" s="1975"/>
      <c r="M85" s="2183" t="s">
        <v>533</v>
      </c>
      <c r="N85" s="1636"/>
      <c r="O85" s="2398"/>
      <c r="P85" s="2398"/>
      <c r="Q85" s="2375">
        <v>1</v>
      </c>
      <c r="R85" s="2375"/>
      <c r="S85" s="2375"/>
      <c r="T85" s="357"/>
      <c r="U85" s="2305"/>
      <c r="V85" s="1384"/>
      <c r="W85" s="1385"/>
      <c r="X85" s="2297"/>
      <c r="Y85" s="2298"/>
      <c r="Z85" s="2298"/>
      <c r="AA85" s="2298"/>
      <c r="AB85" s="2298"/>
      <c r="AC85" s="2298"/>
      <c r="AD85" s="2298"/>
      <c r="AE85" s="2298"/>
      <c r="AF85" s="2299"/>
      <c r="AG85" s="2297"/>
      <c r="AH85" s="2298"/>
      <c r="AI85" s="2298"/>
      <c r="AJ85" s="2298"/>
      <c r="AK85" s="2298"/>
      <c r="AL85" s="2298"/>
      <c r="AM85" s="2298"/>
      <c r="AN85" s="2298"/>
      <c r="AO85" s="2298"/>
      <c r="AP85" s="2297"/>
      <c r="AQ85" s="2298"/>
      <c r="AR85" s="2298"/>
      <c r="AS85" s="2298"/>
      <c r="AT85" s="2298"/>
      <c r="AU85" s="2298"/>
      <c r="AV85" s="2298"/>
      <c r="AW85" s="2298"/>
      <c r="AX85" s="5309"/>
      <c r="AY85" s="2299"/>
      <c r="AZ85" s="1386"/>
      <c r="BA85" s="1643"/>
      <c r="BB85" s="1625"/>
      <c r="BC85" s="1625" t="str">
        <f>IF(V85="","",V85)</f>
        <v/>
      </c>
      <c r="BD85" s="1625"/>
      <c r="BE85" s="1625"/>
      <c r="BF85" s="1636">
        <v>0</v>
      </c>
    </row>
    <row s="1851" customFormat="1" customHeight="1" ht="21">
      <c r="A86" s="1975"/>
      <c r="B86" s="1975"/>
      <c r="C86" s="1975"/>
      <c r="D86" s="1975"/>
      <c r="E86" s="2312" t="s">
        <v>107</v>
      </c>
      <c r="F86" s="2312"/>
      <c r="G86" s="2312"/>
      <c r="H86" s="2312"/>
      <c r="I86" s="2263"/>
      <c r="J86" s="2313" t="str">
        <f>I85&amp;".1"</f>
        <v>3.1.1.1.1.1</v>
      </c>
      <c r="K86" s="1975"/>
      <c r="L86" s="1975"/>
      <c r="M86" s="2183" t="s">
        <v>536</v>
      </c>
      <c r="N86" s="1636"/>
      <c r="O86" s="1636"/>
      <c r="P86" s="2398"/>
      <c r="Q86" s="2375"/>
      <c r="R86" s="2375">
        <v>1</v>
      </c>
      <c r="S86" s="1643"/>
      <c r="T86" s="358"/>
      <c r="U86" s="2274" t="str">
        <f>$J86</f>
        <v>3.1.1.1.1.1</v>
      </c>
      <c r="V86" s="287" t="s">
        <v>537</v>
      </c>
      <c r="W86" s="301"/>
      <c r="X86" s="2246"/>
      <c r="Y86" s="2247"/>
      <c r="Z86" s="2247"/>
      <c r="AA86" s="2247"/>
      <c r="AB86" s="2247"/>
      <c r="AC86" s="2236"/>
      <c r="AD86" s="2236"/>
      <c r="AE86" s="2236"/>
      <c r="AF86" s="2309"/>
      <c r="AG86" s="2246" t="s">
        <v>576</v>
      </c>
      <c r="AH86" s="2247"/>
      <c r="AI86" s="2247"/>
      <c r="AJ86" s="2247"/>
      <c r="AK86" s="2247"/>
      <c r="AL86" s="2247"/>
      <c r="AM86" s="2247"/>
      <c r="AN86" s="2247"/>
      <c r="AO86" s="2247"/>
      <c r="AP86" s="2246"/>
      <c r="AQ86" s="2247"/>
      <c r="AR86" s="2247"/>
      <c r="AS86" s="2247"/>
      <c r="AT86" s="2247"/>
      <c r="AU86" s="2236"/>
      <c r="AV86" s="2236"/>
      <c r="AW86" s="2236"/>
      <c r="AX86" s="5321"/>
      <c r="AY86" s="2248"/>
      <c r="AZ86" s="1259" t="s">
        <v>538</v>
      </c>
      <c r="BA86" s="1643"/>
      <c r="BB86" s="1625"/>
      <c r="BC86" s="1625" t="str">
        <f>IF(V86="","",V86)</f>
        <v>Группа потребителей</v>
      </c>
      <c r="BD86" s="1625"/>
      <c r="BE86" s="1625"/>
      <c r="BF86" s="1636">
        <v>0</v>
      </c>
    </row>
    <row s="1851" customFormat="1" customHeight="1" ht="21">
      <c r="A87" s="1975"/>
      <c r="B87" s="1975"/>
      <c r="C87" s="1975"/>
      <c r="D87" s="1975"/>
      <c r="E87" s="2312" t="s">
        <v>107</v>
      </c>
      <c r="F87" s="2312"/>
      <c r="G87" s="2312"/>
      <c r="H87" s="2312"/>
      <c r="I87" s="2263"/>
      <c r="J87" s="2263"/>
      <c r="K87" s="2313" t="str">
        <f>J86&amp;".1"</f>
        <v>3.1.1.1.1.1.1</v>
      </c>
      <c r="L87" s="2126"/>
      <c r="M87" s="2183" t="s">
        <v>539</v>
      </c>
      <c r="N87" s="1636"/>
      <c r="O87" s="1636"/>
      <c r="P87" s="1636"/>
      <c r="Q87" s="2375"/>
      <c r="R87" s="2375"/>
      <c r="S87" s="2375">
        <v>1</v>
      </c>
      <c r="T87" s="358"/>
      <c r="U87" s="2274" t="str">
        <f>$K87</f>
        <v>3.1.1.1.1.1.1</v>
      </c>
      <c r="V87" s="1348" t="s">
        <v>594</v>
      </c>
      <c r="W87" s="301"/>
      <c r="X87" s="752"/>
      <c r="Y87" s="752"/>
      <c r="Z87" s="752"/>
      <c r="AA87" s="752"/>
      <c r="AB87" s="1406"/>
      <c r="AC87" s="2603"/>
      <c r="AD87" s="2108" t="s">
        <v>65</v>
      </c>
      <c r="AE87" s="2603"/>
      <c r="AF87" s="2108" t="s">
        <v>65</v>
      </c>
      <c r="AG87" s="1408"/>
      <c r="AH87" s="752">
        <v>53.82</v>
      </c>
      <c r="AI87" s="752">
        <v>2143.27</v>
      </c>
      <c r="AJ87" s="752"/>
      <c r="AK87" s="1258"/>
      <c r="AL87" s="2603">
        <v>46023</v>
      </c>
      <c r="AM87" s="2108" t="s">
        <v>65</v>
      </c>
      <c r="AN87" s="2603">
        <v>46295</v>
      </c>
      <c r="AO87" s="2108" t="s">
        <v>65</v>
      </c>
      <c r="AP87" s="752"/>
      <c r="AQ87" s="752">
        <v>53.82</v>
      </c>
      <c r="AR87" s="752">
        <v>2143.27</v>
      </c>
      <c r="AS87" s="752"/>
      <c r="AT87" s="1406"/>
      <c r="AU87" s="2603">
        <v>46296</v>
      </c>
      <c r="AV87" s="2108" t="s">
        <v>65</v>
      </c>
      <c r="AW87" s="2603">
        <v>46387</v>
      </c>
      <c r="AX87" s="2108" t="s">
        <v>65</v>
      </c>
      <c r="AY87" s="326"/>
      <c r="AZ87" s="1308" t="s">
        <v>582</v>
      </c>
      <c r="BA87" s="1643">
        <f>STRCHECKDATE(X89:AY89)</f>
      </c>
      <c r="BB87" s="1625"/>
      <c r="BC87" s="1625" t="str">
        <f>IF(V87="","",V87)</f>
        <v>горячая вода в системе централизованного теплоснабжения на горячее водоснабжение</v>
      </c>
      <c r="BD87" s="1625"/>
      <c r="BE87" s="1625"/>
      <c r="BF87" s="1636">
        <v>0</v>
      </c>
    </row>
    <row s="1851" customFormat="1" customHeight="1" ht="21">
      <c r="A88" s="1975"/>
      <c r="B88" s="1975"/>
      <c r="C88" s="1975"/>
      <c r="D88" s="1975"/>
      <c r="E88" s="2312" t="s">
        <v>107</v>
      </c>
      <c r="F88" s="2312"/>
      <c r="G88" s="2312"/>
      <c r="H88" s="2312"/>
      <c r="I88" s="2263"/>
      <c r="J88" s="2263"/>
      <c r="K88" s="2263"/>
      <c r="L88" s="2313" t="str">
        <f>K87&amp;".1"</f>
        <v>3.1.1.1.1.1.1.1</v>
      </c>
      <c r="M88" s="2183"/>
      <c r="N88" s="1636"/>
      <c r="O88" s="1636"/>
      <c r="P88" s="1636"/>
      <c r="Q88" s="2375"/>
      <c r="R88" s="2375"/>
      <c r="S88" s="2375"/>
      <c r="T88" s="358"/>
      <c r="U88" s="2274" t="str">
        <f>$L88</f>
        <v>3.1.1.1.1.1.1.1</v>
      </c>
      <c r="V88" s="1392"/>
      <c r="W88" s="301"/>
      <c r="X88" s="326"/>
      <c r="Y88" s="752"/>
      <c r="Z88" s="752"/>
      <c r="AA88" s="752"/>
      <c r="AB88" s="1406"/>
      <c r="AC88" s="2310"/>
      <c r="AD88" s="2108"/>
      <c r="AE88" s="2310"/>
      <c r="AF88" s="2108"/>
      <c r="AG88" s="1408"/>
      <c r="AH88" s="752"/>
      <c r="AI88" s="752"/>
      <c r="AJ88" s="752"/>
      <c r="AK88" s="1258"/>
      <c r="AL88" s="2310"/>
      <c r="AM88" s="2108"/>
      <c r="AN88" s="2310"/>
      <c r="AO88" s="2108"/>
      <c r="AP88" s="326"/>
      <c r="AQ88" s="752"/>
      <c r="AR88" s="752"/>
      <c r="AS88" s="752"/>
      <c r="AT88" s="1406"/>
      <c r="AU88" s="2310"/>
      <c r="AV88" s="2108"/>
      <c r="AW88" s="2310"/>
      <c r="AX88" s="2108"/>
      <c r="AY88" s="326"/>
      <c r="AZ88" s="2254" t="s">
        <v>583</v>
      </c>
      <c r="BA88" s="1643"/>
      <c r="BB88" s="1625"/>
      <c r="BC88" s="1625"/>
      <c r="BD88" s="1625"/>
      <c r="BE88" s="1625"/>
      <c r="BF88" s="1636">
        <v>0</v>
      </c>
    </row>
    <row s="1851" customFormat="1" customHeight="1" ht="14.25">
      <c r="A89" s="1975"/>
      <c r="B89" s="1975"/>
      <c r="C89" s="1975"/>
      <c r="D89" s="1975"/>
      <c r="E89" s="2312" t="s">
        <v>107</v>
      </c>
      <c r="F89" s="2312"/>
      <c r="G89" s="2312"/>
      <c r="H89" s="2312"/>
      <c r="I89" s="2263"/>
      <c r="J89" s="2263"/>
      <c r="K89" s="2263"/>
      <c r="L89" s="2313"/>
      <c r="M89" s="2183"/>
      <c r="N89" s="1636"/>
      <c r="O89" s="1636"/>
      <c r="P89" s="1636"/>
      <c r="Q89" s="2375"/>
      <c r="R89" s="2375"/>
      <c r="S89" s="2375"/>
      <c r="T89" s="358"/>
      <c r="U89" s="2514"/>
      <c r="V89" s="301"/>
      <c r="W89" s="301"/>
      <c r="X89" s="326"/>
      <c r="Y89" s="326"/>
      <c r="Z89" s="326"/>
      <c r="AA89" s="326"/>
      <c r="AB89" s="1407" t="str">
        <f>AC87&amp;"-"&amp;AE87</f>
        <v>-</v>
      </c>
      <c r="AC89" s="2310"/>
      <c r="AD89" s="2108"/>
      <c r="AE89" s="2310"/>
      <c r="AF89" s="2108"/>
      <c r="AG89" s="1383"/>
      <c r="AH89" s="326"/>
      <c r="AI89" s="326"/>
      <c r="AJ89" s="326"/>
      <c r="AK89" s="329" t="str">
        <f>AL87&amp;"-"&amp;AN87</f>
        <v>46023-46295</v>
      </c>
      <c r="AL89" s="2310"/>
      <c r="AM89" s="2108"/>
      <c r="AN89" s="2310"/>
      <c r="AO89" s="2108"/>
      <c r="AP89" s="326"/>
      <c r="AQ89" s="326"/>
      <c r="AR89" s="326"/>
      <c r="AS89" s="326"/>
      <c r="AT89" s="1407" t="str">
        <f>AU87&amp;"-"&amp;AW87</f>
        <v>46296-46387</v>
      </c>
      <c r="AU89" s="2310"/>
      <c r="AV89" s="2108"/>
      <c r="AW89" s="2310"/>
      <c r="AX89" s="2108"/>
      <c r="AY89" s="326"/>
      <c r="AZ89" s="2255"/>
      <c r="BA89" s="1643"/>
      <c r="BB89" s="1625"/>
      <c r="BC89" s="1625" t="str">
        <f>IF(V89="","",V89)</f>
        <v/>
      </c>
      <c r="BD89" s="1625"/>
      <c r="BE89" s="1625"/>
      <c r="BF89" s="1636">
        <v>0</v>
      </c>
    </row>
    <row s="1851" customFormat="1" customHeight="1" ht="11.25">
      <c r="A90" s="1975"/>
      <c r="B90" s="1975"/>
      <c r="C90" s="1975"/>
      <c r="D90" s="1975"/>
      <c r="E90" s="2312" t="s">
        <v>107</v>
      </c>
      <c r="F90" s="2312"/>
      <c r="G90" s="2312"/>
      <c r="H90" s="2312"/>
      <c r="I90" s="2263"/>
      <c r="J90" s="2263"/>
      <c r="K90" s="2313"/>
      <c r="L90" s="1975"/>
      <c r="M90" s="2183"/>
      <c r="N90" s="1636"/>
      <c r="O90" s="1636"/>
      <c r="P90" s="1636"/>
      <c r="Q90" s="2375"/>
      <c r="R90" s="2375"/>
      <c r="S90" s="2375"/>
      <c r="T90" s="358"/>
      <c r="U90" s="4510"/>
      <c r="V90" s="4511" t="s">
        <v>584</v>
      </c>
      <c r="W90" s="4512"/>
      <c r="X90" s="4513"/>
      <c r="Y90" s="4514"/>
      <c r="Z90" s="4515"/>
      <c r="AA90" s="4516"/>
      <c r="AB90" s="4517"/>
      <c r="AC90" s="2310"/>
      <c r="AD90" s="2108"/>
      <c r="AE90" s="2310"/>
      <c r="AF90" s="2108"/>
      <c r="AG90" s="4518"/>
      <c r="AH90" s="4519"/>
      <c r="AI90" s="4520"/>
      <c r="AJ90" s="4521"/>
      <c r="AK90" s="4522"/>
      <c r="AL90" s="2310"/>
      <c r="AM90" s="2108"/>
      <c r="AN90" s="2310"/>
      <c r="AO90" s="2108"/>
      <c r="AP90" s="4523"/>
      <c r="AQ90" s="4524"/>
      <c r="AR90" s="4525"/>
      <c r="AS90" s="4526"/>
      <c r="AT90" s="4527"/>
      <c r="AU90" s="2310"/>
      <c r="AV90" s="2108"/>
      <c r="AW90" s="2310"/>
      <c r="AX90" s="2108"/>
      <c r="AY90" s="4528"/>
      <c r="AZ90" s="2255"/>
      <c r="BA90" s="1643"/>
      <c r="BB90" s="1625"/>
      <c r="BC90" s="1625"/>
      <c r="BD90" s="1625"/>
      <c r="BE90" s="1625"/>
      <c r="BF90" s="1636">
        <v>0</v>
      </c>
    </row>
    <row s="1851" customFormat="1" customHeight="1" ht="15">
      <c r="A91" s="1975"/>
      <c r="B91" s="1975"/>
      <c r="C91" s="1975"/>
      <c r="D91" s="1975"/>
      <c r="E91" s="2312" t="s">
        <v>107</v>
      </c>
      <c r="F91" s="2312"/>
      <c r="G91" s="2312"/>
      <c r="H91" s="2312"/>
      <c r="I91" s="2263"/>
      <c r="J91" s="2313"/>
      <c r="K91" s="1975"/>
      <c r="L91" s="1975"/>
      <c r="M91" s="2183"/>
      <c r="N91" s="1636"/>
      <c r="O91" s="1636"/>
      <c r="P91" s="2398"/>
      <c r="Q91" s="2375"/>
      <c r="R91" s="2375"/>
      <c r="S91" s="2375"/>
      <c r="T91" s="357"/>
      <c r="U91" s="4529"/>
      <c r="V91" s="4530" t="s">
        <v>541</v>
      </c>
      <c r="W91" s="4531"/>
      <c r="X91" s="4532"/>
      <c r="Y91" s="4533"/>
      <c r="Z91" s="4534"/>
      <c r="AA91" s="4535"/>
      <c r="AB91" s="4536"/>
      <c r="AC91" s="4537"/>
      <c r="AD91" s="4538"/>
      <c r="AE91" s="4539"/>
      <c r="AF91" s="4540"/>
      <c r="AG91" s="4541"/>
      <c r="AH91" s="4542"/>
      <c r="AI91" s="4543"/>
      <c r="AJ91" s="4544"/>
      <c r="AK91" s="4545"/>
      <c r="AL91" s="4546"/>
      <c r="AM91" s="4547"/>
      <c r="AN91" s="4548"/>
      <c r="AO91" s="4549"/>
      <c r="AP91" s="4550"/>
      <c r="AQ91" s="4551"/>
      <c r="AR91" s="4552"/>
      <c r="AS91" s="4553"/>
      <c r="AT91" s="4554"/>
      <c r="AU91" s="4555"/>
      <c r="AV91" s="4556"/>
      <c r="AW91" s="4557"/>
      <c r="AX91" s="5328"/>
      <c r="AY91" s="4559"/>
      <c r="AZ91" s="2256"/>
      <c r="BA91" s="1643"/>
      <c r="BB91" s="1625"/>
      <c r="BC91" s="1625" t="str">
        <f>IF(V91="","",V91)</f>
        <v>Добавить вид теплоносителя (параметры теплоносителя)</v>
      </c>
      <c r="BD91" s="1625"/>
      <c r="BE91" s="1625"/>
      <c r="BF91" s="1636">
        <v>0</v>
      </c>
    </row>
    <row s="1851" customFormat="1" customHeight="1" ht="11.25">
      <c r="A92" s="1975"/>
      <c r="B92" s="1975"/>
      <c r="C92" s="1975"/>
      <c r="D92" s="1975"/>
      <c r="E92" s="2312" t="s">
        <v>107</v>
      </c>
      <c r="F92" s="2312"/>
      <c r="G92" s="2312"/>
      <c r="H92" s="2312"/>
      <c r="I92" s="2313"/>
      <c r="J92" s="1975"/>
      <c r="K92" s="1975"/>
      <c r="L92" s="1975"/>
      <c r="M92" s="2183"/>
      <c r="N92" s="1636"/>
      <c r="O92" s="2398"/>
      <c r="P92" s="2398"/>
      <c r="Q92" s="2375"/>
      <c r="R92" s="2375"/>
      <c r="S92" s="2375"/>
      <c r="T92" s="357"/>
      <c r="U92" s="4560"/>
      <c r="V92" s="4561" t="s">
        <v>542</v>
      </c>
      <c r="W92" s="4562"/>
      <c r="X92" s="4563"/>
      <c r="Y92" s="4564"/>
      <c r="Z92" s="4565"/>
      <c r="AA92" s="4566"/>
      <c r="AB92" s="4567"/>
      <c r="AC92" s="4568"/>
      <c r="AD92" s="4569"/>
      <c r="AE92" s="4570"/>
      <c r="AF92" s="4571"/>
      <c r="AG92" s="4572"/>
      <c r="AH92" s="4573"/>
      <c r="AI92" s="4574"/>
      <c r="AJ92" s="4575"/>
      <c r="AK92" s="4576"/>
      <c r="AL92" s="4577"/>
      <c r="AM92" s="4578"/>
      <c r="AN92" s="4579"/>
      <c r="AO92" s="4580"/>
      <c r="AP92" s="4581"/>
      <c r="AQ92" s="4582"/>
      <c r="AR92" s="4583"/>
      <c r="AS92" s="4584"/>
      <c r="AT92" s="4585"/>
      <c r="AU92" s="4586"/>
      <c r="AV92" s="4587"/>
      <c r="AW92" s="4588"/>
      <c r="AX92" s="5329"/>
      <c r="AY92" s="4590"/>
      <c r="AZ92" s="4591"/>
      <c r="BA92" s="1643"/>
      <c r="BB92" s="1625"/>
      <c r="BC92" s="1625" t="str">
        <f>IF(V92="","",V92)</f>
        <v>Добавить группу потребителей</v>
      </c>
      <c r="BD92" s="1625"/>
      <c r="BE92" s="1625"/>
      <c r="BF92" s="1636">
        <v>0</v>
      </c>
    </row>
    <row s="1851" customFormat="1" customHeight="1" ht="14.25">
      <c r="A93" s="1975"/>
      <c r="B93" s="1975"/>
      <c r="C93" s="1975"/>
      <c r="D93" s="1975"/>
      <c r="E93" s="2312" t="s">
        <v>107</v>
      </c>
      <c r="F93" s="2312"/>
      <c r="G93" s="2312"/>
      <c r="H93" s="2311"/>
      <c r="I93" s="1975"/>
      <c r="J93" s="1975"/>
      <c r="K93" s="1975"/>
      <c r="L93" s="1975"/>
      <c r="M93" s="2183"/>
      <c r="N93" s="2408"/>
      <c r="O93" s="2408"/>
      <c r="P93" s="1636"/>
      <c r="Q93" s="1824"/>
      <c r="R93" s="376"/>
      <c r="S93" s="356"/>
      <c r="T93" s="1824"/>
      <c r="U93" s="1387"/>
      <c r="V93" s="1388"/>
      <c r="W93" s="1389"/>
      <c r="X93" s="1389"/>
      <c r="Y93" s="1389"/>
      <c r="Z93" s="1389"/>
      <c r="AA93" s="1389"/>
      <c r="AB93" s="1389"/>
      <c r="AC93" s="1389"/>
      <c r="AD93" s="1389"/>
      <c r="AE93" s="1389"/>
      <c r="AF93" s="1389"/>
      <c r="AG93" s="1389"/>
      <c r="AH93" s="1389"/>
      <c r="AI93" s="1389"/>
      <c r="AJ93" s="1389"/>
      <c r="AK93" s="1389"/>
      <c r="AL93" s="1389"/>
      <c r="AM93" s="1389"/>
      <c r="AN93" s="1389"/>
      <c r="AO93" s="1389"/>
      <c r="AP93" s="1389"/>
      <c r="AQ93" s="1389"/>
      <c r="AR93" s="1389"/>
      <c r="AS93" s="1389"/>
      <c r="AT93" s="1389"/>
      <c r="AU93" s="1389"/>
      <c r="AV93" s="1389"/>
      <c r="AW93" s="1389"/>
      <c r="AX93" s="1389"/>
      <c r="AY93" s="1389"/>
      <c r="AZ93" s="1390"/>
      <c r="BA93" s="1643"/>
      <c r="BB93" s="1625"/>
      <c r="BC93" s="1625" t="str">
        <f>IF(V93="","",V93)</f>
        <v/>
      </c>
      <c r="BD93" s="1625"/>
      <c r="BE93" s="1625"/>
      <c r="BF93" s="1636">
        <v>0</v>
      </c>
    </row>
    <row s="623" customFormat="1" customHeight="1" ht="14.25">
      <c r="A94" s="1376"/>
      <c r="B94" s="1376"/>
      <c r="C94" s="1376"/>
      <c r="D94" s="1376"/>
      <c r="E94" s="2312" t="s">
        <v>107</v>
      </c>
      <c r="F94" s="2312"/>
      <c r="G94" s="2311"/>
      <c r="H94" s="1376"/>
      <c r="I94" s="1376"/>
      <c r="J94" s="1376"/>
      <c r="K94" s="1376"/>
      <c r="L94" s="1376"/>
      <c r="M94" s="1382"/>
      <c r="N94" s="1379"/>
      <c r="O94" s="1379"/>
      <c r="P94" s="1642"/>
      <c r="Q94" s="1317"/>
      <c r="R94" s="1345"/>
      <c r="S94" s="1317"/>
      <c r="T94" s="1317"/>
      <c r="U94" s="1319"/>
      <c r="V94" s="1320" t="s">
        <v>177</v>
      </c>
      <c r="W94" s="1321"/>
      <c r="X94" s="1321"/>
      <c r="Y94" s="1321"/>
      <c r="Z94" s="1321"/>
      <c r="AA94" s="1321"/>
      <c r="AB94" s="1321"/>
      <c r="AC94" s="1321"/>
      <c r="AD94" s="1321"/>
      <c r="AE94" s="1321"/>
      <c r="AF94" s="1321"/>
      <c r="AG94" s="1321"/>
      <c r="AH94" s="1321"/>
      <c r="AI94" s="1321"/>
      <c r="AJ94" s="1321"/>
      <c r="AK94" s="1321"/>
      <c r="AL94" s="1321"/>
      <c r="AM94" s="1321"/>
      <c r="AN94" s="1321"/>
      <c r="AO94" s="1321"/>
      <c r="AP94" s="1321"/>
      <c r="AQ94" s="1321"/>
      <c r="AR94" s="1321"/>
      <c r="AS94" s="1321"/>
      <c r="AT94" s="1321"/>
      <c r="AU94" s="1321"/>
      <c r="AV94" s="1321"/>
      <c r="AW94" s="1321"/>
      <c r="AX94" s="1321"/>
      <c r="AY94" s="1321"/>
      <c r="AZ94" s="1321"/>
      <c r="BA94" s="1643"/>
      <c r="BB94" s="1625"/>
      <c r="BC94" s="1625" t="str">
        <f>IF(V94="","",V94)</f>
        <v>Добавить источник для дифференциации</v>
      </c>
      <c r="BD94" s="1625"/>
      <c r="BE94" s="1625"/>
      <c r="BF94" s="1643">
        <v>0</v>
      </c>
    </row>
    <row s="623" customFormat="1" customHeight="1" ht="14.25">
      <c r="A95" s="1376"/>
      <c r="B95" s="1376"/>
      <c r="C95" s="1376"/>
      <c r="D95" s="1376"/>
      <c r="E95" s="2312" t="s">
        <v>107</v>
      </c>
      <c r="F95" s="2311"/>
      <c r="G95" s="1376"/>
      <c r="H95" s="1376"/>
      <c r="I95" s="1376"/>
      <c r="J95" s="1376"/>
      <c r="K95" s="1376"/>
      <c r="L95" s="1376"/>
      <c r="M95" s="1382"/>
      <c r="N95" s="1380"/>
      <c r="O95" s="1380"/>
      <c r="P95" s="1642"/>
      <c r="Q95" s="1317"/>
      <c r="R95" s="1345"/>
      <c r="S95" s="1317"/>
      <c r="T95" s="1317"/>
      <c r="U95" s="1323"/>
      <c r="V95" s="1324" t="s">
        <v>178</v>
      </c>
      <c r="W95" s="1325"/>
      <c r="X95" s="1325"/>
      <c r="Y95" s="1325"/>
      <c r="Z95" s="1325"/>
      <c r="AA95" s="1325"/>
      <c r="AB95" s="1325"/>
      <c r="AC95" s="1325"/>
      <c r="AD95" s="1325"/>
      <c r="AE95" s="1325"/>
      <c r="AF95" s="1325"/>
      <c r="AG95" s="1325"/>
      <c r="AH95" s="1325"/>
      <c r="AI95" s="1325"/>
      <c r="AJ95" s="1325"/>
      <c r="AK95" s="1325"/>
      <c r="AL95" s="1325"/>
      <c r="AM95" s="1325"/>
      <c r="AN95" s="1325"/>
      <c r="AO95" s="1325"/>
      <c r="AP95" s="1325"/>
      <c r="AQ95" s="1325"/>
      <c r="AR95" s="1325"/>
      <c r="AS95" s="1325"/>
      <c r="AT95" s="1325"/>
      <c r="AU95" s="1325"/>
      <c r="AV95" s="1325"/>
      <c r="AW95" s="1325"/>
      <c r="AX95" s="1325"/>
      <c r="AY95" s="1325"/>
      <c r="AZ95" s="1325"/>
      <c r="BA95" s="1643"/>
      <c r="BB95" s="1625"/>
      <c r="BC95" s="1625" t="str">
        <f>IF(V95="","",V95)</f>
        <v>Добавить централизованную систему для дифференциации</v>
      </c>
      <c r="BD95" s="1625"/>
      <c r="BE95" s="1625"/>
      <c r="BF95" s="1643">
        <v>0</v>
      </c>
    </row>
    <row s="623" customFormat="1" customHeight="1" ht="14.25">
      <c r="A96" s="1376"/>
      <c r="B96" s="1376"/>
      <c r="C96" s="1376"/>
      <c r="D96" s="1376"/>
      <c r="E96" s="2311" t="s">
        <v>107</v>
      </c>
      <c r="F96" s="1376"/>
      <c r="G96" s="1376"/>
      <c r="H96" s="1376"/>
      <c r="I96" s="1376"/>
      <c r="J96" s="1376"/>
      <c r="K96" s="1376"/>
      <c r="L96" s="1376"/>
      <c r="M96" s="1382"/>
      <c r="N96" s="1380"/>
      <c r="O96" s="1380"/>
      <c r="P96" s="1642"/>
      <c r="Q96" s="1317"/>
      <c r="R96" s="1345"/>
      <c r="S96" s="1317"/>
      <c r="T96" s="1317"/>
      <c r="U96" s="1323"/>
      <c r="V96" s="1326" t="s">
        <v>183</v>
      </c>
      <c r="W96" s="1325"/>
      <c r="X96" s="1325"/>
      <c r="Y96" s="1325"/>
      <c r="Z96" s="1325"/>
      <c r="AA96" s="1325"/>
      <c r="AB96" s="1325"/>
      <c r="AC96" s="1325"/>
      <c r="AD96" s="1325"/>
      <c r="AE96" s="1325"/>
      <c r="AF96" s="1325"/>
      <c r="AG96" s="1325"/>
      <c r="AH96" s="1325"/>
      <c r="AI96" s="1325"/>
      <c r="AJ96" s="1325"/>
      <c r="AK96" s="1325"/>
      <c r="AL96" s="1325"/>
      <c r="AM96" s="1325"/>
      <c r="AN96" s="1325"/>
      <c r="AO96" s="1325"/>
      <c r="AP96" s="1325"/>
      <c r="AQ96" s="1325"/>
      <c r="AR96" s="1325"/>
      <c r="AS96" s="1325"/>
      <c r="AT96" s="1325"/>
      <c r="AU96" s="1325"/>
      <c r="AV96" s="1325"/>
      <c r="AW96" s="1325"/>
      <c r="AX96" s="1325"/>
      <c r="AY96" s="1325"/>
      <c r="AZ96" s="1325"/>
      <c r="BA96" s="1643"/>
      <c r="BB96" s="1625"/>
      <c r="BC96" s="1625" t="str">
        <f>IF(V96="","",V96)</f>
        <v>Добавить территорию для дифференциации</v>
      </c>
      <c r="BD96" s="1625"/>
      <c r="BE96" s="1625"/>
      <c r="BF96" s="1643">
        <v>0</v>
      </c>
    </row>
    <row s="1851" customFormat="1" customHeight="1" ht="21">
      <c r="A97" s="1975" t="s">
        <v>288</v>
      </c>
      <c r="B97" s="1975"/>
      <c r="C97" s="1975"/>
      <c r="D97" s="1975"/>
      <c r="E97" s="2311" t="s">
        <v>95</v>
      </c>
      <c r="F97" s="1975"/>
      <c r="G97" s="1975"/>
      <c r="H97" s="1975"/>
      <c r="I97" s="1975"/>
      <c r="J97" s="1975"/>
      <c r="K97" s="1975"/>
      <c r="L97" s="1975"/>
      <c r="M97" s="2183"/>
      <c r="N97" s="2408"/>
      <c r="O97" s="2408"/>
      <c r="P97" s="2408"/>
      <c r="Q97" s="2398"/>
      <c r="R97" s="1824"/>
      <c r="S97" s="1824"/>
      <c r="T97" s="356"/>
      <c r="U97" s="2274" t="str">
        <f>INDEX(PT_DIFFERENTIATION_NUM_NTAR,MATCH(A97,PT_DIFFERENTIATION_NTAR_ID,0))</f>
        <v>4</v>
      </c>
      <c r="V97" s="1526" t="s">
        <v>136</v>
      </c>
      <c r="W97" s="301"/>
      <c r="X97" s="2243"/>
      <c r="Y97" s="2244"/>
      <c r="Z97" s="2244"/>
      <c r="AA97" s="2244"/>
      <c r="AB97" s="2244"/>
      <c r="AC97" s="2244"/>
      <c r="AD97" s="2244"/>
      <c r="AE97" s="2244"/>
      <c r="AF97" s="2245"/>
      <c r="AG97" s="2243" t="str">
        <f>INDEX(PT_DIFFERENTIATION_NTAR,MATCH(A97,PT_DIFFERENTIATION_NTAR_ID,0))</f>
        <v>Тарифы на горячую воду в открытых системах теплоснабжения (горячее водоснабжение), поставляемую потребителям. Муниципальный округ город Апатиты с подведомственной территорией Мурманской области. Для потребителей, подключенных к тепловым сетям ПАО "ТГК-1"</v>
      </c>
      <c r="AH97" s="2244"/>
      <c r="AI97" s="2244"/>
      <c r="AJ97" s="2244"/>
      <c r="AK97" s="2244"/>
      <c r="AL97" s="2244"/>
      <c r="AM97" s="2244"/>
      <c r="AN97" s="2244"/>
      <c r="AO97" s="2244"/>
      <c r="AP97" s="2243"/>
      <c r="AQ97" s="2244"/>
      <c r="AR97" s="2244"/>
      <c r="AS97" s="2244"/>
      <c r="AT97" s="2244"/>
      <c r="AU97" s="2244"/>
      <c r="AV97" s="2244"/>
      <c r="AW97" s="2244"/>
      <c r="AX97" s="5240"/>
      <c r="AY97" s="2245"/>
      <c r="AZ97" s="1259" t="s">
        <v>526</v>
      </c>
      <c r="BA97" s="1643"/>
      <c r="BB97" s="1625"/>
      <c r="BC97" s="1625" t="str">
        <f>IF(V97="","",V97)</f>
        <v>Наименование тарифа</v>
      </c>
      <c r="BD97" s="1625"/>
      <c r="BE97" s="1625"/>
      <c r="BF97" s="1636">
        <v>0</v>
      </c>
    </row>
    <row s="1851" customFormat="1" customHeight="1" ht="21">
      <c r="A98" s="1975"/>
      <c r="B98" s="1975" t="s">
        <v>289</v>
      </c>
      <c r="C98" s="1975"/>
      <c r="D98" s="1975"/>
      <c r="E98" s="2312" t="s">
        <v>94</v>
      </c>
      <c r="F98" s="2311">
        <v>1</v>
      </c>
      <c r="G98" s="1975"/>
      <c r="H98" s="1975"/>
      <c r="I98" s="1975"/>
      <c r="J98" s="1975"/>
      <c r="K98" s="1975"/>
      <c r="L98" s="1975"/>
      <c r="M98" s="2183"/>
      <c r="N98" s="2408"/>
      <c r="O98" s="2408"/>
      <c r="P98" s="2408"/>
      <c r="Q98" s="2126"/>
      <c r="R98" s="353"/>
      <c r="S98" s="1636"/>
      <c r="T98" s="354"/>
      <c r="U98" s="2274" t="str">
        <f>INDEX(PT_DIFFERENTIATION_NUM_TER,MATCH(B98,PT_DIFFERENTIATION_TER_ID,0))</f>
        <v>4.1</v>
      </c>
      <c r="V98" s="1523" t="s">
        <v>527</v>
      </c>
      <c r="W98" s="301"/>
      <c r="X98" s="2243"/>
      <c r="Y98" s="2244"/>
      <c r="Z98" s="2244"/>
      <c r="AA98" s="2244"/>
      <c r="AB98" s="2244"/>
      <c r="AC98" s="2244"/>
      <c r="AD98" s="2244"/>
      <c r="AE98" s="2244"/>
      <c r="AF98" s="2245"/>
      <c r="AG98" s="2243" t="str">
        <f>INDEX(PT_DIFFERENTIATION_TER,MATCH(B98,PT_DIFFERENTIATION_TER_ID,0))</f>
        <v>Территория 1</v>
      </c>
      <c r="AH98" s="2244"/>
      <c r="AI98" s="2244"/>
      <c r="AJ98" s="2244"/>
      <c r="AK98" s="2244"/>
      <c r="AL98" s="2244"/>
      <c r="AM98" s="2244"/>
      <c r="AN98" s="2244"/>
      <c r="AO98" s="2244"/>
      <c r="AP98" s="2243"/>
      <c r="AQ98" s="2244"/>
      <c r="AR98" s="2244"/>
      <c r="AS98" s="2244"/>
      <c r="AT98" s="2244"/>
      <c r="AU98" s="2244"/>
      <c r="AV98" s="2244"/>
      <c r="AW98" s="2244"/>
      <c r="AX98" s="5240"/>
      <c r="AY98" s="2245"/>
      <c r="AZ98" s="1259" t="s">
        <v>528</v>
      </c>
      <c r="BA98" s="1643"/>
      <c r="BB98" s="1625"/>
      <c r="BC98" s="1625" t="str">
        <f>IF(V98="","",V98)</f>
        <v>Территория действия тарифа</v>
      </c>
      <c r="BD98" s="1625"/>
      <c r="BE98" s="1625"/>
      <c r="BF98" s="1636">
        <v>0</v>
      </c>
    </row>
    <row s="1851" customFormat="1" customHeight="1" ht="22.5">
      <c r="A99" s="1975"/>
      <c r="B99" s="1975"/>
      <c r="C99" s="1975" t="s">
        <v>290</v>
      </c>
      <c r="D99" s="1975"/>
      <c r="E99" s="2312" t="s">
        <v>94</v>
      </c>
      <c r="F99" s="2312"/>
      <c r="G99" s="2311">
        <v>1</v>
      </c>
      <c r="H99" s="1975"/>
      <c r="I99" s="1975"/>
      <c r="J99" s="1975"/>
      <c r="K99" s="1975"/>
      <c r="L99" s="1975"/>
      <c r="M99" s="2183"/>
      <c r="N99" s="2408"/>
      <c r="O99" s="2408"/>
      <c r="P99" s="2408"/>
      <c r="Q99" s="355"/>
      <c r="R99" s="353"/>
      <c r="S99" s="1636"/>
      <c r="T99" s="354"/>
      <c r="U99" s="2274" t="str">
        <f>INDEX(PT_DIFFERENTIATION_NUM_CS,MATCH(C99,PT_DIFFERENTIATION_CS_ID,0))</f>
        <v>4.1.1</v>
      </c>
      <c r="V99" s="310" t="s">
        <v>529</v>
      </c>
      <c r="W99" s="301"/>
      <c r="X99" s="2243"/>
      <c r="Y99" s="2244"/>
      <c r="Z99" s="2244"/>
      <c r="AA99" s="2244"/>
      <c r="AB99" s="2244"/>
      <c r="AC99" s="2244"/>
      <c r="AD99" s="2244"/>
      <c r="AE99" s="2244"/>
      <c r="AF99" s="2245"/>
      <c r="AG99" s="2243" t="str">
        <f>INDEX(PT_DIFFERENTIATION_CS,MATCH(C99,PT_DIFFERENTIATION_CS_ID,0))</f>
        <v>открытая система теплоснабжения г. Апатиты</v>
      </c>
      <c r="AH99" s="2244"/>
      <c r="AI99" s="2244"/>
      <c r="AJ99" s="2244"/>
      <c r="AK99" s="2244"/>
      <c r="AL99" s="2244"/>
      <c r="AM99" s="2244"/>
      <c r="AN99" s="2244"/>
      <c r="AO99" s="2244"/>
      <c r="AP99" s="2243"/>
      <c r="AQ99" s="2244"/>
      <c r="AR99" s="2244"/>
      <c r="AS99" s="2244"/>
      <c r="AT99" s="2244"/>
      <c r="AU99" s="2244"/>
      <c r="AV99" s="2244"/>
      <c r="AW99" s="2244"/>
      <c r="AX99" s="5240"/>
      <c r="AY99" s="2245"/>
      <c r="AZ99" s="1259" t="s">
        <v>530</v>
      </c>
      <c r="BA99" s="1643"/>
      <c r="BB99" s="1625"/>
      <c r="BC99" s="1625" t="str">
        <f>IF(V99="","",V99)</f>
        <v>Наименование системы теплоснабжения </v>
      </c>
      <c r="BD99" s="1625"/>
      <c r="BE99" s="1625"/>
      <c r="BF99" s="1636">
        <v>0</v>
      </c>
    </row>
    <row s="1851" customFormat="1" customHeight="1" ht="21">
      <c r="A100" s="1975"/>
      <c r="B100" s="1975"/>
      <c r="C100" s="1975"/>
      <c r="D100" s="1975" t="s">
        <v>291</v>
      </c>
      <c r="E100" s="2312" t="s">
        <v>94</v>
      </c>
      <c r="F100" s="2312"/>
      <c r="G100" s="2312"/>
      <c r="H100" s="2311">
        <v>1</v>
      </c>
      <c r="I100" s="1975"/>
      <c r="J100" s="1975"/>
      <c r="K100" s="1975"/>
      <c r="L100" s="1975"/>
      <c r="M100" s="2183"/>
      <c r="N100" s="2408"/>
      <c r="O100" s="2408"/>
      <c r="P100" s="2408"/>
      <c r="Q100" s="355"/>
      <c r="R100" s="353"/>
      <c r="S100" s="1636"/>
      <c r="T100" s="354"/>
      <c r="U100" s="2274" t="str">
        <f>INDEX(PT_DIFFERENTIATION_NUM_IST_TE,MATCH(D100,PT_DIFFERENTIATION_IST_TE_ID,0))</f>
        <v>4.1.1.1</v>
      </c>
      <c r="V100" s="311" t="s">
        <v>531</v>
      </c>
      <c r="W100" s="301"/>
      <c r="X100" s="2243"/>
      <c r="Y100" s="2244"/>
      <c r="Z100" s="2244"/>
      <c r="AA100" s="2244"/>
      <c r="AB100" s="2244"/>
      <c r="AC100" s="2244"/>
      <c r="AD100" s="2244"/>
      <c r="AE100" s="2244"/>
      <c r="AF100" s="2245"/>
      <c r="AG100" s="2243" t="str">
        <f>INDEX(PT_DIFFERENTIATION_IST_TE,MATCH(D100,PT_DIFFERENTIATION_IST_TE_ID,0))</f>
        <v>Апатитская ТЭЦ</v>
      </c>
      <c r="AH100" s="2244"/>
      <c r="AI100" s="2244"/>
      <c r="AJ100" s="2244"/>
      <c r="AK100" s="2244"/>
      <c r="AL100" s="2244"/>
      <c r="AM100" s="2244"/>
      <c r="AN100" s="2244"/>
      <c r="AO100" s="2244"/>
      <c r="AP100" s="2243"/>
      <c r="AQ100" s="2244"/>
      <c r="AR100" s="2244"/>
      <c r="AS100" s="2244"/>
      <c r="AT100" s="2244"/>
      <c r="AU100" s="2244"/>
      <c r="AV100" s="2244"/>
      <c r="AW100" s="2244"/>
      <c r="AX100" s="5240"/>
      <c r="AY100" s="2245"/>
      <c r="AZ100" s="1259" t="s">
        <v>532</v>
      </c>
      <c r="BA100" s="1643"/>
      <c r="BB100" s="1625"/>
      <c r="BC100" s="1625" t="str">
        <f>IF(V100="","",V100)</f>
        <v>Источник тепловой энергии  </v>
      </c>
      <c r="BD100" s="1625"/>
      <c r="BE100" s="1625"/>
      <c r="BF100" s="1636">
        <v>0</v>
      </c>
    </row>
    <row s="1851" customFormat="1" customHeight="1" ht="14.25">
      <c r="A101" s="1975"/>
      <c r="B101" s="1975"/>
      <c r="C101" s="1975"/>
      <c r="D101" s="1975"/>
      <c r="E101" s="2312" t="s">
        <v>94</v>
      </c>
      <c r="F101" s="2312"/>
      <c r="G101" s="2312"/>
      <c r="H101" s="2312"/>
      <c r="I101" s="2313" t="str">
        <f>U100&amp;".1"</f>
        <v>4.1.1.1.1</v>
      </c>
      <c r="J101" s="1975"/>
      <c r="K101" s="1975"/>
      <c r="L101" s="1975"/>
      <c r="M101" s="2183" t="s">
        <v>533</v>
      </c>
      <c r="N101" s="1636"/>
      <c r="O101" s="2398"/>
      <c r="P101" s="2398"/>
      <c r="Q101" s="2375">
        <v>1</v>
      </c>
      <c r="R101" s="2375"/>
      <c r="S101" s="2375"/>
      <c r="T101" s="357"/>
      <c r="U101" s="2305"/>
      <c r="V101" s="1384"/>
      <c r="W101" s="1385"/>
      <c r="X101" s="2297"/>
      <c r="Y101" s="2298"/>
      <c r="Z101" s="2298"/>
      <c r="AA101" s="2298"/>
      <c r="AB101" s="2298"/>
      <c r="AC101" s="2298"/>
      <c r="AD101" s="2298"/>
      <c r="AE101" s="2298"/>
      <c r="AF101" s="2299"/>
      <c r="AG101" s="2297"/>
      <c r="AH101" s="2298"/>
      <c r="AI101" s="2298"/>
      <c r="AJ101" s="2298"/>
      <c r="AK101" s="2298"/>
      <c r="AL101" s="2298"/>
      <c r="AM101" s="2298"/>
      <c r="AN101" s="2298"/>
      <c r="AO101" s="2298"/>
      <c r="AP101" s="2297"/>
      <c r="AQ101" s="2298"/>
      <c r="AR101" s="2298"/>
      <c r="AS101" s="2298"/>
      <c r="AT101" s="2298"/>
      <c r="AU101" s="2298"/>
      <c r="AV101" s="2298"/>
      <c r="AW101" s="2298"/>
      <c r="AX101" s="5309"/>
      <c r="AY101" s="2299"/>
      <c r="AZ101" s="1386"/>
      <c r="BA101" s="1643"/>
      <c r="BB101" s="1625"/>
      <c r="BC101" s="1625" t="str">
        <f>IF(V101="","",V101)</f>
        <v/>
      </c>
      <c r="BD101" s="1625"/>
      <c r="BE101" s="1625"/>
      <c r="BF101" s="1636">
        <v>0</v>
      </c>
    </row>
    <row s="1851" customFormat="1" customHeight="1" ht="21">
      <c r="A102" s="1975"/>
      <c r="B102" s="1975"/>
      <c r="C102" s="1975"/>
      <c r="D102" s="1975"/>
      <c r="E102" s="2312" t="s">
        <v>94</v>
      </c>
      <c r="F102" s="2312"/>
      <c r="G102" s="2312"/>
      <c r="H102" s="2312"/>
      <c r="I102" s="2263"/>
      <c r="J102" s="2313" t="str">
        <f>I101&amp;".1"</f>
        <v>4.1.1.1.1.1</v>
      </c>
      <c r="K102" s="1975"/>
      <c r="L102" s="1975"/>
      <c r="M102" s="2183" t="s">
        <v>536</v>
      </c>
      <c r="N102" s="1636"/>
      <c r="O102" s="1636"/>
      <c r="P102" s="2398"/>
      <c r="Q102" s="2375"/>
      <c r="R102" s="2375">
        <v>1</v>
      </c>
      <c r="S102" s="1643"/>
      <c r="T102" s="358"/>
      <c r="U102" s="2274" t="str">
        <f>$J102</f>
        <v>4.1.1.1.1.1</v>
      </c>
      <c r="V102" s="287" t="s">
        <v>537</v>
      </c>
      <c r="W102" s="301"/>
      <c r="X102" s="2246"/>
      <c r="Y102" s="2247"/>
      <c r="Z102" s="2247"/>
      <c r="AA102" s="2247"/>
      <c r="AB102" s="2247"/>
      <c r="AC102" s="2236"/>
      <c r="AD102" s="2236"/>
      <c r="AE102" s="2236"/>
      <c r="AF102" s="2309"/>
      <c r="AG102" s="2246" t="s">
        <v>576</v>
      </c>
      <c r="AH102" s="2247"/>
      <c r="AI102" s="2247"/>
      <c r="AJ102" s="2247"/>
      <c r="AK102" s="2247"/>
      <c r="AL102" s="2247"/>
      <c r="AM102" s="2247"/>
      <c r="AN102" s="2247"/>
      <c r="AO102" s="2247"/>
      <c r="AP102" s="2246"/>
      <c r="AQ102" s="2247"/>
      <c r="AR102" s="2247"/>
      <c r="AS102" s="2247"/>
      <c r="AT102" s="2247"/>
      <c r="AU102" s="2236"/>
      <c r="AV102" s="2236"/>
      <c r="AW102" s="2236"/>
      <c r="AX102" s="5321"/>
      <c r="AY102" s="2248"/>
      <c r="AZ102" s="1259" t="s">
        <v>538</v>
      </c>
      <c r="BA102" s="1643"/>
      <c r="BB102" s="1625"/>
      <c r="BC102" s="1625" t="str">
        <f>IF(V102="","",V102)</f>
        <v>Группа потребителей</v>
      </c>
      <c r="BD102" s="1625"/>
      <c r="BE102" s="1625"/>
      <c r="BF102" s="1636">
        <v>0</v>
      </c>
    </row>
    <row s="1851" customFormat="1" customHeight="1" ht="21">
      <c r="A103" s="1975"/>
      <c r="B103" s="1975"/>
      <c r="C103" s="1975"/>
      <c r="D103" s="1975"/>
      <c r="E103" s="2312" t="s">
        <v>94</v>
      </c>
      <c r="F103" s="2312"/>
      <c r="G103" s="2312"/>
      <c r="H103" s="2312"/>
      <c r="I103" s="2263"/>
      <c r="J103" s="2263"/>
      <c r="K103" s="2313" t="str">
        <f>J102&amp;".1"</f>
        <v>4.1.1.1.1.1.1</v>
      </c>
      <c r="L103" s="2126"/>
      <c r="M103" s="2183" t="s">
        <v>539</v>
      </c>
      <c r="N103" s="1636"/>
      <c r="O103" s="1636"/>
      <c r="P103" s="1636"/>
      <c r="Q103" s="2375"/>
      <c r="R103" s="2375"/>
      <c r="S103" s="2375">
        <v>1</v>
      </c>
      <c r="T103" s="358"/>
      <c r="U103" s="2274" t="str">
        <f>$K103</f>
        <v>4.1.1.1.1.1.1</v>
      </c>
      <c r="V103" s="1348" t="s">
        <v>594</v>
      </c>
      <c r="W103" s="301"/>
      <c r="X103" s="752"/>
      <c r="Y103" s="752"/>
      <c r="Z103" s="752"/>
      <c r="AA103" s="752"/>
      <c r="AB103" s="1406"/>
      <c r="AC103" s="2603"/>
      <c r="AD103" s="2108" t="s">
        <v>65</v>
      </c>
      <c r="AE103" s="2603"/>
      <c r="AF103" s="2108" t="s">
        <v>65</v>
      </c>
      <c r="AG103" s="1408"/>
      <c r="AH103" s="752">
        <v>53.82</v>
      </c>
      <c r="AI103" s="752">
        <v>2633.01</v>
      </c>
      <c r="AJ103" s="752"/>
      <c r="AK103" s="1258"/>
      <c r="AL103" s="2603">
        <v>46023</v>
      </c>
      <c r="AM103" s="2108" t="s">
        <v>65</v>
      </c>
      <c r="AN103" s="2603">
        <v>46295</v>
      </c>
      <c r="AO103" s="2108" t="s">
        <v>65</v>
      </c>
      <c r="AP103" s="752"/>
      <c r="AQ103" s="752">
        <v>53.82</v>
      </c>
      <c r="AR103" s="752">
        <v>4353.17</v>
      </c>
      <c r="AS103" s="752"/>
      <c r="AT103" s="1406"/>
      <c r="AU103" s="2603">
        <v>46296</v>
      </c>
      <c r="AV103" s="2108" t="s">
        <v>65</v>
      </c>
      <c r="AW103" s="2603">
        <v>46387</v>
      </c>
      <c r="AX103" s="2108" t="s">
        <v>65</v>
      </c>
      <c r="AY103" s="326"/>
      <c r="AZ103" s="1308" t="s">
        <v>582</v>
      </c>
      <c r="BA103" s="1643">
        <f>STRCHECKDATE(X105:AY105)</f>
      </c>
      <c r="BB103" s="1625"/>
      <c r="BC103" s="1625" t="str">
        <f>IF(V103="","",V103)</f>
        <v>горячая вода в системе централизованного теплоснабжения на горячее водоснабжение</v>
      </c>
      <c r="BD103" s="1625"/>
      <c r="BE103" s="1625"/>
      <c r="BF103" s="1636">
        <v>0</v>
      </c>
    </row>
    <row s="1851" customFormat="1" customHeight="1" ht="21">
      <c r="A104" s="1975"/>
      <c r="B104" s="1975"/>
      <c r="C104" s="1975"/>
      <c r="D104" s="1975"/>
      <c r="E104" s="2312" t="s">
        <v>94</v>
      </c>
      <c r="F104" s="2312"/>
      <c r="G104" s="2312"/>
      <c r="H104" s="2312"/>
      <c r="I104" s="2263"/>
      <c r="J104" s="2263"/>
      <c r="K104" s="2263"/>
      <c r="L104" s="2313" t="str">
        <f>K103&amp;".1"</f>
        <v>4.1.1.1.1.1.1.1</v>
      </c>
      <c r="M104" s="2183"/>
      <c r="N104" s="1636"/>
      <c r="O104" s="1636"/>
      <c r="P104" s="1636"/>
      <c r="Q104" s="2375"/>
      <c r="R104" s="2375"/>
      <c r="S104" s="2375"/>
      <c r="T104" s="358"/>
      <c r="U104" s="2274" t="str">
        <f>$L104</f>
        <v>4.1.1.1.1.1.1.1</v>
      </c>
      <c r="V104" s="1392"/>
      <c r="W104" s="301"/>
      <c r="X104" s="326"/>
      <c r="Y104" s="752"/>
      <c r="Z104" s="752"/>
      <c r="AA104" s="752"/>
      <c r="AB104" s="1406"/>
      <c r="AC104" s="2310"/>
      <c r="AD104" s="2108"/>
      <c r="AE104" s="2310"/>
      <c r="AF104" s="2108"/>
      <c r="AG104" s="1408"/>
      <c r="AH104" s="752"/>
      <c r="AI104" s="752"/>
      <c r="AJ104" s="752"/>
      <c r="AK104" s="1258"/>
      <c r="AL104" s="2310"/>
      <c r="AM104" s="2108"/>
      <c r="AN104" s="2310"/>
      <c r="AO104" s="2108"/>
      <c r="AP104" s="326"/>
      <c r="AQ104" s="752"/>
      <c r="AR104" s="752"/>
      <c r="AS104" s="752"/>
      <c r="AT104" s="1406"/>
      <c r="AU104" s="2310"/>
      <c r="AV104" s="2108"/>
      <c r="AW104" s="2310"/>
      <c r="AX104" s="2108"/>
      <c r="AY104" s="326"/>
      <c r="AZ104" s="2254" t="s">
        <v>583</v>
      </c>
      <c r="BA104" s="1643"/>
      <c r="BB104" s="1625"/>
      <c r="BC104" s="1625"/>
      <c r="BD104" s="1625"/>
      <c r="BE104" s="1625"/>
      <c r="BF104" s="1636">
        <v>0</v>
      </c>
    </row>
    <row s="1851" customFormat="1" customHeight="1" ht="14.25">
      <c r="A105" s="1975"/>
      <c r="B105" s="1975"/>
      <c r="C105" s="1975"/>
      <c r="D105" s="1975"/>
      <c r="E105" s="2312" t="s">
        <v>94</v>
      </c>
      <c r="F105" s="2312"/>
      <c r="G105" s="2312"/>
      <c r="H105" s="2312"/>
      <c r="I105" s="2263"/>
      <c r="J105" s="2263"/>
      <c r="K105" s="2263"/>
      <c r="L105" s="2313"/>
      <c r="M105" s="2183"/>
      <c r="N105" s="1636"/>
      <c r="O105" s="1636"/>
      <c r="P105" s="1636"/>
      <c r="Q105" s="2375"/>
      <c r="R105" s="2375"/>
      <c r="S105" s="2375"/>
      <c r="T105" s="358"/>
      <c r="U105" s="2514"/>
      <c r="V105" s="301"/>
      <c r="W105" s="301"/>
      <c r="X105" s="326"/>
      <c r="Y105" s="326"/>
      <c r="Z105" s="326"/>
      <c r="AA105" s="326"/>
      <c r="AB105" s="1407" t="str">
        <f>AC103&amp;"-"&amp;AE103</f>
        <v>-</v>
      </c>
      <c r="AC105" s="2310"/>
      <c r="AD105" s="2108"/>
      <c r="AE105" s="2310"/>
      <c r="AF105" s="2108"/>
      <c r="AG105" s="1383"/>
      <c r="AH105" s="326"/>
      <c r="AI105" s="326"/>
      <c r="AJ105" s="326"/>
      <c r="AK105" s="329" t="str">
        <f>AL103&amp;"-"&amp;AN103</f>
        <v>46023-46295</v>
      </c>
      <c r="AL105" s="2310"/>
      <c r="AM105" s="2108"/>
      <c r="AN105" s="2310"/>
      <c r="AO105" s="2108"/>
      <c r="AP105" s="326"/>
      <c r="AQ105" s="326"/>
      <c r="AR105" s="326"/>
      <c r="AS105" s="326"/>
      <c r="AT105" s="1407" t="str">
        <f>AU103&amp;"-"&amp;AW103</f>
        <v>46296-46387</v>
      </c>
      <c r="AU105" s="2310"/>
      <c r="AV105" s="2108"/>
      <c r="AW105" s="2310"/>
      <c r="AX105" s="2108"/>
      <c r="AY105" s="326"/>
      <c r="AZ105" s="2255"/>
      <c r="BA105" s="1643"/>
      <c r="BB105" s="1625"/>
      <c r="BC105" s="1625" t="str">
        <f>IF(V105="","",V105)</f>
        <v/>
      </c>
      <c r="BD105" s="1625"/>
      <c r="BE105" s="1625"/>
      <c r="BF105" s="1636">
        <v>0</v>
      </c>
    </row>
    <row s="1851" customFormat="1" customHeight="1" ht="11.25">
      <c r="A106" s="1975"/>
      <c r="B106" s="1975"/>
      <c r="C106" s="1975"/>
      <c r="D106" s="1975"/>
      <c r="E106" s="2312" t="s">
        <v>94</v>
      </c>
      <c r="F106" s="2312"/>
      <c r="G106" s="2312"/>
      <c r="H106" s="2312"/>
      <c r="I106" s="2263"/>
      <c r="J106" s="2263"/>
      <c r="K106" s="2313"/>
      <c r="L106" s="1975"/>
      <c r="M106" s="2183"/>
      <c r="N106" s="1636"/>
      <c r="O106" s="1636"/>
      <c r="P106" s="1636"/>
      <c r="Q106" s="2375"/>
      <c r="R106" s="2375"/>
      <c r="S106" s="2375"/>
      <c r="T106" s="358"/>
      <c r="U106" s="4592"/>
      <c r="V106" s="4593" t="s">
        <v>584</v>
      </c>
      <c r="W106" s="4594"/>
      <c r="X106" s="4595"/>
      <c r="Y106" s="4596"/>
      <c r="Z106" s="4597"/>
      <c r="AA106" s="4598"/>
      <c r="AB106" s="4599"/>
      <c r="AC106" s="2310"/>
      <c r="AD106" s="2108"/>
      <c r="AE106" s="2310"/>
      <c r="AF106" s="2108"/>
      <c r="AG106" s="4600"/>
      <c r="AH106" s="4601"/>
      <c r="AI106" s="4602"/>
      <c r="AJ106" s="4603"/>
      <c r="AK106" s="4604"/>
      <c r="AL106" s="2310"/>
      <c r="AM106" s="2108"/>
      <c r="AN106" s="2310"/>
      <c r="AO106" s="2108"/>
      <c r="AP106" s="4605"/>
      <c r="AQ106" s="4606"/>
      <c r="AR106" s="4607"/>
      <c r="AS106" s="4608"/>
      <c r="AT106" s="4609"/>
      <c r="AU106" s="2310"/>
      <c r="AV106" s="2108"/>
      <c r="AW106" s="2310"/>
      <c r="AX106" s="2108"/>
      <c r="AY106" s="4610"/>
      <c r="AZ106" s="2255"/>
      <c r="BA106" s="1643"/>
      <c r="BB106" s="1625"/>
      <c r="BC106" s="1625"/>
      <c r="BD106" s="1625"/>
      <c r="BE106" s="1625"/>
      <c r="BF106" s="1636">
        <v>0</v>
      </c>
    </row>
    <row s="1851" customFormat="1" customHeight="1" ht="15">
      <c r="A107" s="1975"/>
      <c r="B107" s="1975"/>
      <c r="C107" s="1975"/>
      <c r="D107" s="1975"/>
      <c r="E107" s="2312" t="s">
        <v>94</v>
      </c>
      <c r="F107" s="2312"/>
      <c r="G107" s="2312"/>
      <c r="H107" s="2312"/>
      <c r="I107" s="2263"/>
      <c r="J107" s="2313"/>
      <c r="K107" s="1975"/>
      <c r="L107" s="1975"/>
      <c r="M107" s="2183"/>
      <c r="N107" s="1636"/>
      <c r="O107" s="1636"/>
      <c r="P107" s="2398"/>
      <c r="Q107" s="2375"/>
      <c r="R107" s="2375"/>
      <c r="S107" s="2375"/>
      <c r="T107" s="357"/>
      <c r="U107" s="4611"/>
      <c r="V107" s="4612" t="s">
        <v>541</v>
      </c>
      <c r="W107" s="4613"/>
      <c r="X107" s="4614"/>
      <c r="Y107" s="4615"/>
      <c r="Z107" s="4616"/>
      <c r="AA107" s="4617"/>
      <c r="AB107" s="4618"/>
      <c r="AC107" s="4619"/>
      <c r="AD107" s="4620"/>
      <c r="AE107" s="4621"/>
      <c r="AF107" s="4622"/>
      <c r="AG107" s="4623"/>
      <c r="AH107" s="4624"/>
      <c r="AI107" s="4625"/>
      <c r="AJ107" s="4626"/>
      <c r="AK107" s="4627"/>
      <c r="AL107" s="4628"/>
      <c r="AM107" s="4629"/>
      <c r="AN107" s="4630"/>
      <c r="AO107" s="4631"/>
      <c r="AP107" s="4632"/>
      <c r="AQ107" s="4633"/>
      <c r="AR107" s="4634"/>
      <c r="AS107" s="4635"/>
      <c r="AT107" s="4636"/>
      <c r="AU107" s="4637"/>
      <c r="AV107" s="4638"/>
      <c r="AW107" s="4639"/>
      <c r="AX107" s="5330"/>
      <c r="AY107" s="4641"/>
      <c r="AZ107" s="2256"/>
      <c r="BA107" s="1643"/>
      <c r="BB107" s="1625"/>
      <c r="BC107" s="1625" t="str">
        <f>IF(V107="","",V107)</f>
        <v>Добавить вид теплоносителя (параметры теплоносителя)</v>
      </c>
      <c r="BD107" s="1625"/>
      <c r="BE107" s="1625"/>
      <c r="BF107" s="1636">
        <v>0</v>
      </c>
    </row>
    <row s="1851" customFormat="1" customHeight="1" ht="11.25">
      <c r="A108" s="1975"/>
      <c r="B108" s="1975"/>
      <c r="C108" s="1975"/>
      <c r="D108" s="1975"/>
      <c r="E108" s="2312" t="s">
        <v>94</v>
      </c>
      <c r="F108" s="2312"/>
      <c r="G108" s="2312"/>
      <c r="H108" s="2312"/>
      <c r="I108" s="2313"/>
      <c r="J108" s="1975"/>
      <c r="K108" s="1975"/>
      <c r="L108" s="1975"/>
      <c r="M108" s="2183"/>
      <c r="N108" s="1636"/>
      <c r="O108" s="2398"/>
      <c r="P108" s="2398"/>
      <c r="Q108" s="2375"/>
      <c r="R108" s="2375"/>
      <c r="S108" s="2375"/>
      <c r="T108" s="357"/>
      <c r="U108" s="4642"/>
      <c r="V108" s="4643" t="s">
        <v>542</v>
      </c>
      <c r="W108" s="4644"/>
      <c r="X108" s="4645"/>
      <c r="Y108" s="4646"/>
      <c r="Z108" s="4647"/>
      <c r="AA108" s="4648"/>
      <c r="AB108" s="4649"/>
      <c r="AC108" s="4650"/>
      <c r="AD108" s="4651"/>
      <c r="AE108" s="4652"/>
      <c r="AF108" s="4653"/>
      <c r="AG108" s="4654"/>
      <c r="AH108" s="4655"/>
      <c r="AI108" s="4656"/>
      <c r="AJ108" s="4657"/>
      <c r="AK108" s="4658"/>
      <c r="AL108" s="4659"/>
      <c r="AM108" s="4660"/>
      <c r="AN108" s="4661"/>
      <c r="AO108" s="4662"/>
      <c r="AP108" s="4663"/>
      <c r="AQ108" s="4664"/>
      <c r="AR108" s="4665"/>
      <c r="AS108" s="4666"/>
      <c r="AT108" s="4667"/>
      <c r="AU108" s="4668"/>
      <c r="AV108" s="4669"/>
      <c r="AW108" s="4670"/>
      <c r="AX108" s="5331"/>
      <c r="AY108" s="4672"/>
      <c r="AZ108" s="4673"/>
      <c r="BA108" s="1643"/>
      <c r="BB108" s="1625"/>
      <c r="BC108" s="1625" t="str">
        <f>IF(V108="","",V108)</f>
        <v>Добавить группу потребителей</v>
      </c>
      <c r="BD108" s="1625"/>
      <c r="BE108" s="1625"/>
      <c r="BF108" s="1636">
        <v>0</v>
      </c>
    </row>
    <row s="1851" customFormat="1" customHeight="1" ht="14.25">
      <c r="A109" s="1975"/>
      <c r="B109" s="1975"/>
      <c r="C109" s="1975"/>
      <c r="D109" s="1975"/>
      <c r="E109" s="2312" t="s">
        <v>94</v>
      </c>
      <c r="F109" s="2312"/>
      <c r="G109" s="2312"/>
      <c r="H109" s="2311"/>
      <c r="I109" s="1975"/>
      <c r="J109" s="1975"/>
      <c r="K109" s="1975"/>
      <c r="L109" s="1975"/>
      <c r="M109" s="2183"/>
      <c r="N109" s="2408"/>
      <c r="O109" s="2408"/>
      <c r="P109" s="1636"/>
      <c r="Q109" s="1824"/>
      <c r="R109" s="376"/>
      <c r="S109" s="356"/>
      <c r="T109" s="1824"/>
      <c r="U109" s="1387"/>
      <c r="V109" s="1388"/>
      <c r="W109" s="1389"/>
      <c r="X109" s="1389"/>
      <c r="Y109" s="1389"/>
      <c r="Z109" s="1389"/>
      <c r="AA109" s="1389"/>
      <c r="AB109" s="1389"/>
      <c r="AC109" s="1389"/>
      <c r="AD109" s="1389"/>
      <c r="AE109" s="1389"/>
      <c r="AF109" s="1389"/>
      <c r="AG109" s="1389"/>
      <c r="AH109" s="1389"/>
      <c r="AI109" s="1389"/>
      <c r="AJ109" s="1389"/>
      <c r="AK109" s="1389"/>
      <c r="AL109" s="1389"/>
      <c r="AM109" s="1389"/>
      <c r="AN109" s="1389"/>
      <c r="AO109" s="1389"/>
      <c r="AP109" s="1389"/>
      <c r="AQ109" s="1389"/>
      <c r="AR109" s="1389"/>
      <c r="AS109" s="1389"/>
      <c r="AT109" s="1389"/>
      <c r="AU109" s="1389"/>
      <c r="AV109" s="1389"/>
      <c r="AW109" s="1389"/>
      <c r="AX109" s="1389"/>
      <c r="AY109" s="1389"/>
      <c r="AZ109" s="1390"/>
      <c r="BA109" s="1643"/>
      <c r="BB109" s="1625"/>
      <c r="BC109" s="1625" t="str">
        <f>IF(V109="","",V109)</f>
        <v/>
      </c>
      <c r="BD109" s="1625"/>
      <c r="BE109" s="1625"/>
      <c r="BF109" s="1636">
        <v>0</v>
      </c>
    </row>
    <row s="623" customFormat="1" customHeight="1" ht="14.25">
      <c r="A110" s="1376"/>
      <c r="B110" s="1376"/>
      <c r="C110" s="1376"/>
      <c r="D110" s="1376"/>
      <c r="E110" s="2312" t="s">
        <v>94</v>
      </c>
      <c r="F110" s="2312"/>
      <c r="G110" s="2311"/>
      <c r="H110" s="1376"/>
      <c r="I110" s="1376"/>
      <c r="J110" s="1376"/>
      <c r="K110" s="1376"/>
      <c r="L110" s="1376"/>
      <c r="M110" s="1382"/>
      <c r="N110" s="1379"/>
      <c r="O110" s="1379"/>
      <c r="P110" s="1642"/>
      <c r="Q110" s="1317"/>
      <c r="R110" s="1345"/>
      <c r="S110" s="1317"/>
      <c r="T110" s="1317"/>
      <c r="U110" s="1319"/>
      <c r="V110" s="1320" t="s">
        <v>177</v>
      </c>
      <c r="W110" s="1321"/>
      <c r="X110" s="1321"/>
      <c r="Y110" s="1321"/>
      <c r="Z110" s="1321"/>
      <c r="AA110" s="1321"/>
      <c r="AB110" s="1321"/>
      <c r="AC110" s="1321"/>
      <c r="AD110" s="1321"/>
      <c r="AE110" s="1321"/>
      <c r="AF110" s="1321"/>
      <c r="AG110" s="1321"/>
      <c r="AH110" s="1321"/>
      <c r="AI110" s="1321"/>
      <c r="AJ110" s="1321"/>
      <c r="AK110" s="1321"/>
      <c r="AL110" s="1321"/>
      <c r="AM110" s="1321"/>
      <c r="AN110" s="1321"/>
      <c r="AO110" s="1321"/>
      <c r="AP110" s="1321"/>
      <c r="AQ110" s="1321"/>
      <c r="AR110" s="1321"/>
      <c r="AS110" s="1321"/>
      <c r="AT110" s="1321"/>
      <c r="AU110" s="1321"/>
      <c r="AV110" s="1321"/>
      <c r="AW110" s="1321"/>
      <c r="AX110" s="1321"/>
      <c r="AY110" s="1321"/>
      <c r="AZ110" s="1321"/>
      <c r="BA110" s="1643"/>
      <c r="BB110" s="1625"/>
      <c r="BC110" s="1625" t="str">
        <f>IF(V110="","",V110)</f>
        <v>Добавить источник для дифференциации</v>
      </c>
      <c r="BD110" s="1625"/>
      <c r="BE110" s="1625"/>
      <c r="BF110" s="1643">
        <v>0</v>
      </c>
    </row>
    <row s="623" customFormat="1" customHeight="1" ht="14.25">
      <c r="A111" s="1376"/>
      <c r="B111" s="1376"/>
      <c r="C111" s="1376"/>
      <c r="D111" s="1376"/>
      <c r="E111" s="2312" t="s">
        <v>94</v>
      </c>
      <c r="F111" s="2311"/>
      <c r="G111" s="1376"/>
      <c r="H111" s="1376"/>
      <c r="I111" s="1376"/>
      <c r="J111" s="1376"/>
      <c r="K111" s="1376"/>
      <c r="L111" s="1376"/>
      <c r="M111" s="1382"/>
      <c r="N111" s="1380"/>
      <c r="O111" s="1380"/>
      <c r="P111" s="1642"/>
      <c r="Q111" s="1317"/>
      <c r="R111" s="1345"/>
      <c r="S111" s="1317"/>
      <c r="T111" s="1317"/>
      <c r="U111" s="1323"/>
      <c r="V111" s="1324" t="s">
        <v>178</v>
      </c>
      <c r="W111" s="1325"/>
      <c r="X111" s="1325"/>
      <c r="Y111" s="1325"/>
      <c r="Z111" s="1325"/>
      <c r="AA111" s="1325"/>
      <c r="AB111" s="1325"/>
      <c r="AC111" s="1325"/>
      <c r="AD111" s="1325"/>
      <c r="AE111" s="1325"/>
      <c r="AF111" s="1325"/>
      <c r="AG111" s="1325"/>
      <c r="AH111" s="1325"/>
      <c r="AI111" s="1325"/>
      <c r="AJ111" s="1325"/>
      <c r="AK111" s="1325"/>
      <c r="AL111" s="1325"/>
      <c r="AM111" s="1325"/>
      <c r="AN111" s="1325"/>
      <c r="AO111" s="1325"/>
      <c r="AP111" s="1325"/>
      <c r="AQ111" s="1325"/>
      <c r="AR111" s="1325"/>
      <c r="AS111" s="1325"/>
      <c r="AT111" s="1325"/>
      <c r="AU111" s="1325"/>
      <c r="AV111" s="1325"/>
      <c r="AW111" s="1325"/>
      <c r="AX111" s="1325"/>
      <c r="AY111" s="1325"/>
      <c r="AZ111" s="1325"/>
      <c r="BA111" s="1643"/>
      <c r="BB111" s="1625"/>
      <c r="BC111" s="1625" t="str">
        <f>IF(V111="","",V111)</f>
        <v>Добавить централизованную систему для дифференциации</v>
      </c>
      <c r="BD111" s="1625"/>
      <c r="BE111" s="1625"/>
      <c r="BF111" s="1643">
        <v>0</v>
      </c>
    </row>
    <row s="623" customFormat="1" customHeight="1" ht="14.25">
      <c r="A112" s="1376"/>
      <c r="B112" s="1376"/>
      <c r="C112" s="1376"/>
      <c r="D112" s="1376"/>
      <c r="E112" s="2311" t="s">
        <v>94</v>
      </c>
      <c r="F112" s="1376"/>
      <c r="G112" s="1376"/>
      <c r="H112" s="1376"/>
      <c r="I112" s="1376"/>
      <c r="J112" s="1376"/>
      <c r="K112" s="1376"/>
      <c r="L112" s="1376"/>
      <c r="M112" s="1382"/>
      <c r="N112" s="1380"/>
      <c r="O112" s="1380"/>
      <c r="P112" s="1642"/>
      <c r="Q112" s="1317"/>
      <c r="R112" s="1345"/>
      <c r="S112" s="1317"/>
      <c r="T112" s="1317"/>
      <c r="U112" s="1323"/>
      <c r="V112" s="1326" t="s">
        <v>183</v>
      </c>
      <c r="W112" s="1325"/>
      <c r="X112" s="1325"/>
      <c r="Y112" s="1325"/>
      <c r="Z112" s="1325"/>
      <c r="AA112" s="1325"/>
      <c r="AB112" s="1325"/>
      <c r="AC112" s="1325"/>
      <c r="AD112" s="1325"/>
      <c r="AE112" s="1325"/>
      <c r="AF112" s="1325"/>
      <c r="AG112" s="1325"/>
      <c r="AH112" s="1325"/>
      <c r="AI112" s="1325"/>
      <c r="AJ112" s="1325"/>
      <c r="AK112" s="1325"/>
      <c r="AL112" s="1325"/>
      <c r="AM112" s="1325"/>
      <c r="AN112" s="1325"/>
      <c r="AO112" s="1325"/>
      <c r="AP112" s="1325"/>
      <c r="AQ112" s="1325"/>
      <c r="AR112" s="1325"/>
      <c r="AS112" s="1325"/>
      <c r="AT112" s="1325"/>
      <c r="AU112" s="1325"/>
      <c r="AV112" s="1325"/>
      <c r="AW112" s="1325"/>
      <c r="AX112" s="1325"/>
      <c r="AY112" s="1325"/>
      <c r="AZ112" s="1325"/>
      <c r="BA112" s="1643"/>
      <c r="BB112" s="1625"/>
      <c r="BC112" s="1625" t="str">
        <f>IF(V112="","",V112)</f>
        <v>Добавить территорию для дифференциации</v>
      </c>
      <c r="BD112" s="1625"/>
      <c r="BE112" s="1625"/>
      <c r="BF112" s="1643">
        <v>0</v>
      </c>
    </row>
    <row s="1851" customFormat="1" customHeight="1" ht="21">
      <c r="A113" s="1975" t="s">
        <v>293</v>
      </c>
      <c r="B113" s="1975"/>
      <c r="C113" s="1975"/>
      <c r="D113" s="1975"/>
      <c r="E113" s="2311" t="s">
        <v>124</v>
      </c>
      <c r="F113" s="1975"/>
      <c r="G113" s="1975"/>
      <c r="H113" s="1975"/>
      <c r="I113" s="1975"/>
      <c r="J113" s="1975"/>
      <c r="K113" s="1975"/>
      <c r="L113" s="1975"/>
      <c r="M113" s="2183"/>
      <c r="N113" s="2408"/>
      <c r="O113" s="2408"/>
      <c r="P113" s="2408"/>
      <c r="Q113" s="2398"/>
      <c r="R113" s="1824"/>
      <c r="S113" s="1824"/>
      <c r="T113" s="356"/>
      <c r="U113" s="2274" t="str">
        <f>INDEX(PT_DIFFERENTIATION_NUM_NTAR,MATCH(A113,PT_DIFFERENTIATION_NTAR_ID,0))</f>
        <v>5</v>
      </c>
      <c r="V113" s="1526" t="s">
        <v>136</v>
      </c>
      <c r="W113" s="301"/>
      <c r="X113" s="2243"/>
      <c r="Y113" s="2244"/>
      <c r="Z113" s="2244"/>
      <c r="AA113" s="2244"/>
      <c r="AB113" s="2244"/>
      <c r="AC113" s="2244"/>
      <c r="AD113" s="2244"/>
      <c r="AE113" s="2244"/>
      <c r="AF113" s="2245"/>
      <c r="AG113" s="2243" t="str">
        <f>INDEX(PT_DIFFERENTIATION_NTAR,MATCH(A113,PT_DIFFERENTIATION_NTAR_ID,0))</f>
        <v>Тарифы на горячую воду в открытых системах теплоснабжения (горячее водоснабжение), поставляемую потребителям. Муниципальный округ город Апатиты с подведомственной территорией Мурманской области. Для потребителей, подключенных к тепловым сетям АО "Апатитыэнерго"</v>
      </c>
      <c r="AH113" s="2244"/>
      <c r="AI113" s="2244"/>
      <c r="AJ113" s="2244"/>
      <c r="AK113" s="2244"/>
      <c r="AL113" s="2244"/>
      <c r="AM113" s="2244"/>
      <c r="AN113" s="2244"/>
      <c r="AO113" s="2244"/>
      <c r="AP113" s="2243"/>
      <c r="AQ113" s="2244"/>
      <c r="AR113" s="2244"/>
      <c r="AS113" s="2244"/>
      <c r="AT113" s="2244"/>
      <c r="AU113" s="2244"/>
      <c r="AV113" s="2244"/>
      <c r="AW113" s="2244"/>
      <c r="AX113" s="5240"/>
      <c r="AY113" s="2245"/>
      <c r="AZ113" s="1259" t="s">
        <v>526</v>
      </c>
      <c r="BA113" s="1643"/>
      <c r="BB113" s="1625"/>
      <c r="BC113" s="1625" t="str">
        <f>IF(V113="","",V113)</f>
        <v>Наименование тарифа</v>
      </c>
      <c r="BD113" s="1625"/>
      <c r="BE113" s="1625"/>
      <c r="BF113" s="1636">
        <v>0</v>
      </c>
    </row>
    <row s="1851" customFormat="1" customHeight="1" ht="21">
      <c r="A114" s="1975"/>
      <c r="B114" s="1975" t="s">
        <v>294</v>
      </c>
      <c r="C114" s="1975"/>
      <c r="D114" s="1975"/>
      <c r="E114" s="2312" t="s">
        <v>95</v>
      </c>
      <c r="F114" s="2311">
        <v>1</v>
      </c>
      <c r="G114" s="1975"/>
      <c r="H114" s="1975"/>
      <c r="I114" s="1975"/>
      <c r="J114" s="1975"/>
      <c r="K114" s="1975"/>
      <c r="L114" s="1975"/>
      <c r="M114" s="2183"/>
      <c r="N114" s="2408"/>
      <c r="O114" s="2408"/>
      <c r="P114" s="2408"/>
      <c r="Q114" s="2126"/>
      <c r="R114" s="353"/>
      <c r="S114" s="1636"/>
      <c r="T114" s="354"/>
      <c r="U114" s="2274" t="str">
        <f>INDEX(PT_DIFFERENTIATION_NUM_TER,MATCH(B114,PT_DIFFERENTIATION_TER_ID,0))</f>
        <v>5.1</v>
      </c>
      <c r="V114" s="1523" t="s">
        <v>527</v>
      </c>
      <c r="W114" s="301"/>
      <c r="X114" s="2243"/>
      <c r="Y114" s="2244"/>
      <c r="Z114" s="2244"/>
      <c r="AA114" s="2244"/>
      <c r="AB114" s="2244"/>
      <c r="AC114" s="2244"/>
      <c r="AD114" s="2244"/>
      <c r="AE114" s="2244"/>
      <c r="AF114" s="2245"/>
      <c r="AG114" s="2243" t="str">
        <f>INDEX(PT_DIFFERENTIATION_TER,MATCH(B114,PT_DIFFERENTIATION_TER_ID,0))</f>
        <v>Территория 1</v>
      </c>
      <c r="AH114" s="2244"/>
      <c r="AI114" s="2244"/>
      <c r="AJ114" s="2244"/>
      <c r="AK114" s="2244"/>
      <c r="AL114" s="2244"/>
      <c r="AM114" s="2244"/>
      <c r="AN114" s="2244"/>
      <c r="AO114" s="2244"/>
      <c r="AP114" s="2243"/>
      <c r="AQ114" s="2244"/>
      <c r="AR114" s="2244"/>
      <c r="AS114" s="2244"/>
      <c r="AT114" s="2244"/>
      <c r="AU114" s="2244"/>
      <c r="AV114" s="2244"/>
      <c r="AW114" s="2244"/>
      <c r="AX114" s="5240"/>
      <c r="AY114" s="2245"/>
      <c r="AZ114" s="1259" t="s">
        <v>528</v>
      </c>
      <c r="BA114" s="1643"/>
      <c r="BB114" s="1625"/>
      <c r="BC114" s="1625" t="str">
        <f>IF(V114="","",V114)</f>
        <v>Территория действия тарифа</v>
      </c>
      <c r="BD114" s="1625"/>
      <c r="BE114" s="1625"/>
      <c r="BF114" s="1636">
        <v>0</v>
      </c>
    </row>
    <row s="1851" customFormat="1" customHeight="1" ht="22.5">
      <c r="A115" s="1975"/>
      <c r="B115" s="1975"/>
      <c r="C115" s="1975" t="s">
        <v>295</v>
      </c>
      <c r="D115" s="1975"/>
      <c r="E115" s="2312" t="s">
        <v>95</v>
      </c>
      <c r="F115" s="2312"/>
      <c r="G115" s="2311">
        <v>1</v>
      </c>
      <c r="H115" s="1975"/>
      <c r="I115" s="1975"/>
      <c r="J115" s="1975"/>
      <c r="K115" s="1975"/>
      <c r="L115" s="1975"/>
      <c r="M115" s="2183"/>
      <c r="N115" s="2408"/>
      <c r="O115" s="2408"/>
      <c r="P115" s="2408"/>
      <c r="Q115" s="355"/>
      <c r="R115" s="353"/>
      <c r="S115" s="1636"/>
      <c r="T115" s="354"/>
      <c r="U115" s="2274" t="str">
        <f>INDEX(PT_DIFFERENTIATION_NUM_CS,MATCH(C115,PT_DIFFERENTIATION_CS_ID,0))</f>
        <v>5.1.1</v>
      </c>
      <c r="V115" s="310" t="s">
        <v>529</v>
      </c>
      <c r="W115" s="301"/>
      <c r="X115" s="2243"/>
      <c r="Y115" s="2244"/>
      <c r="Z115" s="2244"/>
      <c r="AA115" s="2244"/>
      <c r="AB115" s="2244"/>
      <c r="AC115" s="2244"/>
      <c r="AD115" s="2244"/>
      <c r="AE115" s="2244"/>
      <c r="AF115" s="2245"/>
      <c r="AG115" s="2243" t="str">
        <f>INDEX(PT_DIFFERENTIATION_CS,MATCH(C115,PT_DIFFERENTIATION_CS_ID,0))</f>
        <v>открытая система теплоснабжения г. Апатиты</v>
      </c>
      <c r="AH115" s="2244"/>
      <c r="AI115" s="2244"/>
      <c r="AJ115" s="2244"/>
      <c r="AK115" s="2244"/>
      <c r="AL115" s="2244"/>
      <c r="AM115" s="2244"/>
      <c r="AN115" s="2244"/>
      <c r="AO115" s="2244"/>
      <c r="AP115" s="2243"/>
      <c r="AQ115" s="2244"/>
      <c r="AR115" s="2244"/>
      <c r="AS115" s="2244"/>
      <c r="AT115" s="2244"/>
      <c r="AU115" s="2244"/>
      <c r="AV115" s="2244"/>
      <c r="AW115" s="2244"/>
      <c r="AX115" s="5240"/>
      <c r="AY115" s="2245"/>
      <c r="AZ115" s="1259" t="s">
        <v>530</v>
      </c>
      <c r="BA115" s="1643"/>
      <c r="BB115" s="1625"/>
      <c r="BC115" s="1625" t="str">
        <f>IF(V115="","",V115)</f>
        <v>Наименование системы теплоснабжения </v>
      </c>
      <c r="BD115" s="1625"/>
      <c r="BE115" s="1625"/>
      <c r="BF115" s="1636">
        <v>0</v>
      </c>
    </row>
    <row s="1851" customFormat="1" customHeight="1" ht="21">
      <c r="A116" s="1975"/>
      <c r="B116" s="1975"/>
      <c r="C116" s="1975"/>
      <c r="D116" s="1975" t="s">
        <v>296</v>
      </c>
      <c r="E116" s="2312" t="s">
        <v>95</v>
      </c>
      <c r="F116" s="2312"/>
      <c r="G116" s="2312"/>
      <c r="H116" s="2311">
        <v>1</v>
      </c>
      <c r="I116" s="1975"/>
      <c r="J116" s="1975"/>
      <c r="K116" s="1975"/>
      <c r="L116" s="1975"/>
      <c r="M116" s="2183"/>
      <c r="N116" s="2408"/>
      <c r="O116" s="2408"/>
      <c r="P116" s="2408"/>
      <c r="Q116" s="355"/>
      <c r="R116" s="353"/>
      <c r="S116" s="1636"/>
      <c r="T116" s="354"/>
      <c r="U116" s="2274" t="str">
        <f>INDEX(PT_DIFFERENTIATION_NUM_IST_TE,MATCH(D116,PT_DIFFERENTIATION_IST_TE_ID,0))</f>
        <v>5.1.1.1</v>
      </c>
      <c r="V116" s="311" t="s">
        <v>531</v>
      </c>
      <c r="W116" s="301"/>
      <c r="X116" s="2243"/>
      <c r="Y116" s="2244"/>
      <c r="Z116" s="2244"/>
      <c r="AA116" s="2244"/>
      <c r="AB116" s="2244"/>
      <c r="AC116" s="2244"/>
      <c r="AD116" s="2244"/>
      <c r="AE116" s="2244"/>
      <c r="AF116" s="2245"/>
      <c r="AG116" s="2243" t="str">
        <f>INDEX(PT_DIFFERENTIATION_IST_TE,MATCH(D116,PT_DIFFERENTIATION_IST_TE_ID,0))</f>
        <v>Апатитская ТЭЦ</v>
      </c>
      <c r="AH116" s="2244"/>
      <c r="AI116" s="2244"/>
      <c r="AJ116" s="2244"/>
      <c r="AK116" s="2244"/>
      <c r="AL116" s="2244"/>
      <c r="AM116" s="2244"/>
      <c r="AN116" s="2244"/>
      <c r="AO116" s="2244"/>
      <c r="AP116" s="2243"/>
      <c r="AQ116" s="2244"/>
      <c r="AR116" s="2244"/>
      <c r="AS116" s="2244"/>
      <c r="AT116" s="2244"/>
      <c r="AU116" s="2244"/>
      <c r="AV116" s="2244"/>
      <c r="AW116" s="2244"/>
      <c r="AX116" s="5240"/>
      <c r="AY116" s="2245"/>
      <c r="AZ116" s="1259" t="s">
        <v>532</v>
      </c>
      <c r="BA116" s="1643"/>
      <c r="BB116" s="1625"/>
      <c r="BC116" s="1625" t="str">
        <f>IF(V116="","",V116)</f>
        <v>Источник тепловой энергии  </v>
      </c>
      <c r="BD116" s="1625"/>
      <c r="BE116" s="1625"/>
      <c r="BF116" s="1636">
        <v>0</v>
      </c>
    </row>
    <row s="1851" customFormat="1" customHeight="1" ht="14.25">
      <c r="A117" s="1975"/>
      <c r="B117" s="1975"/>
      <c r="C117" s="1975"/>
      <c r="D117" s="1975"/>
      <c r="E117" s="2312" t="s">
        <v>95</v>
      </c>
      <c r="F117" s="2312"/>
      <c r="G117" s="2312"/>
      <c r="H117" s="2312"/>
      <c r="I117" s="2313" t="str">
        <f>U116&amp;".1"</f>
        <v>5.1.1.1.1</v>
      </c>
      <c r="J117" s="1975"/>
      <c r="K117" s="1975"/>
      <c r="L117" s="1975"/>
      <c r="M117" s="2183" t="s">
        <v>533</v>
      </c>
      <c r="N117" s="1636"/>
      <c r="O117" s="2398"/>
      <c r="P117" s="2398"/>
      <c r="Q117" s="2375">
        <v>1</v>
      </c>
      <c r="R117" s="2375"/>
      <c r="S117" s="2375"/>
      <c r="T117" s="357"/>
      <c r="U117" s="2305"/>
      <c r="V117" s="1384"/>
      <c r="W117" s="1385"/>
      <c r="X117" s="2297"/>
      <c r="Y117" s="2298"/>
      <c r="Z117" s="2298"/>
      <c r="AA117" s="2298"/>
      <c r="AB117" s="2298"/>
      <c r="AC117" s="2298"/>
      <c r="AD117" s="2298"/>
      <c r="AE117" s="2298"/>
      <c r="AF117" s="2299"/>
      <c r="AG117" s="2297"/>
      <c r="AH117" s="2298"/>
      <c r="AI117" s="2298"/>
      <c r="AJ117" s="2298"/>
      <c r="AK117" s="2298"/>
      <c r="AL117" s="2298"/>
      <c r="AM117" s="2298"/>
      <c r="AN117" s="2298"/>
      <c r="AO117" s="2298"/>
      <c r="AP117" s="2297"/>
      <c r="AQ117" s="2298"/>
      <c r="AR117" s="2298"/>
      <c r="AS117" s="2298"/>
      <c r="AT117" s="2298"/>
      <c r="AU117" s="2298"/>
      <c r="AV117" s="2298"/>
      <c r="AW117" s="2298"/>
      <c r="AX117" s="5309"/>
      <c r="AY117" s="2299"/>
      <c r="AZ117" s="1386"/>
      <c r="BA117" s="1643"/>
      <c r="BB117" s="1625"/>
      <c r="BC117" s="1625" t="str">
        <f>IF(V117="","",V117)</f>
        <v/>
      </c>
      <c r="BD117" s="1625"/>
      <c r="BE117" s="1625"/>
      <c r="BF117" s="1636">
        <v>0</v>
      </c>
    </row>
    <row s="1851" customFormat="1" customHeight="1" ht="21">
      <c r="A118" s="1975"/>
      <c r="B118" s="1975"/>
      <c r="C118" s="1975"/>
      <c r="D118" s="1975"/>
      <c r="E118" s="2312" t="s">
        <v>95</v>
      </c>
      <c r="F118" s="2312"/>
      <c r="G118" s="2312"/>
      <c r="H118" s="2312"/>
      <c r="I118" s="2263"/>
      <c r="J118" s="2313" t="str">
        <f>I117&amp;".1"</f>
        <v>5.1.1.1.1.1</v>
      </c>
      <c r="K118" s="1975"/>
      <c r="L118" s="1975"/>
      <c r="M118" s="2183" t="s">
        <v>536</v>
      </c>
      <c r="N118" s="1636"/>
      <c r="O118" s="1636"/>
      <c r="P118" s="2398"/>
      <c r="Q118" s="2375"/>
      <c r="R118" s="2375">
        <v>1</v>
      </c>
      <c r="S118" s="1643"/>
      <c r="T118" s="358"/>
      <c r="U118" s="2274" t="str">
        <f>$J118</f>
        <v>5.1.1.1.1.1</v>
      </c>
      <c r="V118" s="287" t="s">
        <v>537</v>
      </c>
      <c r="W118" s="301"/>
      <c r="X118" s="2246"/>
      <c r="Y118" s="2247"/>
      <c r="Z118" s="2247"/>
      <c r="AA118" s="2247"/>
      <c r="AB118" s="2247"/>
      <c r="AC118" s="2236"/>
      <c r="AD118" s="2236"/>
      <c r="AE118" s="2236"/>
      <c r="AF118" s="2309"/>
      <c r="AG118" s="2246" t="s">
        <v>576</v>
      </c>
      <c r="AH118" s="2247"/>
      <c r="AI118" s="2247"/>
      <c r="AJ118" s="2247"/>
      <c r="AK118" s="2247"/>
      <c r="AL118" s="2247"/>
      <c r="AM118" s="2247"/>
      <c r="AN118" s="2247"/>
      <c r="AO118" s="2247"/>
      <c r="AP118" s="2246"/>
      <c r="AQ118" s="2247"/>
      <c r="AR118" s="2247"/>
      <c r="AS118" s="2247"/>
      <c r="AT118" s="2247"/>
      <c r="AU118" s="2236"/>
      <c r="AV118" s="2236"/>
      <c r="AW118" s="2236"/>
      <c r="AX118" s="5321"/>
      <c r="AY118" s="2248"/>
      <c r="AZ118" s="1259" t="s">
        <v>538</v>
      </c>
      <c r="BA118" s="1643"/>
      <c r="BB118" s="1625"/>
      <c r="BC118" s="1625" t="str">
        <f>IF(V118="","",V118)</f>
        <v>Группа потребителей</v>
      </c>
      <c r="BD118" s="1625"/>
      <c r="BE118" s="1625"/>
      <c r="BF118" s="1636">
        <v>0</v>
      </c>
    </row>
    <row s="1851" customFormat="1" customHeight="1" ht="21">
      <c r="A119" s="1975"/>
      <c r="B119" s="1975"/>
      <c r="C119" s="1975"/>
      <c r="D119" s="1975"/>
      <c r="E119" s="2312" t="s">
        <v>95</v>
      </c>
      <c r="F119" s="2312"/>
      <c r="G119" s="2312"/>
      <c r="H119" s="2312"/>
      <c r="I119" s="2263"/>
      <c r="J119" s="2263"/>
      <c r="K119" s="2313" t="str">
        <f>J118&amp;".1"</f>
        <v>5.1.1.1.1.1.1</v>
      </c>
      <c r="L119" s="2126"/>
      <c r="M119" s="2183" t="s">
        <v>539</v>
      </c>
      <c r="N119" s="1636"/>
      <c r="O119" s="1636"/>
      <c r="P119" s="1636"/>
      <c r="Q119" s="2375"/>
      <c r="R119" s="2375"/>
      <c r="S119" s="2375">
        <v>1</v>
      </c>
      <c r="T119" s="358"/>
      <c r="U119" s="2274" t="str">
        <f>$K119</f>
        <v>5.1.1.1.1.1.1</v>
      </c>
      <c r="V119" s="1348" t="s">
        <v>594</v>
      </c>
      <c r="W119" s="301"/>
      <c r="X119" s="752"/>
      <c r="Y119" s="752"/>
      <c r="Z119" s="752"/>
      <c r="AA119" s="752"/>
      <c r="AB119" s="1406"/>
      <c r="AC119" s="2603"/>
      <c r="AD119" s="2108" t="s">
        <v>65</v>
      </c>
      <c r="AE119" s="2603"/>
      <c r="AF119" s="2108" t="s">
        <v>65</v>
      </c>
      <c r="AG119" s="1408"/>
      <c r="AH119" s="752">
        <v>53.82</v>
      </c>
      <c r="AI119" s="752">
        <v>3190.34</v>
      </c>
      <c r="AJ119" s="752"/>
      <c r="AK119" s="1258"/>
      <c r="AL119" s="2603">
        <v>46023</v>
      </c>
      <c r="AM119" s="2108" t="s">
        <v>65</v>
      </c>
      <c r="AN119" s="2603">
        <v>46295</v>
      </c>
      <c r="AO119" s="2108" t="s">
        <v>65</v>
      </c>
      <c r="AP119" s="752"/>
      <c r="AQ119" s="752">
        <v>53.82</v>
      </c>
      <c r="AR119" s="752">
        <v>3190.34</v>
      </c>
      <c r="AS119" s="752"/>
      <c r="AT119" s="1406"/>
      <c r="AU119" s="2603">
        <v>46296</v>
      </c>
      <c r="AV119" s="2108" t="s">
        <v>65</v>
      </c>
      <c r="AW119" s="2603">
        <v>46387</v>
      </c>
      <c r="AX119" s="2108" t="s">
        <v>65</v>
      </c>
      <c r="AY119" s="326"/>
      <c r="AZ119" s="1308" t="s">
        <v>582</v>
      </c>
      <c r="BA119" s="1643">
        <f>STRCHECKDATE(X121:AY121)</f>
      </c>
      <c r="BB119" s="1625"/>
      <c r="BC119" s="1625" t="str">
        <f>IF(V119="","",V119)</f>
        <v>горячая вода в системе централизованного теплоснабжения на горячее водоснабжение</v>
      </c>
      <c r="BD119" s="1625"/>
      <c r="BE119" s="1625"/>
      <c r="BF119" s="1636">
        <v>0</v>
      </c>
    </row>
    <row s="1851" customFormat="1" customHeight="1" ht="21">
      <c r="A120" s="1975"/>
      <c r="B120" s="1975"/>
      <c r="C120" s="1975"/>
      <c r="D120" s="1975"/>
      <c r="E120" s="2312" t="s">
        <v>95</v>
      </c>
      <c r="F120" s="2312"/>
      <c r="G120" s="2312"/>
      <c r="H120" s="2312"/>
      <c r="I120" s="2263"/>
      <c r="J120" s="2263"/>
      <c r="K120" s="2263"/>
      <c r="L120" s="2313" t="str">
        <f>K119&amp;".1"</f>
        <v>5.1.1.1.1.1.1.1</v>
      </c>
      <c r="M120" s="2183"/>
      <c r="N120" s="1636"/>
      <c r="O120" s="1636"/>
      <c r="P120" s="1636"/>
      <c r="Q120" s="2375"/>
      <c r="R120" s="2375"/>
      <c r="S120" s="2375"/>
      <c r="T120" s="358"/>
      <c r="U120" s="2274" t="str">
        <f>$L120</f>
        <v>5.1.1.1.1.1.1.1</v>
      </c>
      <c r="V120" s="1392"/>
      <c r="W120" s="301"/>
      <c r="X120" s="326"/>
      <c r="Y120" s="752"/>
      <c r="Z120" s="752"/>
      <c r="AA120" s="752"/>
      <c r="AB120" s="1406"/>
      <c r="AC120" s="2310"/>
      <c r="AD120" s="2108"/>
      <c r="AE120" s="2310"/>
      <c r="AF120" s="2108"/>
      <c r="AG120" s="1408"/>
      <c r="AH120" s="752"/>
      <c r="AI120" s="752"/>
      <c r="AJ120" s="752"/>
      <c r="AK120" s="1258"/>
      <c r="AL120" s="2310"/>
      <c r="AM120" s="2108"/>
      <c r="AN120" s="2310"/>
      <c r="AO120" s="2108"/>
      <c r="AP120" s="326"/>
      <c r="AQ120" s="752"/>
      <c r="AR120" s="752"/>
      <c r="AS120" s="752"/>
      <c r="AT120" s="1406"/>
      <c r="AU120" s="2310"/>
      <c r="AV120" s="2108"/>
      <c r="AW120" s="2310"/>
      <c r="AX120" s="2108"/>
      <c r="AY120" s="326"/>
      <c r="AZ120" s="2254" t="s">
        <v>583</v>
      </c>
      <c r="BA120" s="1643"/>
      <c r="BB120" s="1625"/>
      <c r="BC120" s="1625"/>
      <c r="BD120" s="1625"/>
      <c r="BE120" s="1625"/>
      <c r="BF120" s="1636">
        <v>0</v>
      </c>
    </row>
    <row s="1851" customFormat="1" customHeight="1" ht="14.25">
      <c r="A121" s="1975"/>
      <c r="B121" s="1975"/>
      <c r="C121" s="1975"/>
      <c r="D121" s="1975"/>
      <c r="E121" s="2312" t="s">
        <v>95</v>
      </c>
      <c r="F121" s="2312"/>
      <c r="G121" s="2312"/>
      <c r="H121" s="2312"/>
      <c r="I121" s="2263"/>
      <c r="J121" s="2263"/>
      <c r="K121" s="2263"/>
      <c r="L121" s="2313"/>
      <c r="M121" s="2183"/>
      <c r="N121" s="1636"/>
      <c r="O121" s="1636"/>
      <c r="P121" s="1636"/>
      <c r="Q121" s="2375"/>
      <c r="R121" s="2375"/>
      <c r="S121" s="2375"/>
      <c r="T121" s="358"/>
      <c r="U121" s="2514"/>
      <c r="V121" s="301"/>
      <c r="W121" s="301"/>
      <c r="X121" s="326"/>
      <c r="Y121" s="326"/>
      <c r="Z121" s="326"/>
      <c r="AA121" s="326"/>
      <c r="AB121" s="1407" t="str">
        <f>AC119&amp;"-"&amp;AE119</f>
        <v>-</v>
      </c>
      <c r="AC121" s="2310"/>
      <c r="AD121" s="2108"/>
      <c r="AE121" s="2310"/>
      <c r="AF121" s="2108"/>
      <c r="AG121" s="1383"/>
      <c r="AH121" s="326"/>
      <c r="AI121" s="326"/>
      <c r="AJ121" s="326"/>
      <c r="AK121" s="329" t="str">
        <f>AL119&amp;"-"&amp;AN119</f>
        <v>46023-46295</v>
      </c>
      <c r="AL121" s="2310"/>
      <c r="AM121" s="2108"/>
      <c r="AN121" s="2310"/>
      <c r="AO121" s="2108"/>
      <c r="AP121" s="326"/>
      <c r="AQ121" s="326"/>
      <c r="AR121" s="326"/>
      <c r="AS121" s="326"/>
      <c r="AT121" s="1407" t="str">
        <f>AU119&amp;"-"&amp;AW119</f>
        <v>46296-46387</v>
      </c>
      <c r="AU121" s="2310"/>
      <c r="AV121" s="2108"/>
      <c r="AW121" s="2310"/>
      <c r="AX121" s="2108"/>
      <c r="AY121" s="326"/>
      <c r="AZ121" s="2255"/>
      <c r="BA121" s="1643"/>
      <c r="BB121" s="1625"/>
      <c r="BC121" s="1625" t="str">
        <f>IF(V121="","",V121)</f>
        <v/>
      </c>
      <c r="BD121" s="1625"/>
      <c r="BE121" s="1625"/>
      <c r="BF121" s="1636">
        <v>0</v>
      </c>
    </row>
    <row s="1851" customFormat="1" customHeight="1" ht="11.25">
      <c r="A122" s="1975"/>
      <c r="B122" s="1975"/>
      <c r="C122" s="1975"/>
      <c r="D122" s="1975"/>
      <c r="E122" s="2312" t="s">
        <v>95</v>
      </c>
      <c r="F122" s="2312"/>
      <c r="G122" s="2312"/>
      <c r="H122" s="2312"/>
      <c r="I122" s="2263"/>
      <c r="J122" s="2263"/>
      <c r="K122" s="2313"/>
      <c r="L122" s="1975"/>
      <c r="M122" s="2183"/>
      <c r="N122" s="1636"/>
      <c r="O122" s="1636"/>
      <c r="P122" s="1636"/>
      <c r="Q122" s="2375"/>
      <c r="R122" s="2375"/>
      <c r="S122" s="2375"/>
      <c r="T122" s="358"/>
      <c r="U122" s="4674"/>
      <c r="V122" s="4675" t="s">
        <v>584</v>
      </c>
      <c r="W122" s="4676"/>
      <c r="X122" s="4677"/>
      <c r="Y122" s="4678"/>
      <c r="Z122" s="4679"/>
      <c r="AA122" s="4680"/>
      <c r="AB122" s="4681"/>
      <c r="AC122" s="2310"/>
      <c r="AD122" s="2108"/>
      <c r="AE122" s="2310"/>
      <c r="AF122" s="2108"/>
      <c r="AG122" s="4682"/>
      <c r="AH122" s="4683"/>
      <c r="AI122" s="4684"/>
      <c r="AJ122" s="4685"/>
      <c r="AK122" s="4686"/>
      <c r="AL122" s="2310"/>
      <c r="AM122" s="2108"/>
      <c r="AN122" s="2310"/>
      <c r="AO122" s="2108"/>
      <c r="AP122" s="4687"/>
      <c r="AQ122" s="4688"/>
      <c r="AR122" s="4689"/>
      <c r="AS122" s="4690"/>
      <c r="AT122" s="4691"/>
      <c r="AU122" s="2310"/>
      <c r="AV122" s="2108"/>
      <c r="AW122" s="2310"/>
      <c r="AX122" s="2108"/>
      <c r="AY122" s="4692"/>
      <c r="AZ122" s="2255"/>
      <c r="BA122" s="1643"/>
      <c r="BB122" s="1625"/>
      <c r="BC122" s="1625"/>
      <c r="BD122" s="1625"/>
      <c r="BE122" s="1625"/>
      <c r="BF122" s="1636">
        <v>0</v>
      </c>
    </row>
    <row s="1851" customFormat="1" customHeight="1" ht="15">
      <c r="A123" s="1975"/>
      <c r="B123" s="1975"/>
      <c r="C123" s="1975"/>
      <c r="D123" s="1975"/>
      <c r="E123" s="2312" t="s">
        <v>95</v>
      </c>
      <c r="F123" s="2312"/>
      <c r="G123" s="2312"/>
      <c r="H123" s="2312"/>
      <c r="I123" s="2263"/>
      <c r="J123" s="2313"/>
      <c r="K123" s="1975"/>
      <c r="L123" s="1975"/>
      <c r="M123" s="2183"/>
      <c r="N123" s="1636"/>
      <c r="O123" s="1636"/>
      <c r="P123" s="2398"/>
      <c r="Q123" s="2375"/>
      <c r="R123" s="2375"/>
      <c r="S123" s="2375"/>
      <c r="T123" s="357"/>
      <c r="U123" s="4693"/>
      <c r="V123" s="4694" t="s">
        <v>541</v>
      </c>
      <c r="W123" s="4695"/>
      <c r="X123" s="4696"/>
      <c r="Y123" s="4697"/>
      <c r="Z123" s="4698"/>
      <c r="AA123" s="4699"/>
      <c r="AB123" s="4700"/>
      <c r="AC123" s="4701"/>
      <c r="AD123" s="4702"/>
      <c r="AE123" s="4703"/>
      <c r="AF123" s="4704"/>
      <c r="AG123" s="4705"/>
      <c r="AH123" s="4706"/>
      <c r="AI123" s="4707"/>
      <c r="AJ123" s="4708"/>
      <c r="AK123" s="4709"/>
      <c r="AL123" s="4710"/>
      <c r="AM123" s="4711"/>
      <c r="AN123" s="4712"/>
      <c r="AO123" s="4713"/>
      <c r="AP123" s="4714"/>
      <c r="AQ123" s="4715"/>
      <c r="AR123" s="4716"/>
      <c r="AS123" s="4717"/>
      <c r="AT123" s="4718"/>
      <c r="AU123" s="4719"/>
      <c r="AV123" s="4720"/>
      <c r="AW123" s="4721"/>
      <c r="AX123" s="5332"/>
      <c r="AY123" s="4723"/>
      <c r="AZ123" s="2256"/>
      <c r="BA123" s="1643"/>
      <c r="BB123" s="1625"/>
      <c r="BC123" s="1625" t="str">
        <f>IF(V123="","",V123)</f>
        <v>Добавить вид теплоносителя (параметры теплоносителя)</v>
      </c>
      <c r="BD123" s="1625"/>
      <c r="BE123" s="1625"/>
      <c r="BF123" s="1636">
        <v>0</v>
      </c>
    </row>
    <row s="1851" customFormat="1" customHeight="1" ht="11.25">
      <c r="A124" s="1975"/>
      <c r="B124" s="1975"/>
      <c r="C124" s="1975"/>
      <c r="D124" s="1975"/>
      <c r="E124" s="2312" t="s">
        <v>95</v>
      </c>
      <c r="F124" s="2312"/>
      <c r="G124" s="2312"/>
      <c r="H124" s="2312"/>
      <c r="I124" s="2313"/>
      <c r="J124" s="1975"/>
      <c r="K124" s="1975"/>
      <c r="L124" s="1975"/>
      <c r="M124" s="2183"/>
      <c r="N124" s="1636"/>
      <c r="O124" s="2398"/>
      <c r="P124" s="2398"/>
      <c r="Q124" s="2375"/>
      <c r="R124" s="2375"/>
      <c r="S124" s="2375"/>
      <c r="T124" s="357"/>
      <c r="U124" s="4724"/>
      <c r="V124" s="4725" t="s">
        <v>542</v>
      </c>
      <c r="W124" s="4726"/>
      <c r="X124" s="4727"/>
      <c r="Y124" s="4728"/>
      <c r="Z124" s="4729"/>
      <c r="AA124" s="4730"/>
      <c r="AB124" s="4731"/>
      <c r="AC124" s="4732"/>
      <c r="AD124" s="4733"/>
      <c r="AE124" s="4734"/>
      <c r="AF124" s="4735"/>
      <c r="AG124" s="4736"/>
      <c r="AH124" s="4737"/>
      <c r="AI124" s="4738"/>
      <c r="AJ124" s="4739"/>
      <c r="AK124" s="4740"/>
      <c r="AL124" s="4741"/>
      <c r="AM124" s="4742"/>
      <c r="AN124" s="4743"/>
      <c r="AO124" s="4744"/>
      <c r="AP124" s="4745"/>
      <c r="AQ124" s="4746"/>
      <c r="AR124" s="4747"/>
      <c r="AS124" s="4748"/>
      <c r="AT124" s="4749"/>
      <c r="AU124" s="4750"/>
      <c r="AV124" s="4751"/>
      <c r="AW124" s="4752"/>
      <c r="AX124" s="5333"/>
      <c r="AY124" s="4754"/>
      <c r="AZ124" s="4755"/>
      <c r="BA124" s="1643"/>
      <c r="BB124" s="1625"/>
      <c r="BC124" s="1625" t="str">
        <f>IF(V124="","",V124)</f>
        <v>Добавить группу потребителей</v>
      </c>
      <c r="BD124" s="1625"/>
      <c r="BE124" s="1625"/>
      <c r="BF124" s="1636">
        <v>0</v>
      </c>
    </row>
    <row s="1851" customFormat="1" customHeight="1" ht="14.25">
      <c r="A125" s="1975"/>
      <c r="B125" s="1975"/>
      <c r="C125" s="1975"/>
      <c r="D125" s="1975"/>
      <c r="E125" s="2312" t="s">
        <v>95</v>
      </c>
      <c r="F125" s="2312"/>
      <c r="G125" s="2312"/>
      <c r="H125" s="2311"/>
      <c r="I125" s="1975"/>
      <c r="J125" s="1975"/>
      <c r="K125" s="1975"/>
      <c r="L125" s="1975"/>
      <c r="M125" s="2183"/>
      <c r="N125" s="2408"/>
      <c r="O125" s="2408"/>
      <c r="P125" s="1636"/>
      <c r="Q125" s="1824"/>
      <c r="R125" s="376"/>
      <c r="S125" s="356"/>
      <c r="T125" s="1824"/>
      <c r="U125" s="1387"/>
      <c r="V125" s="1388"/>
      <c r="W125" s="1389"/>
      <c r="X125" s="1389"/>
      <c r="Y125" s="1389"/>
      <c r="Z125" s="1389"/>
      <c r="AA125" s="1389"/>
      <c r="AB125" s="1389"/>
      <c r="AC125" s="1389"/>
      <c r="AD125" s="1389"/>
      <c r="AE125" s="1389"/>
      <c r="AF125" s="1389"/>
      <c r="AG125" s="1389"/>
      <c r="AH125" s="1389"/>
      <c r="AI125" s="1389"/>
      <c r="AJ125" s="1389"/>
      <c r="AK125" s="1389"/>
      <c r="AL125" s="1389"/>
      <c r="AM125" s="1389"/>
      <c r="AN125" s="1389"/>
      <c r="AO125" s="1389"/>
      <c r="AP125" s="1389"/>
      <c r="AQ125" s="1389"/>
      <c r="AR125" s="1389"/>
      <c r="AS125" s="1389"/>
      <c r="AT125" s="1389"/>
      <c r="AU125" s="1389"/>
      <c r="AV125" s="1389"/>
      <c r="AW125" s="1389"/>
      <c r="AX125" s="1389"/>
      <c r="AY125" s="1389"/>
      <c r="AZ125" s="1390"/>
      <c r="BA125" s="1643"/>
      <c r="BB125" s="1625"/>
      <c r="BC125" s="1625" t="str">
        <f>IF(V125="","",V125)</f>
        <v/>
      </c>
      <c r="BD125" s="1625"/>
      <c r="BE125" s="1625"/>
      <c r="BF125" s="1636">
        <v>0</v>
      </c>
    </row>
    <row s="623" customFormat="1" customHeight="1" ht="14.25">
      <c r="A126" s="1376"/>
      <c r="B126" s="1376"/>
      <c r="C126" s="1376"/>
      <c r="D126" s="1376"/>
      <c r="E126" s="2312" t="s">
        <v>95</v>
      </c>
      <c r="F126" s="2312"/>
      <c r="G126" s="2311"/>
      <c r="H126" s="1376"/>
      <c r="I126" s="1376"/>
      <c r="J126" s="1376"/>
      <c r="K126" s="1376"/>
      <c r="L126" s="1376"/>
      <c r="M126" s="1382"/>
      <c r="N126" s="1379"/>
      <c r="O126" s="1379"/>
      <c r="P126" s="1642"/>
      <c r="Q126" s="1317"/>
      <c r="R126" s="1345"/>
      <c r="S126" s="1317"/>
      <c r="T126" s="1317"/>
      <c r="U126" s="1319"/>
      <c r="V126" s="1320" t="s">
        <v>177</v>
      </c>
      <c r="W126" s="1321"/>
      <c r="X126" s="1321"/>
      <c r="Y126" s="1321"/>
      <c r="Z126" s="1321"/>
      <c r="AA126" s="1321"/>
      <c r="AB126" s="1321"/>
      <c r="AC126" s="1321"/>
      <c r="AD126" s="1321"/>
      <c r="AE126" s="1321"/>
      <c r="AF126" s="1321"/>
      <c r="AG126" s="1321"/>
      <c r="AH126" s="1321"/>
      <c r="AI126" s="1321"/>
      <c r="AJ126" s="1321"/>
      <c r="AK126" s="1321"/>
      <c r="AL126" s="1321"/>
      <c r="AM126" s="1321"/>
      <c r="AN126" s="1321"/>
      <c r="AO126" s="1321"/>
      <c r="AP126" s="1321"/>
      <c r="AQ126" s="1321"/>
      <c r="AR126" s="1321"/>
      <c r="AS126" s="1321"/>
      <c r="AT126" s="1321"/>
      <c r="AU126" s="1321"/>
      <c r="AV126" s="1321"/>
      <c r="AW126" s="1321"/>
      <c r="AX126" s="1321"/>
      <c r="AY126" s="1321"/>
      <c r="AZ126" s="1321"/>
      <c r="BA126" s="1643"/>
      <c r="BB126" s="1625"/>
      <c r="BC126" s="1625" t="str">
        <f>IF(V126="","",V126)</f>
        <v>Добавить источник для дифференциации</v>
      </c>
      <c r="BD126" s="1625"/>
      <c r="BE126" s="1625"/>
      <c r="BF126" s="1643">
        <v>0</v>
      </c>
    </row>
    <row s="623" customFormat="1" customHeight="1" ht="14.25">
      <c r="A127" s="1376"/>
      <c r="B127" s="1376"/>
      <c r="C127" s="1376"/>
      <c r="D127" s="1376"/>
      <c r="E127" s="2312" t="s">
        <v>95</v>
      </c>
      <c r="F127" s="2311"/>
      <c r="G127" s="1376"/>
      <c r="H127" s="1376"/>
      <c r="I127" s="1376"/>
      <c r="J127" s="1376"/>
      <c r="K127" s="1376"/>
      <c r="L127" s="1376"/>
      <c r="M127" s="1382"/>
      <c r="N127" s="1380"/>
      <c r="O127" s="1380"/>
      <c r="P127" s="1642"/>
      <c r="Q127" s="1317"/>
      <c r="R127" s="1345"/>
      <c r="S127" s="1317"/>
      <c r="T127" s="1317"/>
      <c r="U127" s="1323"/>
      <c r="V127" s="1324" t="s">
        <v>178</v>
      </c>
      <c r="W127" s="1325"/>
      <c r="X127" s="1325"/>
      <c r="Y127" s="1325"/>
      <c r="Z127" s="1325"/>
      <c r="AA127" s="1325"/>
      <c r="AB127" s="1325"/>
      <c r="AC127" s="1325"/>
      <c r="AD127" s="1325"/>
      <c r="AE127" s="1325"/>
      <c r="AF127" s="1325"/>
      <c r="AG127" s="1325"/>
      <c r="AH127" s="1325"/>
      <c r="AI127" s="1325"/>
      <c r="AJ127" s="1325"/>
      <c r="AK127" s="1325"/>
      <c r="AL127" s="1325"/>
      <c r="AM127" s="1325"/>
      <c r="AN127" s="1325"/>
      <c r="AO127" s="1325"/>
      <c r="AP127" s="1325"/>
      <c r="AQ127" s="1325"/>
      <c r="AR127" s="1325"/>
      <c r="AS127" s="1325"/>
      <c r="AT127" s="1325"/>
      <c r="AU127" s="1325"/>
      <c r="AV127" s="1325"/>
      <c r="AW127" s="1325"/>
      <c r="AX127" s="1325"/>
      <c r="AY127" s="1325"/>
      <c r="AZ127" s="1325"/>
      <c r="BA127" s="1643"/>
      <c r="BB127" s="1625"/>
      <c r="BC127" s="1625" t="str">
        <f>IF(V127="","",V127)</f>
        <v>Добавить централизованную систему для дифференциации</v>
      </c>
      <c r="BD127" s="1625"/>
      <c r="BE127" s="1625"/>
      <c r="BF127" s="1643">
        <v>0</v>
      </c>
    </row>
    <row s="623" customFormat="1" customHeight="1" ht="14.25">
      <c r="A128" s="1376"/>
      <c r="B128" s="1376"/>
      <c r="C128" s="1376"/>
      <c r="D128" s="1376"/>
      <c r="E128" s="2311" t="s">
        <v>95</v>
      </c>
      <c r="F128" s="1376"/>
      <c r="G128" s="1376"/>
      <c r="H128" s="1376"/>
      <c r="I128" s="1376"/>
      <c r="J128" s="1376"/>
      <c r="K128" s="1376"/>
      <c r="L128" s="1376"/>
      <c r="M128" s="1382"/>
      <c r="N128" s="1380"/>
      <c r="O128" s="1380"/>
      <c r="P128" s="1642"/>
      <c r="Q128" s="1317"/>
      <c r="R128" s="1345"/>
      <c r="S128" s="1317"/>
      <c r="T128" s="1317"/>
      <c r="U128" s="1323"/>
      <c r="V128" s="1326" t="s">
        <v>183</v>
      </c>
      <c r="W128" s="1325"/>
      <c r="X128" s="1325"/>
      <c r="Y128" s="1325"/>
      <c r="Z128" s="1325"/>
      <c r="AA128" s="1325"/>
      <c r="AB128" s="1325"/>
      <c r="AC128" s="1325"/>
      <c r="AD128" s="1325"/>
      <c r="AE128" s="1325"/>
      <c r="AF128" s="1325"/>
      <c r="AG128" s="1325"/>
      <c r="AH128" s="1325"/>
      <c r="AI128" s="1325"/>
      <c r="AJ128" s="1325"/>
      <c r="AK128" s="1325"/>
      <c r="AL128" s="1325"/>
      <c r="AM128" s="1325"/>
      <c r="AN128" s="1325"/>
      <c r="AO128" s="1325"/>
      <c r="AP128" s="1325"/>
      <c r="AQ128" s="1325"/>
      <c r="AR128" s="1325"/>
      <c r="AS128" s="1325"/>
      <c r="AT128" s="1325"/>
      <c r="AU128" s="1325"/>
      <c r="AV128" s="1325"/>
      <c r="AW128" s="1325"/>
      <c r="AX128" s="1325"/>
      <c r="AY128" s="1325"/>
      <c r="AZ128" s="1325"/>
      <c r="BA128" s="1643"/>
      <c r="BB128" s="1625"/>
      <c r="BC128" s="1625" t="str">
        <f>IF(V128="","",V128)</f>
        <v>Добавить территорию для дифференциации</v>
      </c>
      <c r="BD128" s="1625"/>
      <c r="BE128" s="1625"/>
      <c r="BF128" s="1643">
        <v>0</v>
      </c>
    </row>
    <row s="1851" customFormat="1" customHeight="1" ht="21">
      <c r="A129" s="1975" t="s">
        <v>298</v>
      </c>
      <c r="B129" s="1975"/>
      <c r="C129" s="1975"/>
      <c r="D129" s="1975"/>
      <c r="E129" s="2311" t="s">
        <v>96</v>
      </c>
      <c r="F129" s="1975"/>
      <c r="G129" s="1975"/>
      <c r="H129" s="1975"/>
      <c r="I129" s="1975"/>
      <c r="J129" s="1975"/>
      <c r="K129" s="1975"/>
      <c r="L129" s="1975"/>
      <c r="M129" s="2183"/>
      <c r="N129" s="2408"/>
      <c r="O129" s="2408"/>
      <c r="P129" s="2408"/>
      <c r="Q129" s="2398"/>
      <c r="R129" s="1824"/>
      <c r="S129" s="1824"/>
      <c r="T129" s="356"/>
      <c r="U129" s="2274" t="str">
        <f>INDEX(PT_DIFFERENTIATION_NUM_NTAR,MATCH(A129,PT_DIFFERENTIATION_NTAR_ID,0))</f>
        <v>6</v>
      </c>
      <c r="V129" s="1526" t="s">
        <v>136</v>
      </c>
      <c r="W129" s="301"/>
      <c r="X129" s="2243"/>
      <c r="Y129" s="2244"/>
      <c r="Z129" s="2244"/>
      <c r="AA129" s="2244"/>
      <c r="AB129" s="2244"/>
      <c r="AC129" s="2244"/>
      <c r="AD129" s="2244"/>
      <c r="AE129" s="2244"/>
      <c r="AF129" s="2245"/>
      <c r="AG129" s="2243" t="str">
        <f>INDEX(PT_DIFFERENTIATION_NTAR,MATCH(A129,PT_DIFFERENTIATION_NTAR_ID,0))</f>
        <v>Тарифы на горячую воду в открытых системах теплоснабжения (горячее водоснабжение), поставляемую потребителям. Муниципальный округ город Кировск с подведомственной территорией Мурманской области. Для потребителей в случае отсутствия дифференциации тарифов по схеме подключения</v>
      </c>
      <c r="AH129" s="2244"/>
      <c r="AI129" s="2244"/>
      <c r="AJ129" s="2244"/>
      <c r="AK129" s="2244"/>
      <c r="AL129" s="2244"/>
      <c r="AM129" s="2244"/>
      <c r="AN129" s="2244"/>
      <c r="AO129" s="2244"/>
      <c r="AP129" s="2243"/>
      <c r="AQ129" s="2244"/>
      <c r="AR129" s="2244"/>
      <c r="AS129" s="2244"/>
      <c r="AT129" s="2244"/>
      <c r="AU129" s="2244"/>
      <c r="AV129" s="2244"/>
      <c r="AW129" s="2244"/>
      <c r="AX129" s="5240"/>
      <c r="AY129" s="2245"/>
      <c r="AZ129" s="1259" t="s">
        <v>526</v>
      </c>
      <c r="BA129" s="1643"/>
      <c r="BB129" s="1625"/>
      <c r="BC129" s="1625" t="str">
        <f>IF(V129="","",V129)</f>
        <v>Наименование тарифа</v>
      </c>
      <c r="BD129" s="1625"/>
      <c r="BE129" s="1625"/>
      <c r="BF129" s="1636">
        <v>0</v>
      </c>
    </row>
    <row s="1851" customFormat="1" customHeight="1" ht="21">
      <c r="A130" s="1975"/>
      <c r="B130" s="1975" t="s">
        <v>299</v>
      </c>
      <c r="C130" s="1975"/>
      <c r="D130" s="1975"/>
      <c r="E130" s="2312" t="s">
        <v>124</v>
      </c>
      <c r="F130" s="2311">
        <v>1</v>
      </c>
      <c r="G130" s="1975"/>
      <c r="H130" s="1975"/>
      <c r="I130" s="1975"/>
      <c r="J130" s="1975"/>
      <c r="K130" s="1975"/>
      <c r="L130" s="1975"/>
      <c r="M130" s="2183"/>
      <c r="N130" s="2408"/>
      <c r="O130" s="2408"/>
      <c r="P130" s="2408"/>
      <c r="Q130" s="2126"/>
      <c r="R130" s="353"/>
      <c r="S130" s="1636"/>
      <c r="T130" s="354"/>
      <c r="U130" s="2274" t="str">
        <f>INDEX(PT_DIFFERENTIATION_NUM_TER,MATCH(B130,PT_DIFFERENTIATION_TER_ID,0))</f>
        <v>6.1</v>
      </c>
      <c r="V130" s="1523" t="s">
        <v>527</v>
      </c>
      <c r="W130" s="301"/>
      <c r="X130" s="2243"/>
      <c r="Y130" s="2244"/>
      <c r="Z130" s="2244"/>
      <c r="AA130" s="2244"/>
      <c r="AB130" s="2244"/>
      <c r="AC130" s="2244"/>
      <c r="AD130" s="2244"/>
      <c r="AE130" s="2244"/>
      <c r="AF130" s="2245"/>
      <c r="AG130" s="2243" t="str">
        <f>INDEX(PT_DIFFERENTIATION_TER,MATCH(B130,PT_DIFFERENTIATION_TER_ID,0))</f>
        <v>Территория 2</v>
      </c>
      <c r="AH130" s="2244"/>
      <c r="AI130" s="2244"/>
      <c r="AJ130" s="2244"/>
      <c r="AK130" s="2244"/>
      <c r="AL130" s="2244"/>
      <c r="AM130" s="2244"/>
      <c r="AN130" s="2244"/>
      <c r="AO130" s="2244"/>
      <c r="AP130" s="2243"/>
      <c r="AQ130" s="2244"/>
      <c r="AR130" s="2244"/>
      <c r="AS130" s="2244"/>
      <c r="AT130" s="2244"/>
      <c r="AU130" s="2244"/>
      <c r="AV130" s="2244"/>
      <c r="AW130" s="2244"/>
      <c r="AX130" s="5240"/>
      <c r="AY130" s="2245"/>
      <c r="AZ130" s="1259" t="s">
        <v>528</v>
      </c>
      <c r="BA130" s="1643"/>
      <c r="BB130" s="1625"/>
      <c r="BC130" s="1625" t="str">
        <f>IF(V130="","",V130)</f>
        <v>Территория действия тарифа</v>
      </c>
      <c r="BD130" s="1625"/>
      <c r="BE130" s="1625"/>
      <c r="BF130" s="1636">
        <v>0</v>
      </c>
    </row>
    <row s="1851" customFormat="1" customHeight="1" ht="22.5">
      <c r="A131" s="1975"/>
      <c r="B131" s="1975"/>
      <c r="C131" s="1975" t="s">
        <v>300</v>
      </c>
      <c r="D131" s="1975"/>
      <c r="E131" s="2312" t="s">
        <v>124</v>
      </c>
      <c r="F131" s="2312"/>
      <c r="G131" s="2311">
        <v>1</v>
      </c>
      <c r="H131" s="1975"/>
      <c r="I131" s="1975"/>
      <c r="J131" s="1975"/>
      <c r="K131" s="1975"/>
      <c r="L131" s="1975"/>
      <c r="M131" s="2183"/>
      <c r="N131" s="2408"/>
      <c r="O131" s="2408"/>
      <c r="P131" s="2408"/>
      <c r="Q131" s="355"/>
      <c r="R131" s="353"/>
      <c r="S131" s="1636"/>
      <c r="T131" s="354"/>
      <c r="U131" s="2274" t="str">
        <f>INDEX(PT_DIFFERENTIATION_NUM_CS,MATCH(C131,PT_DIFFERENTIATION_CS_ID,0))</f>
        <v>6.1.1</v>
      </c>
      <c r="V131" s="310" t="s">
        <v>529</v>
      </c>
      <c r="W131" s="301"/>
      <c r="X131" s="2243"/>
      <c r="Y131" s="2244"/>
      <c r="Z131" s="2244"/>
      <c r="AA131" s="2244"/>
      <c r="AB131" s="2244"/>
      <c r="AC131" s="2244"/>
      <c r="AD131" s="2244"/>
      <c r="AE131" s="2244"/>
      <c r="AF131" s="2245"/>
      <c r="AG131" s="2243" t="str">
        <f>INDEX(PT_DIFFERENTIATION_CS,MATCH(C131,PT_DIFFERENTIATION_CS_ID,0))</f>
        <v>открытая система теплоснабжения г. Кировск</v>
      </c>
      <c r="AH131" s="2244"/>
      <c r="AI131" s="2244"/>
      <c r="AJ131" s="2244"/>
      <c r="AK131" s="2244"/>
      <c r="AL131" s="2244"/>
      <c r="AM131" s="2244"/>
      <c r="AN131" s="2244"/>
      <c r="AO131" s="2244"/>
      <c r="AP131" s="2243"/>
      <c r="AQ131" s="2244"/>
      <c r="AR131" s="2244"/>
      <c r="AS131" s="2244"/>
      <c r="AT131" s="2244"/>
      <c r="AU131" s="2244"/>
      <c r="AV131" s="2244"/>
      <c r="AW131" s="2244"/>
      <c r="AX131" s="5240"/>
      <c r="AY131" s="2245"/>
      <c r="AZ131" s="1259" t="s">
        <v>530</v>
      </c>
      <c r="BA131" s="1643"/>
      <c r="BB131" s="1625"/>
      <c r="BC131" s="1625" t="str">
        <f>IF(V131="","",V131)</f>
        <v>Наименование системы теплоснабжения </v>
      </c>
      <c r="BD131" s="1625"/>
      <c r="BE131" s="1625"/>
      <c r="BF131" s="1636">
        <v>0</v>
      </c>
    </row>
    <row s="1851" customFormat="1" customHeight="1" ht="21">
      <c r="A132" s="1975"/>
      <c r="B132" s="1975"/>
      <c r="C132" s="1975"/>
      <c r="D132" s="1975" t="s">
        <v>301</v>
      </c>
      <c r="E132" s="2312" t="s">
        <v>124</v>
      </c>
      <c r="F132" s="2312"/>
      <c r="G132" s="2312"/>
      <c r="H132" s="2311">
        <v>1</v>
      </c>
      <c r="I132" s="1975"/>
      <c r="J132" s="1975"/>
      <c r="K132" s="1975"/>
      <c r="L132" s="1975"/>
      <c r="M132" s="2183"/>
      <c r="N132" s="2408"/>
      <c r="O132" s="2408"/>
      <c r="P132" s="2408"/>
      <c r="Q132" s="355"/>
      <c r="R132" s="353"/>
      <c r="S132" s="1636"/>
      <c r="T132" s="354"/>
      <c r="U132" s="2274" t="str">
        <f>INDEX(PT_DIFFERENTIATION_NUM_IST_TE,MATCH(D132,PT_DIFFERENTIATION_IST_TE_ID,0))</f>
        <v>6.1.1.1</v>
      </c>
      <c r="V132" s="311" t="s">
        <v>531</v>
      </c>
      <c r="W132" s="301"/>
      <c r="X132" s="2243"/>
      <c r="Y132" s="2244"/>
      <c r="Z132" s="2244"/>
      <c r="AA132" s="2244"/>
      <c r="AB132" s="2244"/>
      <c r="AC132" s="2244"/>
      <c r="AD132" s="2244"/>
      <c r="AE132" s="2244"/>
      <c r="AF132" s="2245"/>
      <c r="AG132" s="2243" t="str">
        <f>INDEX(PT_DIFFERENTIATION_IST_TE,MATCH(D132,PT_DIFFERENTIATION_IST_TE_ID,0))</f>
        <v>Апатитская ТЭЦ</v>
      </c>
      <c r="AH132" s="2244"/>
      <c r="AI132" s="2244"/>
      <c r="AJ132" s="2244"/>
      <c r="AK132" s="2244"/>
      <c r="AL132" s="2244"/>
      <c r="AM132" s="2244"/>
      <c r="AN132" s="2244"/>
      <c r="AO132" s="2244"/>
      <c r="AP132" s="2243"/>
      <c r="AQ132" s="2244"/>
      <c r="AR132" s="2244"/>
      <c r="AS132" s="2244"/>
      <c r="AT132" s="2244"/>
      <c r="AU132" s="2244"/>
      <c r="AV132" s="2244"/>
      <c r="AW132" s="2244"/>
      <c r="AX132" s="5240"/>
      <c r="AY132" s="2245"/>
      <c r="AZ132" s="1259" t="s">
        <v>532</v>
      </c>
      <c r="BA132" s="1643"/>
      <c r="BB132" s="1625"/>
      <c r="BC132" s="1625" t="str">
        <f>IF(V132="","",V132)</f>
        <v>Источник тепловой энергии  </v>
      </c>
      <c r="BD132" s="1625"/>
      <c r="BE132" s="1625"/>
      <c r="BF132" s="1636">
        <v>0</v>
      </c>
    </row>
    <row s="1851" customFormat="1" customHeight="1" ht="14.25">
      <c r="A133" s="1975"/>
      <c r="B133" s="1975"/>
      <c r="C133" s="1975"/>
      <c r="D133" s="1975"/>
      <c r="E133" s="2312" t="s">
        <v>124</v>
      </c>
      <c r="F133" s="2312"/>
      <c r="G133" s="2312"/>
      <c r="H133" s="2312"/>
      <c r="I133" s="2313" t="str">
        <f>U132&amp;".1"</f>
        <v>6.1.1.1.1</v>
      </c>
      <c r="J133" s="1975"/>
      <c r="K133" s="1975"/>
      <c r="L133" s="1975"/>
      <c r="M133" s="2183" t="s">
        <v>533</v>
      </c>
      <c r="N133" s="1636"/>
      <c r="O133" s="2398"/>
      <c r="P133" s="2398"/>
      <c r="Q133" s="2375">
        <v>1</v>
      </c>
      <c r="R133" s="2375"/>
      <c r="S133" s="2375"/>
      <c r="T133" s="357"/>
      <c r="U133" s="2305"/>
      <c r="V133" s="1384"/>
      <c r="W133" s="1385"/>
      <c r="X133" s="2297"/>
      <c r="Y133" s="2298"/>
      <c r="Z133" s="2298"/>
      <c r="AA133" s="2298"/>
      <c r="AB133" s="2298"/>
      <c r="AC133" s="2298"/>
      <c r="AD133" s="2298"/>
      <c r="AE133" s="2298"/>
      <c r="AF133" s="2299"/>
      <c r="AG133" s="2297"/>
      <c r="AH133" s="2298"/>
      <c r="AI133" s="2298"/>
      <c r="AJ133" s="2298"/>
      <c r="AK133" s="2298"/>
      <c r="AL133" s="2298"/>
      <c r="AM133" s="2298"/>
      <c r="AN133" s="2298"/>
      <c r="AO133" s="2298"/>
      <c r="AP133" s="2297"/>
      <c r="AQ133" s="2298"/>
      <c r="AR133" s="2298"/>
      <c r="AS133" s="2298"/>
      <c r="AT133" s="2298"/>
      <c r="AU133" s="2298"/>
      <c r="AV133" s="2298"/>
      <c r="AW133" s="2298"/>
      <c r="AX133" s="5309"/>
      <c r="AY133" s="2299"/>
      <c r="AZ133" s="1386"/>
      <c r="BA133" s="1643"/>
      <c r="BB133" s="1625"/>
      <c r="BC133" s="1625" t="str">
        <f>IF(V133="","",V133)</f>
        <v/>
      </c>
      <c r="BD133" s="1625"/>
      <c r="BE133" s="1625"/>
      <c r="BF133" s="1636">
        <v>0</v>
      </c>
    </row>
    <row s="1851" customFormat="1" customHeight="1" ht="21">
      <c r="A134" s="1975"/>
      <c r="B134" s="1975"/>
      <c r="C134" s="1975"/>
      <c r="D134" s="1975"/>
      <c r="E134" s="2312" t="s">
        <v>124</v>
      </c>
      <c r="F134" s="2312"/>
      <c r="G134" s="2312"/>
      <c r="H134" s="2312"/>
      <c r="I134" s="2263"/>
      <c r="J134" s="2313" t="str">
        <f>I133&amp;".1"</f>
        <v>6.1.1.1.1.1</v>
      </c>
      <c r="K134" s="1975"/>
      <c r="L134" s="1975"/>
      <c r="M134" s="2183" t="s">
        <v>536</v>
      </c>
      <c r="N134" s="1636"/>
      <c r="O134" s="1636"/>
      <c r="P134" s="2398"/>
      <c r="Q134" s="2375"/>
      <c r="R134" s="2375">
        <v>1</v>
      </c>
      <c r="S134" s="1643"/>
      <c r="T134" s="358"/>
      <c r="U134" s="2274" t="str">
        <f>$J134</f>
        <v>6.1.1.1.1.1</v>
      </c>
      <c r="V134" s="287" t="s">
        <v>537</v>
      </c>
      <c r="W134" s="301"/>
      <c r="X134" s="2246"/>
      <c r="Y134" s="2247"/>
      <c r="Z134" s="2247"/>
      <c r="AA134" s="2247"/>
      <c r="AB134" s="2247"/>
      <c r="AC134" s="2236"/>
      <c r="AD134" s="2236"/>
      <c r="AE134" s="2236"/>
      <c r="AF134" s="2309"/>
      <c r="AG134" s="2246" t="s">
        <v>576</v>
      </c>
      <c r="AH134" s="2247"/>
      <c r="AI134" s="2247"/>
      <c r="AJ134" s="2247"/>
      <c r="AK134" s="2247"/>
      <c r="AL134" s="2247"/>
      <c r="AM134" s="2247"/>
      <c r="AN134" s="2247"/>
      <c r="AO134" s="2247"/>
      <c r="AP134" s="2246"/>
      <c r="AQ134" s="2247"/>
      <c r="AR134" s="2247"/>
      <c r="AS134" s="2247"/>
      <c r="AT134" s="2247"/>
      <c r="AU134" s="2236"/>
      <c r="AV134" s="2236"/>
      <c r="AW134" s="2236"/>
      <c r="AX134" s="5321"/>
      <c r="AY134" s="2248"/>
      <c r="AZ134" s="1259" t="s">
        <v>538</v>
      </c>
      <c r="BA134" s="1643"/>
      <c r="BB134" s="1625"/>
      <c r="BC134" s="1625" t="str">
        <f>IF(V134="","",V134)</f>
        <v>Группа потребителей</v>
      </c>
      <c r="BD134" s="1625"/>
      <c r="BE134" s="1625"/>
      <c r="BF134" s="1636">
        <v>0</v>
      </c>
    </row>
    <row s="1851" customFormat="1" customHeight="1" ht="21">
      <c r="A135" s="1975"/>
      <c r="B135" s="1975"/>
      <c r="C135" s="1975"/>
      <c r="D135" s="1975"/>
      <c r="E135" s="2312" t="s">
        <v>124</v>
      </c>
      <c r="F135" s="2312"/>
      <c r="G135" s="2312"/>
      <c r="H135" s="2312"/>
      <c r="I135" s="2263"/>
      <c r="J135" s="2263"/>
      <c r="K135" s="2313" t="str">
        <f>J134&amp;".1"</f>
        <v>6.1.1.1.1.1.1</v>
      </c>
      <c r="L135" s="2126"/>
      <c r="M135" s="2183" t="s">
        <v>539</v>
      </c>
      <c r="N135" s="1636"/>
      <c r="O135" s="1636"/>
      <c r="P135" s="1636"/>
      <c r="Q135" s="2375"/>
      <c r="R135" s="2375"/>
      <c r="S135" s="2375">
        <v>1</v>
      </c>
      <c r="T135" s="358"/>
      <c r="U135" s="2274" t="str">
        <f>$K135</f>
        <v>6.1.1.1.1.1.1</v>
      </c>
      <c r="V135" s="1348" t="s">
        <v>594</v>
      </c>
      <c r="W135" s="301"/>
      <c r="X135" s="752"/>
      <c r="Y135" s="752"/>
      <c r="Z135" s="752"/>
      <c r="AA135" s="752"/>
      <c r="AB135" s="1406"/>
      <c r="AC135" s="2603"/>
      <c r="AD135" s="2108" t="s">
        <v>65</v>
      </c>
      <c r="AE135" s="2603"/>
      <c r="AF135" s="2108" t="s">
        <v>65</v>
      </c>
      <c r="AG135" s="1408"/>
      <c r="AH135" s="752">
        <v>53.82</v>
      </c>
      <c r="AI135" s="752">
        <v>3190.34</v>
      </c>
      <c r="AJ135" s="752"/>
      <c r="AK135" s="1258"/>
      <c r="AL135" s="2603">
        <v>46023</v>
      </c>
      <c r="AM135" s="2108" t="s">
        <v>65</v>
      </c>
      <c r="AN135" s="2603">
        <v>46295</v>
      </c>
      <c r="AO135" s="2108" t="s">
        <v>65</v>
      </c>
      <c r="AP135" s="752"/>
      <c r="AQ135" s="752">
        <v>53.82</v>
      </c>
      <c r="AR135" s="752">
        <v>3190.34</v>
      </c>
      <c r="AS135" s="752"/>
      <c r="AT135" s="1406"/>
      <c r="AU135" s="2603">
        <v>46296</v>
      </c>
      <c r="AV135" s="2108" t="s">
        <v>65</v>
      </c>
      <c r="AW135" s="2603">
        <v>46387</v>
      </c>
      <c r="AX135" s="2108" t="s">
        <v>65</v>
      </c>
      <c r="AY135" s="326"/>
      <c r="AZ135" s="1308" t="s">
        <v>582</v>
      </c>
      <c r="BA135" s="1643">
        <f>STRCHECKDATE(X137:AY137)</f>
      </c>
      <c r="BB135" s="1625"/>
      <c r="BC135" s="1625" t="str">
        <f>IF(V135="","",V135)</f>
        <v>горячая вода в системе централизованного теплоснабжения на горячее водоснабжение</v>
      </c>
      <c r="BD135" s="1625"/>
      <c r="BE135" s="1625"/>
      <c r="BF135" s="1636">
        <v>0</v>
      </c>
    </row>
    <row s="1851" customFormat="1" customHeight="1" ht="21">
      <c r="A136" s="1975"/>
      <c r="B136" s="1975"/>
      <c r="C136" s="1975"/>
      <c r="D136" s="1975"/>
      <c r="E136" s="2312" t="s">
        <v>124</v>
      </c>
      <c r="F136" s="2312"/>
      <c r="G136" s="2312"/>
      <c r="H136" s="2312"/>
      <c r="I136" s="2263"/>
      <c r="J136" s="2263"/>
      <c r="K136" s="2263"/>
      <c r="L136" s="2313" t="str">
        <f>K135&amp;".1"</f>
        <v>6.1.1.1.1.1.1.1</v>
      </c>
      <c r="M136" s="2183"/>
      <c r="N136" s="1636"/>
      <c r="O136" s="1636"/>
      <c r="P136" s="1636"/>
      <c r="Q136" s="2375"/>
      <c r="R136" s="2375"/>
      <c r="S136" s="2375"/>
      <c r="T136" s="358"/>
      <c r="U136" s="2274" t="str">
        <f>$L136</f>
        <v>6.1.1.1.1.1.1.1</v>
      </c>
      <c r="V136" s="1392"/>
      <c r="W136" s="301"/>
      <c r="X136" s="326"/>
      <c r="Y136" s="752"/>
      <c r="Z136" s="752"/>
      <c r="AA136" s="752"/>
      <c r="AB136" s="1406"/>
      <c r="AC136" s="2310"/>
      <c r="AD136" s="2108"/>
      <c r="AE136" s="2310"/>
      <c r="AF136" s="2108"/>
      <c r="AG136" s="1408"/>
      <c r="AH136" s="752"/>
      <c r="AI136" s="752"/>
      <c r="AJ136" s="752"/>
      <c r="AK136" s="1258"/>
      <c r="AL136" s="2310"/>
      <c r="AM136" s="2108"/>
      <c r="AN136" s="2310"/>
      <c r="AO136" s="2108"/>
      <c r="AP136" s="326"/>
      <c r="AQ136" s="752"/>
      <c r="AR136" s="752"/>
      <c r="AS136" s="752"/>
      <c r="AT136" s="1406"/>
      <c r="AU136" s="2310"/>
      <c r="AV136" s="2108"/>
      <c r="AW136" s="2310"/>
      <c r="AX136" s="2108"/>
      <c r="AY136" s="326"/>
      <c r="AZ136" s="2254" t="s">
        <v>583</v>
      </c>
      <c r="BA136" s="1643"/>
      <c r="BB136" s="1625"/>
      <c r="BC136" s="1625"/>
      <c r="BD136" s="1625"/>
      <c r="BE136" s="1625"/>
      <c r="BF136" s="1636">
        <v>0</v>
      </c>
    </row>
    <row s="1851" customFormat="1" customHeight="1" ht="14.25">
      <c r="A137" s="1975"/>
      <c r="B137" s="1975"/>
      <c r="C137" s="1975"/>
      <c r="D137" s="1975"/>
      <c r="E137" s="2312" t="s">
        <v>124</v>
      </c>
      <c r="F137" s="2312"/>
      <c r="G137" s="2312"/>
      <c r="H137" s="2312"/>
      <c r="I137" s="2263"/>
      <c r="J137" s="2263"/>
      <c r="K137" s="2263"/>
      <c r="L137" s="2313"/>
      <c r="M137" s="2183"/>
      <c r="N137" s="1636"/>
      <c r="O137" s="1636"/>
      <c r="P137" s="1636"/>
      <c r="Q137" s="2375"/>
      <c r="R137" s="2375"/>
      <c r="S137" s="2375"/>
      <c r="T137" s="358"/>
      <c r="U137" s="2514"/>
      <c r="V137" s="301"/>
      <c r="W137" s="301"/>
      <c r="X137" s="326"/>
      <c r="Y137" s="326"/>
      <c r="Z137" s="326"/>
      <c r="AA137" s="326"/>
      <c r="AB137" s="1407" t="str">
        <f>AC135&amp;"-"&amp;AE135</f>
        <v>-</v>
      </c>
      <c r="AC137" s="2310"/>
      <c r="AD137" s="2108"/>
      <c r="AE137" s="2310"/>
      <c r="AF137" s="2108"/>
      <c r="AG137" s="1383"/>
      <c r="AH137" s="326"/>
      <c r="AI137" s="326"/>
      <c r="AJ137" s="326"/>
      <c r="AK137" s="329" t="str">
        <f>AL135&amp;"-"&amp;AN135</f>
        <v>46023-46295</v>
      </c>
      <c r="AL137" s="2310"/>
      <c r="AM137" s="2108"/>
      <c r="AN137" s="2310"/>
      <c r="AO137" s="2108"/>
      <c r="AP137" s="326"/>
      <c r="AQ137" s="326"/>
      <c r="AR137" s="326"/>
      <c r="AS137" s="326"/>
      <c r="AT137" s="1407" t="str">
        <f>AU135&amp;"-"&amp;AW135</f>
        <v>46296-46387</v>
      </c>
      <c r="AU137" s="2310"/>
      <c r="AV137" s="2108"/>
      <c r="AW137" s="2310"/>
      <c r="AX137" s="2108"/>
      <c r="AY137" s="326"/>
      <c r="AZ137" s="2255"/>
      <c r="BA137" s="1643"/>
      <c r="BB137" s="1625"/>
      <c r="BC137" s="1625" t="str">
        <f>IF(V137="","",V137)</f>
        <v/>
      </c>
      <c r="BD137" s="1625"/>
      <c r="BE137" s="1625"/>
      <c r="BF137" s="1636">
        <v>0</v>
      </c>
    </row>
    <row s="1851" customFormat="1" customHeight="1" ht="11.25">
      <c r="A138" s="1975"/>
      <c r="B138" s="1975"/>
      <c r="C138" s="1975"/>
      <c r="D138" s="1975"/>
      <c r="E138" s="2312" t="s">
        <v>124</v>
      </c>
      <c r="F138" s="2312"/>
      <c r="G138" s="2312"/>
      <c r="H138" s="2312"/>
      <c r="I138" s="2263"/>
      <c r="J138" s="2263"/>
      <c r="K138" s="2313"/>
      <c r="L138" s="1975"/>
      <c r="M138" s="2183"/>
      <c r="N138" s="1636"/>
      <c r="O138" s="1636"/>
      <c r="P138" s="1636"/>
      <c r="Q138" s="2375"/>
      <c r="R138" s="2375"/>
      <c r="S138" s="2375"/>
      <c r="T138" s="358"/>
      <c r="U138" s="4756"/>
      <c r="V138" s="4757" t="s">
        <v>584</v>
      </c>
      <c r="W138" s="4758"/>
      <c r="X138" s="4759"/>
      <c r="Y138" s="4760"/>
      <c r="Z138" s="4761"/>
      <c r="AA138" s="4762"/>
      <c r="AB138" s="4763"/>
      <c r="AC138" s="2310"/>
      <c r="AD138" s="2108"/>
      <c r="AE138" s="2310"/>
      <c r="AF138" s="2108"/>
      <c r="AG138" s="4764"/>
      <c r="AH138" s="4765"/>
      <c r="AI138" s="4766"/>
      <c r="AJ138" s="4767"/>
      <c r="AK138" s="4768"/>
      <c r="AL138" s="2310"/>
      <c r="AM138" s="2108"/>
      <c r="AN138" s="2310"/>
      <c r="AO138" s="2108"/>
      <c r="AP138" s="4769"/>
      <c r="AQ138" s="4770"/>
      <c r="AR138" s="4771"/>
      <c r="AS138" s="4772"/>
      <c r="AT138" s="4773"/>
      <c r="AU138" s="2310"/>
      <c r="AV138" s="2108"/>
      <c r="AW138" s="2310"/>
      <c r="AX138" s="2108"/>
      <c r="AY138" s="4774"/>
      <c r="AZ138" s="2255"/>
      <c r="BA138" s="1643"/>
      <c r="BB138" s="1625"/>
      <c r="BC138" s="1625"/>
      <c r="BD138" s="1625"/>
      <c r="BE138" s="1625"/>
      <c r="BF138" s="1636">
        <v>0</v>
      </c>
    </row>
    <row s="1851" customFormat="1" customHeight="1" ht="15">
      <c r="A139" s="1975"/>
      <c r="B139" s="1975"/>
      <c r="C139" s="1975"/>
      <c r="D139" s="1975"/>
      <c r="E139" s="2312" t="s">
        <v>124</v>
      </c>
      <c r="F139" s="2312"/>
      <c r="G139" s="2312"/>
      <c r="H139" s="2312"/>
      <c r="I139" s="2263"/>
      <c r="J139" s="2313"/>
      <c r="K139" s="1975"/>
      <c r="L139" s="1975"/>
      <c r="M139" s="2183"/>
      <c r="N139" s="1636"/>
      <c r="O139" s="1636"/>
      <c r="P139" s="2398"/>
      <c r="Q139" s="2375"/>
      <c r="R139" s="2375"/>
      <c r="S139" s="2375"/>
      <c r="T139" s="357"/>
      <c r="U139" s="4775"/>
      <c r="V139" s="4776" t="s">
        <v>541</v>
      </c>
      <c r="W139" s="4777"/>
      <c r="X139" s="4778"/>
      <c r="Y139" s="4779"/>
      <c r="Z139" s="4780"/>
      <c r="AA139" s="4781"/>
      <c r="AB139" s="4782"/>
      <c r="AC139" s="4783"/>
      <c r="AD139" s="4784"/>
      <c r="AE139" s="4785"/>
      <c r="AF139" s="4786"/>
      <c r="AG139" s="4787"/>
      <c r="AH139" s="4788"/>
      <c r="AI139" s="4789"/>
      <c r="AJ139" s="4790"/>
      <c r="AK139" s="4791"/>
      <c r="AL139" s="4792"/>
      <c r="AM139" s="4793"/>
      <c r="AN139" s="4794"/>
      <c r="AO139" s="4795"/>
      <c r="AP139" s="4796"/>
      <c r="AQ139" s="4797"/>
      <c r="AR139" s="4798"/>
      <c r="AS139" s="4799"/>
      <c r="AT139" s="4800"/>
      <c r="AU139" s="4801"/>
      <c r="AV139" s="4802"/>
      <c r="AW139" s="4803"/>
      <c r="AX139" s="5334"/>
      <c r="AY139" s="4805"/>
      <c r="AZ139" s="2256"/>
      <c r="BA139" s="1643"/>
      <c r="BB139" s="1625"/>
      <c r="BC139" s="1625" t="str">
        <f>IF(V139="","",V139)</f>
        <v>Добавить вид теплоносителя (параметры теплоносителя)</v>
      </c>
      <c r="BD139" s="1625"/>
      <c r="BE139" s="1625"/>
      <c r="BF139" s="1636">
        <v>0</v>
      </c>
    </row>
    <row s="1851" customFormat="1" customHeight="1" ht="11.25">
      <c r="A140" s="1975"/>
      <c r="B140" s="1975"/>
      <c r="C140" s="1975"/>
      <c r="D140" s="1975"/>
      <c r="E140" s="2312" t="s">
        <v>124</v>
      </c>
      <c r="F140" s="2312"/>
      <c r="G140" s="2312"/>
      <c r="H140" s="2312"/>
      <c r="I140" s="2313"/>
      <c r="J140" s="1975"/>
      <c r="K140" s="1975"/>
      <c r="L140" s="1975"/>
      <c r="M140" s="2183"/>
      <c r="N140" s="1636"/>
      <c r="O140" s="2398"/>
      <c r="P140" s="2398"/>
      <c r="Q140" s="2375"/>
      <c r="R140" s="2375"/>
      <c r="S140" s="2375"/>
      <c r="T140" s="357"/>
      <c r="U140" s="4806"/>
      <c r="V140" s="4807" t="s">
        <v>542</v>
      </c>
      <c r="W140" s="4808"/>
      <c r="X140" s="4809"/>
      <c r="Y140" s="4810"/>
      <c r="Z140" s="4811"/>
      <c r="AA140" s="4812"/>
      <c r="AB140" s="4813"/>
      <c r="AC140" s="4814"/>
      <c r="AD140" s="4815"/>
      <c r="AE140" s="4816"/>
      <c r="AF140" s="4817"/>
      <c r="AG140" s="4818"/>
      <c r="AH140" s="4819"/>
      <c r="AI140" s="4820"/>
      <c r="AJ140" s="4821"/>
      <c r="AK140" s="4822"/>
      <c r="AL140" s="4823"/>
      <c r="AM140" s="4824"/>
      <c r="AN140" s="4825"/>
      <c r="AO140" s="4826"/>
      <c r="AP140" s="4827"/>
      <c r="AQ140" s="4828"/>
      <c r="AR140" s="4829"/>
      <c r="AS140" s="4830"/>
      <c r="AT140" s="4831"/>
      <c r="AU140" s="4832"/>
      <c r="AV140" s="4833"/>
      <c r="AW140" s="4834"/>
      <c r="AX140" s="5335"/>
      <c r="AY140" s="4836"/>
      <c r="AZ140" s="4837"/>
      <c r="BA140" s="1643"/>
      <c r="BB140" s="1625"/>
      <c r="BC140" s="1625" t="str">
        <f>IF(V140="","",V140)</f>
        <v>Добавить группу потребителей</v>
      </c>
      <c r="BD140" s="1625"/>
      <c r="BE140" s="1625"/>
      <c r="BF140" s="1636">
        <v>0</v>
      </c>
    </row>
    <row s="1851" customFormat="1" customHeight="1" ht="14.25">
      <c r="A141" s="1975"/>
      <c r="B141" s="1975"/>
      <c r="C141" s="1975"/>
      <c r="D141" s="1975"/>
      <c r="E141" s="2312" t="s">
        <v>124</v>
      </c>
      <c r="F141" s="2312"/>
      <c r="G141" s="2312"/>
      <c r="H141" s="2311"/>
      <c r="I141" s="1975"/>
      <c r="J141" s="1975"/>
      <c r="K141" s="1975"/>
      <c r="L141" s="1975"/>
      <c r="M141" s="2183"/>
      <c r="N141" s="2408"/>
      <c r="O141" s="2408"/>
      <c r="P141" s="1636"/>
      <c r="Q141" s="1824"/>
      <c r="R141" s="376"/>
      <c r="S141" s="356"/>
      <c r="T141" s="1824"/>
      <c r="U141" s="1387"/>
      <c r="V141" s="1388"/>
      <c r="W141" s="1389"/>
      <c r="X141" s="1389"/>
      <c r="Y141" s="1389"/>
      <c r="Z141" s="1389"/>
      <c r="AA141" s="1389"/>
      <c r="AB141" s="1389"/>
      <c r="AC141" s="1389"/>
      <c r="AD141" s="1389"/>
      <c r="AE141" s="1389"/>
      <c r="AF141" s="1389"/>
      <c r="AG141" s="1389"/>
      <c r="AH141" s="1389"/>
      <c r="AI141" s="1389"/>
      <c r="AJ141" s="1389"/>
      <c r="AK141" s="1389"/>
      <c r="AL141" s="1389"/>
      <c r="AM141" s="1389"/>
      <c r="AN141" s="1389"/>
      <c r="AO141" s="1389"/>
      <c r="AP141" s="1389"/>
      <c r="AQ141" s="1389"/>
      <c r="AR141" s="1389"/>
      <c r="AS141" s="1389"/>
      <c r="AT141" s="1389"/>
      <c r="AU141" s="1389"/>
      <c r="AV141" s="1389"/>
      <c r="AW141" s="1389"/>
      <c r="AX141" s="1389"/>
      <c r="AY141" s="1389"/>
      <c r="AZ141" s="1390"/>
      <c r="BA141" s="1643"/>
      <c r="BB141" s="1625"/>
      <c r="BC141" s="1625" t="str">
        <f>IF(V141="","",V141)</f>
        <v/>
      </c>
      <c r="BD141" s="1625"/>
      <c r="BE141" s="1625"/>
      <c r="BF141" s="1636">
        <v>0</v>
      </c>
    </row>
    <row s="623" customFormat="1" customHeight="1" ht="14.25">
      <c r="A142" s="1376"/>
      <c r="B142" s="1376"/>
      <c r="C142" s="1376"/>
      <c r="D142" s="1376"/>
      <c r="E142" s="2312" t="s">
        <v>124</v>
      </c>
      <c r="F142" s="2312"/>
      <c r="G142" s="2311"/>
      <c r="H142" s="1376"/>
      <c r="I142" s="1376"/>
      <c r="J142" s="1376"/>
      <c r="K142" s="1376"/>
      <c r="L142" s="1376"/>
      <c r="M142" s="1382"/>
      <c r="N142" s="1379"/>
      <c r="O142" s="1379"/>
      <c r="P142" s="1642"/>
      <c r="Q142" s="1317"/>
      <c r="R142" s="1345"/>
      <c r="S142" s="1317"/>
      <c r="T142" s="1317"/>
      <c r="U142" s="1319"/>
      <c r="V142" s="1320" t="s">
        <v>177</v>
      </c>
      <c r="W142" s="1321"/>
      <c r="X142" s="1321"/>
      <c r="Y142" s="1321"/>
      <c r="Z142" s="1321"/>
      <c r="AA142" s="1321"/>
      <c r="AB142" s="1321"/>
      <c r="AC142" s="1321"/>
      <c r="AD142" s="1321"/>
      <c r="AE142" s="1321"/>
      <c r="AF142" s="1321"/>
      <c r="AG142" s="1321"/>
      <c r="AH142" s="1321"/>
      <c r="AI142" s="1321"/>
      <c r="AJ142" s="1321"/>
      <c r="AK142" s="1321"/>
      <c r="AL142" s="1321"/>
      <c r="AM142" s="1321"/>
      <c r="AN142" s="1321"/>
      <c r="AO142" s="1321"/>
      <c r="AP142" s="1321"/>
      <c r="AQ142" s="1321"/>
      <c r="AR142" s="1321"/>
      <c r="AS142" s="1321"/>
      <c r="AT142" s="1321"/>
      <c r="AU142" s="1321"/>
      <c r="AV142" s="1321"/>
      <c r="AW142" s="1321"/>
      <c r="AX142" s="1321"/>
      <c r="AY142" s="1321"/>
      <c r="AZ142" s="1321"/>
      <c r="BA142" s="1643"/>
      <c r="BB142" s="1625"/>
      <c r="BC142" s="1625" t="str">
        <f>IF(V142="","",V142)</f>
        <v>Добавить источник для дифференциации</v>
      </c>
      <c r="BD142" s="1625"/>
      <c r="BE142" s="1625"/>
      <c r="BF142" s="1643">
        <v>0</v>
      </c>
    </row>
    <row s="623" customFormat="1" customHeight="1" ht="14.25">
      <c r="A143" s="1376"/>
      <c r="B143" s="1376"/>
      <c r="C143" s="1376"/>
      <c r="D143" s="1376"/>
      <c r="E143" s="2312" t="s">
        <v>124</v>
      </c>
      <c r="F143" s="2311"/>
      <c r="G143" s="1376"/>
      <c r="H143" s="1376"/>
      <c r="I143" s="1376"/>
      <c r="J143" s="1376"/>
      <c r="K143" s="1376"/>
      <c r="L143" s="1376"/>
      <c r="M143" s="1382"/>
      <c r="N143" s="1380"/>
      <c r="O143" s="1380"/>
      <c r="P143" s="1642"/>
      <c r="Q143" s="1317"/>
      <c r="R143" s="1345"/>
      <c r="S143" s="1317"/>
      <c r="T143" s="1317"/>
      <c r="U143" s="1323"/>
      <c r="V143" s="1324" t="s">
        <v>178</v>
      </c>
      <c r="W143" s="1325"/>
      <c r="X143" s="1325"/>
      <c r="Y143" s="1325"/>
      <c r="Z143" s="1325"/>
      <c r="AA143" s="1325"/>
      <c r="AB143" s="1325"/>
      <c r="AC143" s="1325"/>
      <c r="AD143" s="1325"/>
      <c r="AE143" s="1325"/>
      <c r="AF143" s="1325"/>
      <c r="AG143" s="1325"/>
      <c r="AH143" s="1325"/>
      <c r="AI143" s="1325"/>
      <c r="AJ143" s="1325"/>
      <c r="AK143" s="1325"/>
      <c r="AL143" s="1325"/>
      <c r="AM143" s="1325"/>
      <c r="AN143" s="1325"/>
      <c r="AO143" s="1325"/>
      <c r="AP143" s="1325"/>
      <c r="AQ143" s="1325"/>
      <c r="AR143" s="1325"/>
      <c r="AS143" s="1325"/>
      <c r="AT143" s="1325"/>
      <c r="AU143" s="1325"/>
      <c r="AV143" s="1325"/>
      <c r="AW143" s="1325"/>
      <c r="AX143" s="1325"/>
      <c r="AY143" s="1325"/>
      <c r="AZ143" s="1325"/>
      <c r="BA143" s="1643"/>
      <c r="BB143" s="1625"/>
      <c r="BC143" s="1625" t="str">
        <f>IF(V143="","",V143)</f>
        <v>Добавить централизованную систему для дифференциации</v>
      </c>
      <c r="BD143" s="1625"/>
      <c r="BE143" s="1625"/>
      <c r="BF143" s="1643">
        <v>0</v>
      </c>
    </row>
    <row s="623" customFormat="1" customHeight="1" ht="14.25">
      <c r="A144" s="1376"/>
      <c r="B144" s="1376"/>
      <c r="C144" s="1376"/>
      <c r="D144" s="1376"/>
      <c r="E144" s="2311" t="s">
        <v>124</v>
      </c>
      <c r="F144" s="1376"/>
      <c r="G144" s="1376"/>
      <c r="H144" s="1376"/>
      <c r="I144" s="1376"/>
      <c r="J144" s="1376"/>
      <c r="K144" s="1376"/>
      <c r="L144" s="1376"/>
      <c r="M144" s="1382"/>
      <c r="N144" s="1380"/>
      <c r="O144" s="1380"/>
      <c r="P144" s="1642"/>
      <c r="Q144" s="1317"/>
      <c r="R144" s="1345"/>
      <c r="S144" s="1317"/>
      <c r="T144" s="1317"/>
      <c r="U144" s="1323"/>
      <c r="V144" s="1326" t="s">
        <v>183</v>
      </c>
      <c r="W144" s="1325"/>
      <c r="X144" s="1325"/>
      <c r="Y144" s="1325"/>
      <c r="Z144" s="1325"/>
      <c r="AA144" s="1325"/>
      <c r="AB144" s="1325"/>
      <c r="AC144" s="1325"/>
      <c r="AD144" s="1325"/>
      <c r="AE144" s="1325"/>
      <c r="AF144" s="1325"/>
      <c r="AG144" s="1325"/>
      <c r="AH144" s="1325"/>
      <c r="AI144" s="1325"/>
      <c r="AJ144" s="1325"/>
      <c r="AK144" s="1325"/>
      <c r="AL144" s="1325"/>
      <c r="AM144" s="1325"/>
      <c r="AN144" s="1325"/>
      <c r="AO144" s="1325"/>
      <c r="AP144" s="1325"/>
      <c r="AQ144" s="1325"/>
      <c r="AR144" s="1325"/>
      <c r="AS144" s="1325"/>
      <c r="AT144" s="1325"/>
      <c r="AU144" s="1325"/>
      <c r="AV144" s="1325"/>
      <c r="AW144" s="1325"/>
      <c r="AX144" s="1325"/>
      <c r="AY144" s="1325"/>
      <c r="AZ144" s="1325"/>
      <c r="BA144" s="1643"/>
      <c r="BB144" s="1625"/>
      <c r="BC144" s="1625" t="str">
        <f>IF(V144="","",V144)</f>
        <v>Добавить территорию для дифференциации</v>
      </c>
      <c r="BD144" s="1625"/>
      <c r="BE144" s="1625"/>
      <c r="BF144" s="1643">
        <v>0</v>
      </c>
    </row>
    <row s="1643" customFormat="1" customHeight="1" ht="4.2">
      <c r="A145" s="1375"/>
      <c r="B145" s="1375"/>
      <c r="C145" s="1375"/>
      <c r="D145" s="1375"/>
      <c r="E145" s="1376"/>
      <c r="F145" s="1375"/>
      <c r="G145" s="1375"/>
      <c r="H145" s="1375"/>
      <c r="I145" s="1375"/>
      <c r="J145" s="1375"/>
      <c r="K145" s="1375"/>
      <c r="L145" s="1375"/>
      <c r="M145" s="1378"/>
      <c r="N145" s="1380"/>
      <c r="O145" s="1380"/>
      <c r="P145" s="352"/>
      <c r="Q145" s="1317"/>
      <c r="R145" s="1318"/>
      <c r="S145" s="1317"/>
      <c r="T145" s="1317"/>
      <c r="U145" s="1323"/>
      <c r="V145" s="1326" t="s">
        <v>222</v>
      </c>
      <c r="W145" s="1325"/>
      <c r="X145" s="1325"/>
      <c r="Y145" s="1325"/>
      <c r="Z145" s="1325"/>
      <c r="AA145" s="1325"/>
      <c r="AB145" s="1325"/>
      <c r="AC145" s="1325"/>
      <c r="AD145" s="1325"/>
      <c r="AE145" s="1325"/>
      <c r="AF145" s="1325"/>
      <c r="AG145" s="1325"/>
      <c r="AH145" s="1325"/>
      <c r="AI145" s="1325"/>
      <c r="AJ145" s="1325"/>
      <c r="AK145" s="1325"/>
      <c r="AL145" s="1325"/>
      <c r="AM145" s="1325"/>
      <c r="AN145" s="1325"/>
      <c r="AO145" s="1325"/>
      <c r="AP145" s="1325"/>
      <c r="AQ145" s="1325"/>
      <c r="AR145" s="1325"/>
      <c r="AS145" s="1325"/>
      <c r="AT145" s="1325"/>
      <c r="AU145" s="1325"/>
      <c r="AV145" s="1325"/>
      <c r="AW145" s="1325"/>
      <c r="AX145" s="1325"/>
      <c r="AY145" s="1325"/>
      <c r="AZ145" s="1325"/>
      <c r="BB145" s="790"/>
      <c r="BC145" s="790" t="str">
        <f>IF(V145="","",V145)</f>
        <v>Добавить наименование тарифа</v>
      </c>
      <c r="BD145" s="790"/>
      <c r="BE145" s="790"/>
      <c r="BF145" s="519">
        <v>4</v>
      </c>
    </row>
    <row customHeight="1" ht="11.549999999999999">
      <c r="N146" s="1156"/>
      <c r="O146" s="1156"/>
      <c r="P146" s="510"/>
      <c r="Q146" s="1156"/>
      <c r="R146" s="1156"/>
      <c r="S146" s="1156"/>
      <c r="T146" s="1156"/>
      <c r="U146" s="1156"/>
      <c r="AP146" s="1636"/>
      <c r="AQ146" s="1636"/>
      <c r="AR146" s="1636"/>
      <c r="AS146" s="1636"/>
      <c r="AT146" s="1636"/>
      <c r="AU146" s="1636"/>
      <c r="AV146" s="1636"/>
      <c r="AW146" s="1636"/>
      <c r="AX146" s="5239"/>
      <c r="BA146" s="1156"/>
      <c r="BB146" s="1156"/>
      <c r="BC146" s="1156"/>
      <c r="BD146" s="1156"/>
      <c r="BE146" s="1156"/>
      <c r="BF146" s="1156">
        <v>11</v>
      </c>
    </row>
    <row customHeight="1" ht="35.699999999999996">
      <c r="P147" s="510"/>
      <c r="U147" s="1254"/>
      <c r="V147" s="2286"/>
      <c r="W147" s="2286"/>
      <c r="X147" s="2286"/>
      <c r="Y147" s="2286"/>
      <c r="Z147" s="2286"/>
      <c r="AA147" s="2286"/>
      <c r="AB147" s="2286"/>
      <c r="AC147" s="2286"/>
      <c r="AD147" s="2286"/>
      <c r="AE147" s="2286"/>
      <c r="AF147" s="2286"/>
      <c r="AG147" s="2286"/>
      <c r="AH147" s="2286"/>
      <c r="AI147" s="2286"/>
      <c r="AJ147" s="2286"/>
      <c r="AK147" s="2286"/>
      <c r="AL147" s="2286"/>
      <c r="AM147" s="2286"/>
      <c r="AN147" s="2286"/>
      <c r="AO147" s="2286"/>
      <c r="AP147" s="2386"/>
      <c r="AQ147" s="2386"/>
      <c r="AR147" s="2386"/>
      <c r="AS147" s="2386"/>
      <c r="AT147" s="2386"/>
      <c r="AU147" s="2386"/>
      <c r="AV147" s="2386"/>
      <c r="AW147" s="2386"/>
      <c r="AX147" s="5290"/>
      <c r="AY147" s="2286"/>
      <c r="AZ147" s="2286"/>
      <c r="BF147" s="1156">
        <v>34</v>
      </c>
    </row>
    <row customHeight="1" ht="21">
      <c r="P148" s="510"/>
      <c r="V148" s="2286"/>
      <c r="W148" s="2286"/>
      <c r="X148" s="2286"/>
      <c r="Y148" s="2286"/>
      <c r="Z148" s="2286"/>
      <c r="AA148" s="2286"/>
      <c r="AB148" s="2286"/>
      <c r="AC148" s="2286"/>
      <c r="AD148" s="2286"/>
      <c r="AE148" s="2286"/>
      <c r="AF148" s="2286"/>
      <c r="AG148" s="2286"/>
      <c r="AH148" s="2286"/>
      <c r="AI148" s="2286"/>
      <c r="AJ148" s="2286"/>
      <c r="AK148" s="2286"/>
      <c r="AL148" s="2286"/>
      <c r="AM148" s="2286"/>
      <c r="AN148" s="2286"/>
      <c r="AO148" s="2286"/>
      <c r="AP148" s="2386"/>
      <c r="AQ148" s="2386"/>
      <c r="AR148" s="2386"/>
      <c r="AS148" s="2386"/>
      <c r="AT148" s="2386"/>
      <c r="AU148" s="2386"/>
      <c r="AV148" s="2386"/>
      <c r="AW148" s="2386"/>
      <c r="AX148" s="5290"/>
      <c r="AY148" s="2286"/>
      <c r="AZ148" s="2286"/>
      <c r="BF148" s="1156">
        <v>20</v>
      </c>
    </row>
    <row customHeight="1" ht="14.699999999999998">
      <c r="P149" s="510"/>
      <c r="AP149" s="1636"/>
      <c r="AQ149" s="1636"/>
      <c r="AR149" s="1636"/>
      <c r="AS149" s="1636"/>
      <c r="AT149" s="1636"/>
      <c r="AU149" s="1636"/>
      <c r="AV149" s="1636"/>
      <c r="AW149" s="1636"/>
      <c r="AX149" s="5239"/>
      <c r="BF149" s="1156">
        <v>14</v>
      </c>
    </row>
    <row customHeight="1" ht="28.5">
      <c r="P150" s="510"/>
      <c r="V150" s="2286"/>
      <c r="W150" s="2286"/>
      <c r="X150" s="2286"/>
      <c r="Y150" s="2286"/>
      <c r="Z150" s="2286"/>
      <c r="AA150" s="2286"/>
      <c r="AB150" s="2286"/>
      <c r="AC150" s="2286"/>
      <c r="AD150" s="2286"/>
      <c r="AE150" s="2286"/>
      <c r="AF150" s="2286"/>
      <c r="AG150" s="2286"/>
      <c r="AH150" s="2286"/>
      <c r="AI150" s="2286"/>
      <c r="AJ150" s="2286"/>
      <c r="AK150" s="2286"/>
      <c r="AL150" s="2286"/>
      <c r="AM150" s="2286"/>
      <c r="AN150" s="2286"/>
      <c r="AO150" s="2286"/>
      <c r="AP150" s="2386"/>
      <c r="AQ150" s="2386"/>
      <c r="AR150" s="2386"/>
      <c r="AS150" s="2386"/>
      <c r="AT150" s="2386"/>
      <c r="AU150" s="2386"/>
      <c r="AV150" s="2386"/>
      <c r="AW150" s="2386"/>
      <c r="AX150" s="5290"/>
      <c r="AY150" s="2286"/>
      <c r="AZ150" s="2286"/>
      <c r="BF150" s="1156">
        <v>27</v>
      </c>
    </row>
    <row customHeight="1" ht="18.75">
      <c r="P151" s="510"/>
      <c r="V151" s="2286"/>
      <c r="W151" s="2286"/>
      <c r="X151" s="2286"/>
      <c r="Y151" s="2286"/>
      <c r="Z151" s="2286"/>
      <c r="AA151" s="2286"/>
      <c r="AB151" s="2286"/>
      <c r="AC151" s="2286"/>
      <c r="AD151" s="2286"/>
      <c r="AE151" s="2286"/>
      <c r="AF151" s="2286"/>
      <c r="AG151" s="2286"/>
      <c r="AH151" s="2286"/>
      <c r="AI151" s="2286"/>
      <c r="AJ151" s="2286"/>
      <c r="AK151" s="2286"/>
      <c r="AL151" s="2286"/>
      <c r="AM151" s="2286"/>
      <c r="AN151" s="2286"/>
      <c r="AO151" s="2286"/>
      <c r="AP151" s="2386"/>
      <c r="AQ151" s="2386"/>
      <c r="AR151" s="2386"/>
      <c r="AS151" s="2386"/>
      <c r="AT151" s="2386"/>
      <c r="AU151" s="2386"/>
      <c r="AV151" s="2386"/>
      <c r="AW151" s="2386"/>
      <c r="AX151" s="5290"/>
      <c r="AY151" s="2286"/>
      <c r="AZ151" s="2286"/>
      <c r="BF151" s="1156">
        <v>18</v>
      </c>
    </row>
    <row customHeight="1" ht="22.5" hidden="1">
      <c r="A152" s="1156" t="s">
        <v>86</v>
      </c>
      <c r="B152" s="1156">
        <v>0</v>
      </c>
      <c r="C152" s="1156">
        <v>0</v>
      </c>
      <c r="D152" s="1156">
        <v>0</v>
      </c>
      <c r="E152" s="1156">
        <v>0</v>
      </c>
      <c r="F152" s="1156">
        <v>0</v>
      </c>
      <c r="G152" s="1156">
        <v>0</v>
      </c>
      <c r="H152" s="1156">
        <v>0</v>
      </c>
      <c r="I152" s="1156">
        <v>0</v>
      </c>
      <c r="J152" s="1156">
        <v>0</v>
      </c>
      <c r="K152" s="1156">
        <v>0</v>
      </c>
      <c r="L152" s="1156">
        <v>0</v>
      </c>
      <c r="M152" s="1328">
        <v>0</v>
      </c>
      <c r="N152" s="1329">
        <v>0</v>
      </c>
      <c r="O152" s="1329">
        <v>0</v>
      </c>
      <c r="P152" s="1329">
        <v>0</v>
      </c>
      <c r="Q152" s="1329">
        <v>0</v>
      </c>
      <c r="R152" s="345">
        <v>3</v>
      </c>
      <c r="S152" s="345">
        <v>3</v>
      </c>
      <c r="T152" s="345">
        <v>3</v>
      </c>
      <c r="U152" s="582">
        <v>12</v>
      </c>
      <c r="V152" s="1156">
        <v>31</v>
      </c>
      <c r="W152" s="1156">
        <v>0</v>
      </c>
      <c r="X152" s="1156">
        <v>0</v>
      </c>
      <c r="Y152" s="1156">
        <v>0</v>
      </c>
      <c r="Z152" s="1156">
        <v>0</v>
      </c>
      <c r="AA152" s="1156">
        <v>0</v>
      </c>
      <c r="AB152" s="1156">
        <v>0</v>
      </c>
      <c r="AC152" s="1156">
        <v>0</v>
      </c>
      <c r="AD152" s="1156">
        <v>0</v>
      </c>
      <c r="AE152" s="1156">
        <v>0</v>
      </c>
      <c r="AF152" s="1156">
        <v>0</v>
      </c>
      <c r="AG152" s="1156">
        <v>21</v>
      </c>
      <c r="AH152" s="1156">
        <v>21</v>
      </c>
      <c r="AI152" s="1156">
        <v>21</v>
      </c>
      <c r="AJ152" s="1156">
        <v>21</v>
      </c>
      <c r="AK152" s="1156">
        <v>21</v>
      </c>
      <c r="AL152" s="1156">
        <v>11</v>
      </c>
      <c r="AM152" s="1156">
        <v>3</v>
      </c>
      <c r="AN152" s="1156">
        <v>11</v>
      </c>
      <c r="AO152" s="1156">
        <v>8</v>
      </c>
      <c r="AP152" s="1636">
        <v>0</v>
      </c>
      <c r="AQ152" s="1636">
        <v>0</v>
      </c>
      <c r="AR152" s="1636">
        <v>0</v>
      </c>
      <c r="AS152" s="1636">
        <v>0</v>
      </c>
      <c r="AT152" s="1636">
        <v>0</v>
      </c>
      <c r="AU152" s="1636">
        <v>0</v>
      </c>
      <c r="AV152" s="1636">
        <v>0</v>
      </c>
      <c r="AW152" s="1636">
        <v>0</v>
      </c>
      <c r="AX152" s="5239">
        <v>0</v>
      </c>
      <c r="AY152" s="1156">
        <v>4</v>
      </c>
      <c r="AZ152" s="1156">
        <v>115</v>
      </c>
      <c r="BA152" s="512">
        <v>10</v>
      </c>
      <c r="BB152" s="512">
        <v>10</v>
      </c>
      <c r="BC152" s="512">
        <v>10</v>
      </c>
      <c r="BD152" s="512">
        <v>10</v>
      </c>
      <c r="BE152" s="512">
        <v>10</v>
      </c>
      <c r="BF152" s="1156">
        <v>23</v>
      </c>
    </row>
  </sheetData>
  <sheetProtection formatColumns="0" formatRows="0" autoFilter="0" sort="0" insertRows="0" insertColumns="1" deleteRows="0" deleteColumns="0"/>
  <mergeCells count="329">
    <mergeCell ref="V151:AZ151"/>
    <mergeCell ref="U39:V39"/>
    <mergeCell ref="X39:AE39"/>
    <mergeCell ref="AG39:AN39"/>
    <mergeCell ref="U38:V38"/>
    <mergeCell ref="X38:AE38"/>
    <mergeCell ref="AG38:AN38"/>
    <mergeCell ref="AL55:AL58"/>
    <mergeCell ref="AM55:AM58"/>
    <mergeCell ref="AN55:AN58"/>
    <mergeCell ref="AO55:AO58"/>
    <mergeCell ref="V150:AZ150"/>
    <mergeCell ref="AZ42:AZ47"/>
    <mergeCell ref="AZ56:AZ59"/>
    <mergeCell ref="V147:AZ147"/>
    <mergeCell ref="V148:AZ148"/>
    <mergeCell ref="Y44:AB44"/>
    <mergeCell ref="Y45:Y47"/>
    <mergeCell ref="Z45:AB45"/>
    <mergeCell ref="AA46:AB46"/>
    <mergeCell ref="Z46:Z47"/>
    <mergeCell ref="AC46:AC47"/>
    <mergeCell ref="AD46:AE47"/>
    <mergeCell ref="AC44:AE45"/>
    <mergeCell ref="AH44:AK44"/>
    <mergeCell ref="AL44:AN45"/>
    <mergeCell ref="AH45:AH47"/>
    <mergeCell ref="X53:AF53"/>
    <mergeCell ref="AG53:AY53"/>
    <mergeCell ref="AI45:AK45"/>
    <mergeCell ref="AI46:AI47"/>
    <mergeCell ref="AJ46:AK46"/>
    <mergeCell ref="AL46:AL47"/>
    <mergeCell ref="AM46:AN47"/>
    <mergeCell ref="AY43:AY47"/>
    <mergeCell ref="X44:X47"/>
    <mergeCell ref="AG44:AG47"/>
    <mergeCell ref="AC55:AC58"/>
    <mergeCell ref="AE55:AE58"/>
    <mergeCell ref="AD55:AD58"/>
    <mergeCell ref="E49:E64"/>
    <mergeCell ref="X49:AF49"/>
    <mergeCell ref="AG49:AY49"/>
    <mergeCell ref="F50:F63"/>
    <mergeCell ref="X50:AF50"/>
    <mergeCell ref="AG50:AY50"/>
    <mergeCell ref="G51:G62"/>
    <mergeCell ref="X51:AF51"/>
    <mergeCell ref="AG51:AY51"/>
    <mergeCell ref="H52:H61"/>
    <mergeCell ref="X52:AF52"/>
    <mergeCell ref="AG52:AY52"/>
    <mergeCell ref="I53:I60"/>
    <mergeCell ref="Q53:Q60"/>
    <mergeCell ref="L56:L57"/>
    <mergeCell ref="AF55:AF58"/>
    <mergeCell ref="U36:V36"/>
    <mergeCell ref="X36:AE36"/>
    <mergeCell ref="AG36:AN36"/>
    <mergeCell ref="X33:AE33"/>
    <mergeCell ref="AG33:AN33"/>
    <mergeCell ref="U34:V34"/>
    <mergeCell ref="X34:AE34"/>
    <mergeCell ref="AG34:AN34"/>
    <mergeCell ref="J54:J59"/>
    <mergeCell ref="R54:R59"/>
    <mergeCell ref="X54:AF54"/>
    <mergeCell ref="AG54:AY54"/>
    <mergeCell ref="K55:K58"/>
    <mergeCell ref="AD48:AE48"/>
    <mergeCell ref="AM48:AN48"/>
    <mergeCell ref="X41:AF41"/>
    <mergeCell ref="AG41:AO41"/>
    <mergeCell ref="U42:AY42"/>
    <mergeCell ref="U43:U47"/>
    <mergeCell ref="V43:V47"/>
    <mergeCell ref="X43:AE43"/>
    <mergeCell ref="AF43:AF47"/>
    <mergeCell ref="AG43:AN43"/>
    <mergeCell ref="AO43:AO47"/>
    <mergeCell ref="AZ9:AZ12"/>
    <mergeCell ref="J7:J12"/>
    <mergeCell ref="R7:R12"/>
    <mergeCell ref="X7:AF7"/>
    <mergeCell ref="AG7:AY7"/>
    <mergeCell ref="S8:S11"/>
    <mergeCell ref="U35:V35"/>
    <mergeCell ref="X35:AE35"/>
    <mergeCell ref="AG35:AN35"/>
    <mergeCell ref="K8:K11"/>
    <mergeCell ref="L9:L10"/>
    <mergeCell ref="AC8:AC11"/>
    <mergeCell ref="AE8:AE11"/>
    <mergeCell ref="AD8:AD11"/>
    <mergeCell ref="AF8:AF11"/>
    <mergeCell ref="AL8:AL11"/>
    <mergeCell ref="AM8:AM11"/>
    <mergeCell ref="AN8:AN11"/>
    <mergeCell ref="AO8:AO11"/>
    <mergeCell ref="U30:AN30"/>
    <mergeCell ref="U31:AN31"/>
    <mergeCell ref="U33:V33"/>
    <mergeCell ref="AL19:AL22"/>
    <mergeCell ref="AM19:AM22"/>
    <mergeCell ref="AN19:AN22"/>
    <mergeCell ref="AO19:AO22"/>
    <mergeCell ref="E2:E17"/>
    <mergeCell ref="X2:AF2"/>
    <mergeCell ref="AG2:AY2"/>
    <mergeCell ref="F3:F16"/>
    <mergeCell ref="X3:AF3"/>
    <mergeCell ref="AG3:AY3"/>
    <mergeCell ref="G4:G15"/>
    <mergeCell ref="X4:AF4"/>
    <mergeCell ref="AG4:AY4"/>
    <mergeCell ref="H5:H14"/>
    <mergeCell ref="X5:AF5"/>
    <mergeCell ref="AG5:AY5"/>
    <mergeCell ref="I6:I13"/>
    <mergeCell ref="Q6:Q13"/>
    <mergeCell ref="X6:AF6"/>
    <mergeCell ref="AG6:AY6"/>
    <mergeCell ref="AZ72:AZ75"/>
    <mergeCell ref="J70:J75"/>
    <mergeCell ref="R70:R75"/>
    <mergeCell ref="X70:AF70"/>
    <mergeCell ref="AG70:AY70"/>
    <mergeCell ref="S71:S74"/>
    <mergeCell ref="K71:K74"/>
    <mergeCell ref="L72:L73"/>
    <mergeCell ref="AC71:AC74"/>
    <mergeCell ref="AE71:AE74"/>
    <mergeCell ref="AD71:AD74"/>
    <mergeCell ref="AF71:AF74"/>
    <mergeCell ref="AL71:AL74"/>
    <mergeCell ref="AM71:AM74"/>
    <mergeCell ref="AN71:AN74"/>
    <mergeCell ref="AO71:AO74"/>
    <mergeCell ref="E65:E80"/>
    <mergeCell ref="X65:AF65"/>
    <mergeCell ref="AG65:AY65"/>
    <mergeCell ref="F66:F79"/>
    <mergeCell ref="X66:AF66"/>
    <mergeCell ref="AG66:AY66"/>
    <mergeCell ref="G67:G78"/>
    <mergeCell ref="X67:AF67"/>
    <mergeCell ref="AG67:AY67"/>
    <mergeCell ref="H68:H77"/>
    <mergeCell ref="X68:AF68"/>
    <mergeCell ref="AG68:AY68"/>
    <mergeCell ref="I69:I76"/>
    <mergeCell ref="Q69:Q76"/>
    <mergeCell ref="X69:AF69"/>
    <mergeCell ref="AG69:AY69"/>
    <mergeCell ref="AZ88:AZ91"/>
    <mergeCell ref="J86:J91"/>
    <mergeCell ref="R86:R91"/>
    <mergeCell ref="X86:AF86"/>
    <mergeCell ref="AG86:AY86"/>
    <mergeCell ref="S87:S90"/>
    <mergeCell ref="K87:K90"/>
    <mergeCell ref="L88:L89"/>
    <mergeCell ref="AC87:AC90"/>
    <mergeCell ref="AE87:AE90"/>
    <mergeCell ref="AD87:AD90"/>
    <mergeCell ref="AF87:AF90"/>
    <mergeCell ref="AL87:AL90"/>
    <mergeCell ref="AM87:AM90"/>
    <mergeCell ref="AN87:AN90"/>
    <mergeCell ref="AO87:AO90"/>
    <mergeCell ref="E81:E96"/>
    <mergeCell ref="X81:AF81"/>
    <mergeCell ref="AG81:AY81"/>
    <mergeCell ref="F82:F95"/>
    <mergeCell ref="X82:AF82"/>
    <mergeCell ref="AG82:AY82"/>
    <mergeCell ref="G83:G94"/>
    <mergeCell ref="X83:AF83"/>
    <mergeCell ref="AG83:AY83"/>
    <mergeCell ref="H84:H93"/>
    <mergeCell ref="X84:AF84"/>
    <mergeCell ref="AG84:AY84"/>
    <mergeCell ref="I85:I92"/>
    <mergeCell ref="Q85:Q92"/>
    <mergeCell ref="X85:AF85"/>
    <mergeCell ref="AG85:AY85"/>
    <mergeCell ref="AZ104:AZ107"/>
    <mergeCell ref="J102:J107"/>
    <mergeCell ref="R102:R107"/>
    <mergeCell ref="X102:AF102"/>
    <mergeCell ref="AG102:AY102"/>
    <mergeCell ref="S103:S106"/>
    <mergeCell ref="K103:K106"/>
    <mergeCell ref="L104:L105"/>
    <mergeCell ref="AC103:AC106"/>
    <mergeCell ref="AE103:AE106"/>
    <mergeCell ref="AD103:AD106"/>
    <mergeCell ref="AF103:AF106"/>
    <mergeCell ref="AL103:AL106"/>
    <mergeCell ref="AM103:AM106"/>
    <mergeCell ref="AN103:AN106"/>
    <mergeCell ref="AO103:AO106"/>
    <mergeCell ref="E97:E112"/>
    <mergeCell ref="X97:AF97"/>
    <mergeCell ref="AG97:AY97"/>
    <mergeCell ref="F98:F111"/>
    <mergeCell ref="X98:AF98"/>
    <mergeCell ref="AG98:AY98"/>
    <mergeCell ref="G99:G110"/>
    <mergeCell ref="X99:AF99"/>
    <mergeCell ref="AG99:AY99"/>
    <mergeCell ref="H100:H109"/>
    <mergeCell ref="X100:AF100"/>
    <mergeCell ref="AG100:AY100"/>
    <mergeCell ref="I101:I108"/>
    <mergeCell ref="Q101:Q108"/>
    <mergeCell ref="X101:AF101"/>
    <mergeCell ref="AG101:AY101"/>
    <mergeCell ref="AZ120:AZ123"/>
    <mergeCell ref="J118:J123"/>
    <mergeCell ref="R118:R123"/>
    <mergeCell ref="X118:AF118"/>
    <mergeCell ref="AG118:AY118"/>
    <mergeCell ref="S119:S122"/>
    <mergeCell ref="K119:K122"/>
    <mergeCell ref="L120:L121"/>
    <mergeCell ref="AC119:AC122"/>
    <mergeCell ref="AE119:AE122"/>
    <mergeCell ref="AD119:AD122"/>
    <mergeCell ref="AF119:AF122"/>
    <mergeCell ref="AL119:AL122"/>
    <mergeCell ref="AM119:AM122"/>
    <mergeCell ref="AN119:AN122"/>
    <mergeCell ref="AO119:AO122"/>
    <mergeCell ref="E113:E128"/>
    <mergeCell ref="X113:AF113"/>
    <mergeCell ref="AG113:AY113"/>
    <mergeCell ref="F114:F127"/>
    <mergeCell ref="X114:AF114"/>
    <mergeCell ref="AG114:AY114"/>
    <mergeCell ref="G115:G126"/>
    <mergeCell ref="X115:AF115"/>
    <mergeCell ref="AG115:AY115"/>
    <mergeCell ref="H116:H125"/>
    <mergeCell ref="X116:AF116"/>
    <mergeCell ref="AG116:AY116"/>
    <mergeCell ref="I117:I124"/>
    <mergeCell ref="Q117:Q124"/>
    <mergeCell ref="X117:AF117"/>
    <mergeCell ref="AG117:AY117"/>
    <mergeCell ref="AZ136:AZ139"/>
    <mergeCell ref="J134:J139"/>
    <mergeCell ref="R134:R139"/>
    <mergeCell ref="X134:AF134"/>
    <mergeCell ref="AG134:AY134"/>
    <mergeCell ref="S135:S138"/>
    <mergeCell ref="K135:K138"/>
    <mergeCell ref="L136:L137"/>
    <mergeCell ref="AC135:AC138"/>
    <mergeCell ref="AE135:AE138"/>
    <mergeCell ref="AD135:AD138"/>
    <mergeCell ref="AF135:AF138"/>
    <mergeCell ref="AL135:AL138"/>
    <mergeCell ref="AM135:AM138"/>
    <mergeCell ref="AN135:AN138"/>
    <mergeCell ref="AO135:AO138"/>
    <mergeCell ref="E129:E144"/>
    <mergeCell ref="X129:AF129"/>
    <mergeCell ref="AG129:AY129"/>
    <mergeCell ref="F130:F143"/>
    <mergeCell ref="X130:AF130"/>
    <mergeCell ref="AG130:AY130"/>
    <mergeCell ref="G131:G142"/>
    <mergeCell ref="X131:AF131"/>
    <mergeCell ref="AG131:AY131"/>
    <mergeCell ref="H132:H141"/>
    <mergeCell ref="X132:AF132"/>
    <mergeCell ref="AG132:AY132"/>
    <mergeCell ref="I133:I140"/>
    <mergeCell ref="Q133:Q140"/>
    <mergeCell ref="X133:AF133"/>
    <mergeCell ref="AG133:AY133"/>
    <mergeCell ref="AP39:AW39"/>
    <mergeCell ref="AP38:AW38"/>
    <mergeCell ref="AQ44:AT44"/>
    <mergeCell ref="AQ45:AQ47"/>
    <mergeCell ref="AR45:AT45"/>
    <mergeCell ref="AS46:AT46"/>
    <mergeCell ref="AR46:AR47"/>
    <mergeCell ref="AU46:AU47"/>
    <mergeCell ref="AV46:AW47"/>
    <mergeCell ref="AU44:AW45"/>
    <mergeCell ref="AU8:AU11"/>
    <mergeCell ref="AV8:AV11"/>
    <mergeCell ref="AW8:AW11"/>
    <mergeCell ref="AX8:AX11"/>
    <mergeCell ref="AP33:AW33"/>
    <mergeCell ref="AP34:AW34"/>
    <mergeCell ref="AP35:AW35"/>
    <mergeCell ref="AP36:AW36"/>
    <mergeCell ref="AP41:AX41"/>
    <mergeCell ref="AP43:AW43"/>
    <mergeCell ref="AX43:AX47"/>
    <mergeCell ref="AP44:AP47"/>
    <mergeCell ref="AV48:AW48"/>
    <mergeCell ref="AU55:AU58"/>
    <mergeCell ref="AV55:AV58"/>
    <mergeCell ref="AW55:AW58"/>
    <mergeCell ref="AX55:AX58"/>
    <mergeCell ref="AU71:AU74"/>
    <mergeCell ref="AV71:AV74"/>
    <mergeCell ref="AW71:AW74"/>
    <mergeCell ref="AX71:AX74"/>
    <mergeCell ref="AU87:AU90"/>
    <mergeCell ref="AV87:AV90"/>
    <mergeCell ref="AW87:AW90"/>
    <mergeCell ref="AX87:AX90"/>
    <mergeCell ref="AU103:AU106"/>
    <mergeCell ref="AV103:AV106"/>
    <mergeCell ref="AW103:AW106"/>
    <mergeCell ref="AX103:AX106"/>
    <mergeCell ref="AU119:AU122"/>
    <mergeCell ref="AV119:AV122"/>
    <mergeCell ref="AW119:AW122"/>
    <mergeCell ref="AX119:AX122"/>
    <mergeCell ref="AU135:AU138"/>
    <mergeCell ref="AV135:AV138"/>
    <mergeCell ref="AW135:AW138"/>
    <mergeCell ref="AX135:AX138"/>
  </mergeCells>
  <dataValidations count="8">
    <dataValidation type="list" allowBlank="1" showInputMessage="1" showErrorMessage="1" errorTitle="Ошибка" error="Выберите значение из списка" sqref="V65672 V131208 V196744 V262280 V327816 V393352 V458888 V524424 V589960 V655496 V721032 V786568 V852104 V917640 V983176">
      <formula1>kind_of_heat_transfer</formula1>
    </dataValidation>
    <dataValidation type="list" allowBlank="1" showInputMessage="1" showErrorMessage="1" errorTitle="Ошибка" error="Выберите значение из списка" sqref="X983174:Z983174 X65670:Z65670 X131206:Z131206 X196742:Z196742 X262278:Z262278 X327814:Z327814 X393350:Z393350 X458886:Z458886 X524422:Z524422 X589958:Z589958 X655494:Z655494 X721030:Z721030 X786566:Z786566 X852102:Z852102 X917638:Z917638 AG983174:AI983174 AG65670:AI65670 AG131206:AI131206 AG196742:AI196742 AG262278:AI262278 AG327814:AI327814 AG393350:AI393350 AG458886:AI458886 AG524422:AI524422 AG589958:AI589958 AG655494:AI655494 AG721030:AI721030 AG786566:AI786566 AG852102:AI852102 AG917638:AI917638">
      <formula1>kind_of_scheme_in</formula1>
    </dataValidation>
    <dataValidation type="list" allowBlank="1" showInputMessage="1" errorTitle="Ошибка" error="Выберите значение из списка" prompt="Выберите значение из списка" sqref="X983175:AY983175 X65671:AY65671 X131207:AY131207 X196743:AY196743 X262279:AY262279 X327815:AY327815 X393351:AY393351 X458887:AY458887 X524423:AY524423 X589959:AY589959 X655495:AY655495 X721031:AY721031 X786567:AY786567 X852103:AY852103 X917639:AY917639">
      <formula1>kind_of_cons</formula1>
    </dataValidation>
    <dataValidation allowBlank="1" sqref="U131210:AZ131216 U196746:AZ196752 U262282:AZ262288 U327818:AZ327824 U393354:AZ393360 U458890:AZ458896 U524426:AZ524432 U589962:AZ589968 U655498:AZ655504 U721034:AZ721040 U786570:AZ786576 U852106:AZ852112 U917642:AZ917648 U983178:AZ983184 U65674:AZ65680"/>
    <dataValidation type="textLength" operator="lessThanOrEqual" allowBlank="1" showInputMessage="1" showErrorMessage="1" errorTitle="Ошибка" error="Допускается ввод не более 900 символов!" sqref="AZ65666:AZ65673 AZ131202:AZ131209 AZ196738:AZ196745 AZ262274:AZ262281 AZ327810:AZ327817 AZ393346:AZ393353 AZ458882:AZ458889 AZ524418:AZ524425 AZ589954:AZ589961 AZ655490:AZ655497 AZ721026:AZ721033 AZ786562:AZ786569 AZ852098:AZ852105 AZ917634:AZ917641 AZ983170:AZ983177">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AC65672 AC131208 AC196744 AC262280 AC327816 AC393352 AC458888 AC524424 AC589960 AC655496 AC721032 AC786568 AC852104 AC917640 AC983176 AE65672 AE131208 AE196744 AE262280 AE327816 AE393352 AE458888 AE524424 AE589960 AE655496 AE721032 AE786568 AE852104 AE917640 AE983176 AN55 AL65672 AL131208 AL196744 AL262280 AL327816 AL393352 AL458888 AL524424 AL589960 AL655496 AL721032 AL786568 AL852104 AL917640 AL983176 AN65672 AN131208 AN196744 AN262280 AN327816 AN393352 AN458888 AN524424 AN589960 AN655496 AN721032 AN786568 AN852104 AN917640 AN983176 AC55 AE55 AL55 AE8 AC8 AL19:AL21 AN19:AN21 AN8 AL8 AC71 AE71 AL71 AN71 AC87 AE87 AL87 AN87 AC103 AE103 AL103 AN103 AC119 AE119 AL119 AN119 AC135 AE135 AL135 AN135 AU8 AW8 AU55 AW55 AU71 AW71 AU87 AW87 AU103 AW103 AU119 AW119 AU135 AW135"/>
    <dataValidation allowBlank="1" promptTitle="checkPeriodRange" sqref="AB65673 AB131209 AB196745 AB262281 AB327817 AB393353 AB458889 AB524425 AB589961 AB655497 AB721033 AB786569 AB852105 AB917641 AB983177 AB10:AB11 AK65673 AK131209 AK196745 AK262281 AK327817 AK393353 AK458889 AK524425 AK589961 AK655497 AK721033 AK786569 AK852105 AK917641 AK983177 AK10:AK11 AK57 AK22 AB57 AB73 AK73 AB74 AK74 AB89 AK89 AB90 AK90 AB105 AK105 AB106 AK106 AB121 AK121 AB122 AK122 AB137 AK137 AB138 AK138 AT10 AT11 AT57 AT73 AT74 AT89 AT90 AT105 AT106 AT121 AT122 AT137 AT138"/>
    <dataValidation allowBlank="1" showInputMessage="1" showErrorMessage="1" prompt="Для выбора выполните двойной щелчок левой клавиши мыши по соответствующей ячейке." sqref="AD65672 AD131208 AD196744 AD262280 AD327816 AD393352 AD458888 AD524424 AD589960 AD655496 AD721032 AD786568 AD852104 AD917640 AD983176 AF131208 AF458888 AF196744 AF262280 AF327816 AF393352 AF524424 AF589960 AF655496 AF721032 AF786568 AF852104 AF917640 AF983176 AF65672 AM65672 AM131208 AM196744 AM262280 AM327816 AM393352 AM458888 AM524424 AM589960 AM655496 AM721032 AM786568 AM852104 AM917640 AM983176 AO393352:AX393352 AO327816:AX327816 AO524424:AX524424 AO55 AV55 AX55 AO589960:AX589960 AO655496:AX655496 AO19:AO21 AO721032:AX721032 AO786568:AX786568 AO852104:AX852104 AO917640:AX917640 AO983176:AX983176 AO65672:AX65672 AO131208:AX131208 AO458888:AX458888 AF55 AO196744:AX196744 AF8 AD8 AM55 AM19:AM21 AO262280:AX262280 AD55 AO8 AV8 AX8 AM8 AD71 AF71 AM71 AO71 AV71 AX71 AD87 AF87 AM87 AO87 AV87 AX87 AD103 AF103 AM103 AO103 AV103 AX103 AD119 AF119 AM119 AO119 AV119 AX119 AD135 AF135 AM135 AO135 AV135 AX135"/>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dr="http://schemas.openxmlformats.org/drawingml/2006/spreadsheetDrawing" xmlns:x14ac="http://schemas.microsoft.com/office/spreadsheetml/2009/9/ac" xmlns:xr="http://schemas.microsoft.com/office/spreadsheetml/2014/revision" xmlns:xr2="http://schemas.microsoft.com/office/spreadsheetml/2015/revision2" xmlns:xr3="http://schemas.microsoft.com/office/spreadsheetml/2016/revision3" xr:uid="{CD45B6CB-36E6-A6F8-C6B8-AC63DD4714F5}" mc:Ignorable="x14ac xr xr2 xr3">
  <sheetPr>
    <tabColor rgb="FFCCCCFF"/>
  </sheetPr>
  <dimension ref="A1:Q79"/>
  <sheetViews>
    <sheetView topLeftCell="C36" showGridLines="0" zoomScale="90" workbookViewId="0">
      <selection activeCell="F71" sqref="F71"/>
    </sheetView>
  </sheetViews>
  <sheetFormatPr defaultColWidth="9.140625" customHeight="1" defaultRowHeight="11.25"/>
  <cols>
    <col min="1" max="1" style="788" width="10.7109375" hidden="1" customWidth="1"/>
    <col min="2" max="2" style="733" width="10.7109375" hidden="1" customWidth="1"/>
    <col min="3" max="3" style="531" width="3.00390625" customWidth="1"/>
    <col min="4" max="4" style="1636" width="1.00390625" customWidth="1"/>
    <col min="5" max="6" style="1636" width="55.00390625" customWidth="1"/>
    <col min="7" max="7" style="2126" width="1.00390625" customWidth="1"/>
    <col min="8" max="8" style="1636" width="18.00390625" hidden="1" customWidth="1"/>
    <col min="9" max="9" style="532" width="59.00390625" customWidth="1"/>
    <col min="10" max="10" style="1367" width="52.140625" hidden="1" customWidth="1"/>
    <col min="11" max="11" style="1636" width="8.00390625" customWidth="1"/>
    <col min="12" max="12" style="1636" width="77.00390625" customWidth="1"/>
    <col min="13" max="16" style="1636" width="8.00390625" customWidth="1"/>
    <col min="17" max="17" style="1636" width="12.00390625" hidden="1" customWidth="1"/>
  </cols>
  <sheetData>
    <row s="623" customFormat="1" customHeight="1" ht="3">
      <c r="A1" s="784"/>
      <c r="B1" s="242"/>
      <c r="F1" s="243" t="s">
        <v>13</v>
      </c>
      <c r="G1" s="412"/>
      <c r="H1" s="72"/>
      <c r="I1" s="412"/>
      <c r="J1" s="872"/>
      <c r="Q1" s="243" t="s">
        <v>14</v>
      </c>
    </row>
    <row s="1633" customFormat="1" customHeight="1" ht="14.25">
      <c r="A2" s="784"/>
      <c r="B2" s="99"/>
      <c r="E2" s="1741" t="str">
        <f>code</f>
        <v>Код отчёта: PP110.OPEN.INFO.PRICE.HEAT.EIAS</v>
      </c>
      <c r="F2" s="270"/>
      <c r="G2" s="246"/>
      <c r="H2" s="246"/>
      <c r="I2" s="246"/>
      <c r="J2" s="873"/>
      <c r="K2" s="246"/>
      <c r="Q2" s="72">
        <v>14</v>
      </c>
    </row>
    <row customHeight="1" ht="14.699999999999998">
      <c r="E3" s="247" t="str">
        <f>version</f>
        <v>Версия отчёта: 1.1.1</v>
      </c>
      <c r="F3" s="270"/>
      <c r="G3" s="771"/>
      <c r="H3" s="771"/>
      <c r="I3" s="771"/>
      <c r="J3" s="874"/>
      <c r="K3" s="89"/>
      <c r="Q3" s="75">
        <v>14</v>
      </c>
    </row>
    <row s="1613" customFormat="1" customHeight="1" ht="6.3">
      <c r="A4" s="785"/>
      <c r="B4" s="233"/>
      <c r="C4" s="234"/>
      <c r="D4" s="235"/>
      <c r="E4" s="244"/>
      <c r="F4" s="245"/>
      <c r="G4" s="772"/>
      <c r="H4" s="410"/>
      <c r="I4" s="412"/>
      <c r="J4" s="875"/>
      <c r="Q4" s="237">
        <v>6</v>
      </c>
    </row>
    <row customHeight="1" ht="39.75">
      <c r="D5" s="76"/>
      <c r="E5" s="2096" t="str">
        <f>NameTemplatesInTitle</f>
        <v>Показатели, подлежащие раскрытию в сфере теплоснабжения (цены и тарифы)</v>
      </c>
      <c r="F5" s="2097"/>
      <c r="G5" s="773"/>
      <c r="J5" s="876"/>
      <c r="Q5" s="75">
        <v>38</v>
      </c>
    </row>
    <row s="1613" customFormat="1" customHeight="1" ht="6.3">
      <c r="A6" s="785"/>
      <c r="B6" s="233"/>
      <c r="C6" s="234"/>
      <c r="D6" s="235"/>
      <c r="E6" s="238"/>
      <c r="F6" s="239"/>
      <c r="G6" s="773"/>
      <c r="H6" s="410"/>
      <c r="I6" s="412"/>
      <c r="J6" s="875"/>
      <c r="Q6" s="237">
        <v>6</v>
      </c>
    </row>
    <row customHeight="1" ht="21">
      <c r="D7" s="76"/>
      <c r="E7" s="392" t="s">
        <v>15</v>
      </c>
      <c r="F7" s="216" t="s">
        <v>16</v>
      </c>
      <c r="G7" s="773"/>
      <c r="Q7" s="75">
        <v>20</v>
      </c>
    </row>
    <row s="1613" customFormat="1" customHeight="1" ht="6.3">
      <c r="A8" s="786"/>
      <c r="B8" s="233"/>
      <c r="C8" s="234"/>
      <c r="D8" s="240"/>
      <c r="E8" s="238"/>
      <c r="F8" s="241"/>
      <c r="G8" s="78"/>
      <c r="H8" s="410"/>
      <c r="I8" s="412"/>
      <c r="J8" s="878"/>
      <c r="Q8" s="237">
        <v>6</v>
      </c>
    </row>
    <row s="1636" customFormat="1" customHeight="1" ht="19.5" hidden="1">
      <c r="A9" s="785"/>
      <c r="B9" s="99"/>
      <c r="C9" s="409"/>
      <c r="D9" s="411"/>
      <c r="E9" s="1166" t="s">
        <v>17</v>
      </c>
      <c r="F9" s="1922"/>
      <c r="G9" s="773"/>
      <c r="I9" s="1901" t="str">
        <f>IF(TITLE_STRUCTURE_INFO_ROIV="","","раскрывается "&amp;INDEX(ROIV_INFO_COMMENT,MATCH(TITLE_STRUCTURE_INFO_ROIV,ROIV_INFO_LIST,0)))</f>
        <v/>
      </c>
      <c r="J9" s="877"/>
      <c r="Q9" s="410">
        <v>0</v>
      </c>
    </row>
    <row s="1613" customFormat="1" customHeight="1" ht="24" hidden="1">
      <c r="A10" s="786"/>
      <c r="B10" s="427"/>
      <c r="C10" s="428"/>
      <c r="D10" s="240"/>
      <c r="E10" s="1166" t="s">
        <v>18</v>
      </c>
      <c r="F10" s="2067" t="s">
        <v>19</v>
      </c>
      <c r="G10" s="78"/>
      <c r="H10" s="410"/>
      <c r="I10" s="412"/>
      <c r="J10" s="878"/>
      <c r="Q10" s="431">
        <v>24</v>
      </c>
    </row>
    <row customHeight="1" ht="22.5">
      <c r="A11" s="2099" t="s">
        <v>20</v>
      </c>
      <c r="D11" s="76"/>
      <c r="E11" s="1166" t="s">
        <v>21</v>
      </c>
      <c r="F11" s="1733">
        <v>44927</v>
      </c>
      <c r="G11" s="78"/>
      <c r="H11" s="774" t="s">
        <v>22</v>
      </c>
      <c r="J11" s="877" t="s">
        <v>23</v>
      </c>
      <c r="Q11" s="75">
        <v>0</v>
      </c>
    </row>
    <row customHeight="1" ht="22.5">
      <c r="A12" s="2099"/>
      <c r="D12" s="76"/>
      <c r="E12" s="1166" t="s">
        <v>24</v>
      </c>
      <c r="F12" s="1733">
        <v>46752</v>
      </c>
      <c r="G12" s="74"/>
      <c r="J12" s="877" t="s">
        <v>25</v>
      </c>
      <c r="Q12" s="75">
        <v>0</v>
      </c>
    </row>
    <row s="1636" customFormat="1" customHeight="1" ht="22.5" hidden="1">
      <c r="A13" s="789" t="s">
        <v>26</v>
      </c>
      <c r="B13" s="99"/>
      <c r="C13" s="409"/>
      <c r="D13" s="411"/>
      <c r="E13" s="1776" t="s">
        <v>27</v>
      </c>
      <c r="F13" s="1733" t="s">
        <v>28</v>
      </c>
      <c r="G13" s="78"/>
      <c r="H13" s="771"/>
      <c r="I13" s="412"/>
      <c r="J13" s="1777" t="s">
        <v>29</v>
      </c>
      <c r="Q13" s="410">
        <v>0</v>
      </c>
    </row>
    <row s="1636" customFormat="1" customHeight="1" ht="27" hidden="1">
      <c r="A14" s="789" t="s">
        <v>30</v>
      </c>
      <c r="B14" s="99"/>
      <c r="C14" s="409"/>
      <c r="D14" s="411"/>
      <c r="E14" s="1166" t="s">
        <v>31</v>
      </c>
      <c r="F14" s="1768"/>
      <c r="G14" s="78"/>
      <c r="H14" s="771"/>
      <c r="I14" s="412"/>
      <c r="J14" s="877" t="s">
        <v>32</v>
      </c>
      <c r="Q14" s="410">
        <v>0</v>
      </c>
    </row>
    <row s="1636" customFormat="1" customHeight="1" ht="19.5" hidden="1">
      <c r="A15" s="789" t="s">
        <v>33</v>
      </c>
      <c r="B15" s="99"/>
      <c r="C15" s="409"/>
      <c r="D15" s="411"/>
      <c r="E15" s="1166" t="s">
        <v>34</v>
      </c>
      <c r="F15" s="1768"/>
      <c r="G15" s="78"/>
      <c r="H15" s="771"/>
      <c r="I15" s="412"/>
      <c r="J15" s="877" t="s">
        <v>35</v>
      </c>
      <c r="Q15" s="410">
        <v>0</v>
      </c>
    </row>
    <row s="1613" customFormat="1" customHeight="1" ht="6.3">
      <c r="A16" s="786"/>
      <c r="B16" s="233"/>
      <c r="C16" s="234"/>
      <c r="D16" s="240"/>
      <c r="E16" s="238"/>
      <c r="F16" s="241"/>
      <c r="G16" s="78"/>
      <c r="H16" s="410"/>
      <c r="I16" s="412"/>
      <c r="J16" s="875"/>
      <c r="Q16" s="237">
        <v>6</v>
      </c>
    </row>
    <row customHeight="1" ht="21">
      <c r="D17" s="76"/>
      <c r="E17" s="392" t="s">
        <v>36</v>
      </c>
      <c r="F17" s="2577" t="s">
        <v>37</v>
      </c>
      <c r="G17" s="74"/>
      <c r="H17" s="774" t="s">
        <v>22</v>
      </c>
      <c r="Q17" s="75">
        <v>20</v>
      </c>
    </row>
    <row customHeight="1" ht="25.5">
      <c r="D18" s="76"/>
      <c r="E18" s="1776" t="s">
        <v>38</v>
      </c>
      <c r="F18" s="2630">
        <v>45278</v>
      </c>
      <c r="G18" s="74"/>
      <c r="I18" s="775"/>
      <c r="J18" s="2098" t="s">
        <v>39</v>
      </c>
      <c r="Q18" s="75">
        <v>0</v>
      </c>
    </row>
    <row customHeight="1" ht="25.5">
      <c r="D19" s="76"/>
      <c r="E19" s="1166" t="str">
        <f>"Дата периода регулирования, с которой "&amp;IF(TEMPLATE_GROUP="P","вводятся","предлагаются")&amp;" изменения в тарифы"</f>
        <v>Дата периода регулирования, с которой вводятся изменения в тарифы</v>
      </c>
      <c r="F19" s="2630">
        <v>45292</v>
      </c>
      <c r="G19" s="74"/>
      <c r="I19" s="775"/>
      <c r="J19" s="2098"/>
      <c r="Q19" s="75">
        <v>0</v>
      </c>
    </row>
    <row customHeight="1" ht="22.5">
      <c r="D20" s="76"/>
      <c r="E20" s="77"/>
      <c r="F20" s="271" t="str">
        <f>"Первичное "&amp;IF(TEMPLATE_GROUP="P","установление тарифов","предложение по тарифам")</f>
        <v>Первичное установление тарифов</v>
      </c>
      <c r="G20" s="74"/>
      <c r="I20" s="395"/>
      <c r="J20" s="876" t="s">
        <v>40</v>
      </c>
      <c r="Q20" s="75">
        <v>0</v>
      </c>
    </row>
    <row customHeight="1" ht="19.5">
      <c r="D21" s="76"/>
      <c r="E21" s="392" t="str">
        <f>"Дата "&amp;IF(TEMPLATE_GROUP="P","документа","подачи заявления")&amp;" об утверждении тарифов"</f>
        <v>Дата документа об утверждении тарифов</v>
      </c>
      <c r="F21" s="1733">
        <v>44883</v>
      </c>
      <c r="G21" s="74"/>
      <c r="I21" s="776"/>
      <c r="Q21" s="75">
        <v>0</v>
      </c>
    </row>
    <row customHeight="1" ht="19.5">
      <c r="D22" s="76"/>
      <c r="E22" s="392" t="str">
        <f>"Номер "&amp;IF(TEMPLATE_GROUP="P","документа","подачи заявления")&amp;" об утверждении тарифов"</f>
        <v>Номер документа об утверждении тарифов</v>
      </c>
      <c r="F22" s="217" t="s">
        <v>41</v>
      </c>
      <c r="G22" s="74"/>
      <c r="I22" s="776"/>
      <c r="Q22" s="75">
        <v>0</v>
      </c>
    </row>
    <row customHeight="1" ht="22.5">
      <c r="D23" s="76"/>
      <c r="E23" s="392" t="s">
        <v>42</v>
      </c>
      <c r="F23" s="217" t="s">
        <v>43</v>
      </c>
      <c r="G23" s="74"/>
      <c r="Q23" s="75">
        <v>0</v>
      </c>
    </row>
    <row customHeight="1" ht="19.5">
      <c r="D24" s="76"/>
      <c r="E24" s="392" t="s">
        <v>44</v>
      </c>
      <c r="F24" s="217" t="s">
        <v>45</v>
      </c>
      <c r="G24" s="74"/>
      <c r="Q24" s="75">
        <v>0</v>
      </c>
    </row>
    <row customHeight="1" ht="22.5">
      <c r="D25" s="76"/>
      <c r="E25" s="77"/>
      <c r="F25" s="271" t="str">
        <f>"Изменение "&amp;IF(TEMPLATE_GROUP="P","тарифов","предложения по тарифам")</f>
        <v>Изменение тарифов</v>
      </c>
      <c r="G25" s="74"/>
      <c r="J25" s="876" t="s">
        <v>46</v>
      </c>
      <c r="Q25" s="75">
        <v>0</v>
      </c>
    </row>
    <row customHeight="1" ht="19.5">
      <c r="D26" s="76"/>
      <c r="E26" s="392" t="str">
        <f>"Дата "&amp;IF(TEMPLATE_GROUP="P","принятия решения","подачи заявления")&amp;" об изменении тарифов"</f>
        <v>Дата принятия решения об изменении тарифов</v>
      </c>
      <c r="F26" s="2630">
        <v>46010</v>
      </c>
      <c r="G26" s="74"/>
      <c r="Q26" s="75">
        <v>0</v>
      </c>
    </row>
    <row customHeight="1" ht="19.5">
      <c r="D27" s="76"/>
      <c r="E27" s="1166" t="str">
        <f>"Номер "&amp;IF(TEMPLATE_GROUP="P","принятия решения","заявления")&amp;" об изменении тарифов"</f>
        <v>Номер принятия решения об изменении тарифов</v>
      </c>
      <c r="F27" s="2631" t="s">
        <v>47</v>
      </c>
      <c r="G27" s="74"/>
      <c r="Q27" s="75">
        <v>0</v>
      </c>
    </row>
    <row customHeight="1" ht="24.75">
      <c r="D28" s="76"/>
      <c r="E28" s="392" t="s">
        <v>48</v>
      </c>
      <c r="F28" s="2631" t="s">
        <v>43</v>
      </c>
      <c r="G28" s="74"/>
      <c r="Q28" s="75">
        <v>0</v>
      </c>
    </row>
    <row customHeight="1" ht="19.5">
      <c r="D29" s="76"/>
      <c r="E29" s="392" t="s">
        <v>44</v>
      </c>
      <c r="F29" s="2631" t="s">
        <v>49</v>
      </c>
      <c r="G29" s="74"/>
      <c r="Q29" s="75">
        <v>0</v>
      </c>
    </row>
    <row s="1613" customFormat="1" customHeight="1" ht="6.3">
      <c r="A30" s="786"/>
      <c r="B30" s="233"/>
      <c r="C30" s="234"/>
      <c r="D30" s="240"/>
      <c r="E30" s="238"/>
      <c r="F30" s="241"/>
      <c r="G30" s="78"/>
      <c r="H30" s="410"/>
      <c r="I30" s="412"/>
      <c r="J30" s="875"/>
      <c r="Q30" s="237">
        <v>6</v>
      </c>
    </row>
    <row customHeight="1" ht="21">
      <c r="C31" s="79"/>
      <c r="D31" s="80"/>
      <c r="E31" s="392" t="str">
        <f>"Наименование "&amp;IF(TEMPLATE_GROUP="ROIV","органа тарифного регулирования","ЮЛ / ИП")</f>
        <v>Наименование ЮЛ / ИП</v>
      </c>
      <c r="F31" s="218" t="s">
        <v>50</v>
      </c>
      <c r="G31" s="777"/>
      <c r="Q31" s="75">
        <v>20</v>
      </c>
    </row>
    <row customHeight="1" ht="21" hidden="1">
      <c r="C32" s="79"/>
      <c r="D32" s="80"/>
      <c r="E32" s="393" t="s">
        <v>51</v>
      </c>
      <c r="F32" s="218"/>
      <c r="G32" s="777"/>
      <c r="Q32" s="75">
        <v>20</v>
      </c>
    </row>
    <row customHeight="1" ht="21">
      <c r="C33" s="79"/>
      <c r="D33" s="80"/>
      <c r="E33" s="392" t="s">
        <v>52</v>
      </c>
      <c r="F33" s="218" t="s">
        <v>53</v>
      </c>
      <c r="G33" s="777"/>
      <c r="Q33" s="75">
        <v>20</v>
      </c>
    </row>
    <row customHeight="1" ht="21">
      <c r="C34" s="79"/>
      <c r="D34" s="80"/>
      <c r="E34" s="392" t="s">
        <v>54</v>
      </c>
      <c r="F34" s="218" t="s">
        <v>55</v>
      </c>
      <c r="G34" s="777"/>
      <c r="H34" s="81"/>
      <c r="Q34" s="75">
        <v>20</v>
      </c>
    </row>
    <row s="1613" customFormat="1" customHeight="1" ht="11.549999999999999">
      <c r="A35" s="786"/>
      <c r="B35" s="233"/>
      <c r="C35" s="234"/>
      <c r="D35" s="240"/>
      <c r="E35" s="238"/>
      <c r="F35" s="241"/>
      <c r="G35" s="78"/>
      <c r="H35" s="410"/>
      <c r="I35" s="412"/>
      <c r="J35" s="875"/>
      <c r="Q35" s="237">
        <v>11</v>
      </c>
    </row>
    <row customHeight="1" ht="19.5">
      <c r="A36" s="880"/>
      <c r="D36" s="80"/>
      <c r="E36" s="392" t="s">
        <v>56</v>
      </c>
      <c r="F36" s="1211" t="s">
        <v>57</v>
      </c>
      <c r="G36" s="78"/>
      <c r="Q36" s="75">
        <v>0</v>
      </c>
    </row>
    <row customHeight="1" ht="21">
      <c r="A37" s="880"/>
      <c r="D37" s="80"/>
      <c r="E37" s="392" t="s">
        <v>58</v>
      </c>
      <c r="F37" s="1211" t="s">
        <v>59</v>
      </c>
      <c r="G37" s="78"/>
      <c r="Q37" s="75">
        <v>20</v>
      </c>
    </row>
    <row s="1613" customFormat="1" customHeight="1" ht="6.3">
      <c r="A38" s="786"/>
      <c r="B38" s="233"/>
      <c r="C38" s="234"/>
      <c r="D38" s="235"/>
      <c r="E38" s="236"/>
      <c r="F38" s="1054"/>
      <c r="G38" s="74"/>
      <c r="H38" s="410"/>
      <c r="I38" s="412"/>
      <c r="J38" s="877"/>
      <c r="Q38" s="237">
        <v>6</v>
      </c>
    </row>
    <row customHeight="1" ht="36.75">
      <c r="A39" s="786"/>
      <c r="D39" s="76"/>
      <c r="E39" s="392" t="s">
        <v>60</v>
      </c>
      <c r="F39" s="711" t="s">
        <v>19</v>
      </c>
      <c r="G39" s="74"/>
      <c r="H39" s="774" t="s">
        <v>22</v>
      </c>
      <c r="Q39" s="75">
        <v>35</v>
      </c>
    </row>
    <row s="1613" customFormat="1" customHeight="1" ht="6" hidden="1">
      <c r="A40" s="785"/>
      <c r="B40" s="427"/>
      <c r="C40" s="428"/>
      <c r="D40" s="429"/>
      <c r="E40" s="430"/>
      <c r="F40" s="1054"/>
      <c r="G40" s="74"/>
      <c r="H40" s="410"/>
      <c r="I40" s="412"/>
      <c r="J40" s="877"/>
      <c r="Q40" s="431">
        <v>6</v>
      </c>
    </row>
    <row s="1636" customFormat="1" customHeight="1" ht="26.25" hidden="1">
      <c r="A41" s="789" t="s">
        <v>26</v>
      </c>
      <c r="B41" s="414"/>
      <c r="C41" s="409"/>
      <c r="D41" s="411"/>
      <c r="E41" s="392" t="str">
        <f>"Дифференциация информации по централизованным системам  "&amp;TEMPLATE_SPHERE_RUS</f>
        <v>Дифференциация информации по централизованным системам  теплоснабжения</v>
      </c>
      <c r="F41" s="711" t="s">
        <v>19</v>
      </c>
      <c r="G41" s="74"/>
      <c r="I41" s="412"/>
      <c r="J41" s="877"/>
      <c r="Q41" s="410">
        <v>0</v>
      </c>
    </row>
    <row s="1613" customFormat="1" customHeight="1" ht="6">
      <c r="A42" s="785"/>
      <c r="B42" s="427"/>
      <c r="C42" s="428"/>
      <c r="D42" s="429"/>
      <c r="E42" s="430"/>
      <c r="F42" s="1054"/>
      <c r="G42" s="74"/>
      <c r="H42" s="410"/>
      <c r="I42" s="412"/>
      <c r="J42" s="875"/>
      <c r="Q42" s="431">
        <v>0</v>
      </c>
    </row>
    <row s="1636" customFormat="1" customHeight="1" ht="27">
      <c r="A43" s="785"/>
      <c r="B43" s="414"/>
      <c r="C43" s="409"/>
      <c r="D43" s="411"/>
      <c r="E43" s="392" t="s">
        <v>61</v>
      </c>
      <c r="F43" s="711" t="s">
        <v>19</v>
      </c>
      <c r="G43" s="74"/>
      <c r="I43" s="412"/>
      <c r="J43" s="877"/>
      <c r="Q43" s="410">
        <v>0</v>
      </c>
    </row>
    <row s="1636" customFormat="1" customHeight="1" ht="27" hidden="1">
      <c r="A44" s="785"/>
      <c r="B44" s="414"/>
      <c r="C44" s="409"/>
      <c r="D44" s="411"/>
      <c r="E44" s="1166" t="s">
        <v>62</v>
      </c>
      <c r="F44" s="1889"/>
      <c r="G44" s="74"/>
      <c r="I44" s="412"/>
      <c r="J44" s="877"/>
      <c r="Q44" s="410">
        <v>0</v>
      </c>
    </row>
    <row s="1613" customFormat="1" customHeight="1" ht="6">
      <c r="A45" s="785"/>
      <c r="B45" s="427"/>
      <c r="C45" s="428"/>
      <c r="D45" s="429"/>
      <c r="E45" s="430"/>
      <c r="F45" s="1054"/>
      <c r="G45" s="74"/>
      <c r="H45" s="410"/>
      <c r="I45" s="412"/>
      <c r="J45" s="877"/>
      <c r="Q45" s="431">
        <v>0</v>
      </c>
    </row>
    <row s="1613" customFormat="1" customHeight="1" ht="24.75">
      <c r="A46" s="785"/>
      <c r="B46" s="427"/>
      <c r="C46" s="428"/>
      <c r="D46" s="429"/>
      <c r="E46" s="1166" t="s">
        <v>63</v>
      </c>
      <c r="F46" s="711" t="s">
        <v>19</v>
      </c>
      <c r="G46" s="74"/>
      <c r="H46" s="410"/>
      <c r="I46" s="412"/>
      <c r="J46" s="877"/>
      <c r="Q46" s="431">
        <v>0</v>
      </c>
    </row>
    <row s="1636" customFormat="1" customHeight="1" ht="24.75">
      <c r="A47" s="785"/>
      <c r="B47" s="414"/>
      <c r="C47" s="409"/>
      <c r="D47" s="411"/>
      <c r="E47" s="1166" t="s">
        <v>64</v>
      </c>
      <c r="F47" s="711" t="s">
        <v>19</v>
      </c>
      <c r="G47" s="74"/>
      <c r="I47" s="412"/>
      <c r="J47" s="877"/>
      <c r="Q47" s="410">
        <v>0</v>
      </c>
    </row>
    <row s="1613" customFormat="1" customHeight="1" ht="6">
      <c r="A48" s="785"/>
      <c r="B48" s="233"/>
      <c r="C48" s="234"/>
      <c r="D48" s="235"/>
      <c r="E48" s="236"/>
      <c r="F48" s="1054"/>
      <c r="G48" s="74"/>
      <c r="H48" s="410"/>
      <c r="I48" s="412"/>
      <c r="J48" s="877"/>
      <c r="Q48" s="237">
        <v>0</v>
      </c>
    </row>
    <row customHeight="1" ht="29.25">
      <c r="B49" s="149"/>
      <c r="D49" s="76"/>
      <c r="E49" s="392" t="str">
        <f>"Организация осуществляет подключение (технологическое присоединение) к системе "&amp;TEMPLATE_SPHERE_RUS</f>
        <v>Организация осуществляет подключение (технологическое присоединение) к системе теплоснабжения</v>
      </c>
      <c r="F49" s="711" t="s">
        <v>65</v>
      </c>
      <c r="G49" s="74"/>
      <c r="Q49" s="75">
        <v>0</v>
      </c>
    </row>
    <row s="1613" customFormat="1" customHeight="1" ht="6" hidden="1">
      <c r="A50" s="786"/>
      <c r="B50" s="427"/>
      <c r="C50" s="428"/>
      <c r="D50" s="240"/>
      <c r="E50" s="238"/>
      <c r="F50" s="241"/>
      <c r="G50" s="78"/>
      <c r="H50" s="410"/>
      <c r="I50" s="412"/>
      <c r="J50" s="877"/>
      <c r="Q50" s="431">
        <v>0</v>
      </c>
    </row>
    <row s="1636" customFormat="1" customHeight="1" ht="28.5" hidden="1">
      <c r="A51" s="787"/>
      <c r="B51" s="414"/>
      <c r="C51" s="531"/>
      <c r="D51" s="532"/>
      <c r="E51" s="392" t="s">
        <v>66</v>
      </c>
      <c r="F51" s="711" t="s">
        <v>19</v>
      </c>
      <c r="G51" s="533"/>
      <c r="I51" s="535"/>
      <c r="J51" s="879"/>
      <c r="P51" s="536"/>
      <c r="Q51" s="534">
        <v>0</v>
      </c>
    </row>
    <row s="1613" customFormat="1" customHeight="1" ht="6" hidden="1">
      <c r="A52" s="786"/>
      <c r="B52" s="427"/>
      <c r="C52" s="428"/>
      <c r="D52" s="240"/>
      <c r="E52" s="238"/>
      <c r="F52" s="241"/>
      <c r="G52" s="78"/>
      <c r="H52" s="410"/>
      <c r="I52" s="412"/>
      <c r="J52" s="875"/>
      <c r="Q52" s="431">
        <v>0</v>
      </c>
    </row>
    <row s="1636" customFormat="1" customHeight="1" ht="27" hidden="1">
      <c r="A53" s="787"/>
      <c r="B53" s="414"/>
      <c r="C53" s="531"/>
      <c r="D53" s="532"/>
      <c r="E53" s="392" t="s">
        <v>67</v>
      </c>
      <c r="F53" s="1049" t="s">
        <v>19</v>
      </c>
      <c r="G53" s="533"/>
      <c r="I53" s="535"/>
      <c r="J53" s="879"/>
      <c r="P53" s="536"/>
      <c r="Q53" s="534">
        <v>0</v>
      </c>
    </row>
    <row s="1636" customFormat="1" customHeight="1" ht="27" hidden="1">
      <c r="A54" s="787"/>
      <c r="B54" s="414"/>
      <c r="C54" s="531"/>
      <c r="D54" s="532"/>
      <c r="E54" s="392" t="s">
        <v>68</v>
      </c>
      <c r="F54" s="1775"/>
      <c r="G54" s="533"/>
      <c r="I54" s="535"/>
      <c r="J54" s="879"/>
      <c r="P54" s="536"/>
      <c r="Q54" s="534">
        <v>0</v>
      </c>
    </row>
    <row s="1613" customFormat="1" customHeight="1" ht="6" hidden="1">
      <c r="A55" s="786"/>
      <c r="B55" s="427"/>
      <c r="C55" s="428"/>
      <c r="D55" s="240"/>
      <c r="E55" s="238"/>
      <c r="F55" s="241"/>
      <c r="G55" s="78"/>
      <c r="H55" s="410"/>
      <c r="I55" s="412"/>
      <c r="J55" s="875"/>
      <c r="Q55" s="431">
        <v>0</v>
      </c>
    </row>
    <row s="1636" customFormat="1" customHeight="1" ht="25.5" hidden="1">
      <c r="A56" s="787"/>
      <c r="B56" s="414"/>
      <c r="C56" s="531"/>
      <c r="D56" s="532"/>
      <c r="E56" s="392" t="s">
        <v>69</v>
      </c>
      <c r="F56" s="1049" t="s">
        <v>19</v>
      </c>
      <c r="G56" s="533"/>
      <c r="I56" s="535"/>
      <c r="J56" s="879"/>
      <c r="P56" s="536"/>
      <c r="Q56" s="534">
        <v>0</v>
      </c>
    </row>
    <row s="1613" customFormat="1" customHeight="1" ht="6" hidden="1">
      <c r="A57" s="786"/>
      <c r="B57" s="427"/>
      <c r="C57" s="428"/>
      <c r="D57" s="240"/>
      <c r="E57" s="238"/>
      <c r="F57" s="241"/>
      <c r="G57" s="78"/>
      <c r="H57" s="410"/>
      <c r="I57" s="412"/>
      <c r="J57" s="875"/>
      <c r="Q57" s="431">
        <v>0</v>
      </c>
    </row>
    <row s="1636" customFormat="1" customHeight="1" ht="15" hidden="1">
      <c r="A58" s="787"/>
      <c r="B58" s="414"/>
      <c r="C58" s="531"/>
      <c r="D58" s="532"/>
      <c r="E58" s="392" t="s">
        <v>70</v>
      </c>
      <c r="F58" s="1049" t="s">
        <v>65</v>
      </c>
      <c r="G58" s="533"/>
      <c r="I58" s="535"/>
      <c r="J58" s="879"/>
      <c r="P58" s="536"/>
      <c r="Q58" s="534">
        <v>0</v>
      </c>
    </row>
    <row s="1636" customFormat="1" customHeight="1" ht="75" hidden="1">
      <c r="A59" s="787"/>
      <c r="B59" s="414"/>
      <c r="C59" s="531"/>
      <c r="D59" s="532"/>
      <c r="E59" s="392" t="str">
        <f>"Инвестиционная программа относится к деятельности, при осуществлении которой расчеты за товары (услуги) в сфере  "&amp;TEMPLATE_SPHERE_RUS&amp;" осуществляются по регулируемым ценам (тарифам) (за исключением деятельности по подключению (технологическому присоединению) к системе  "&amp;TEMPLATE_SPHERE_RUS&amp;")"</f>
        <v>Инвестиционная программа относится к деятельности, при осуществлении которой расчеты за товары (услуги) в сфере  теплоснабжения осуществляются по регулируемым ценам (тарифам) (за исключением деятельности по подключению (технологическому присоединению) к системе  теплоснабжения)</v>
      </c>
      <c r="F59" s="1190"/>
      <c r="G59" s="533"/>
      <c r="I59" s="535"/>
      <c r="J59" s="879"/>
      <c r="P59" s="536"/>
      <c r="Q59" s="534">
        <v>0</v>
      </c>
    </row>
    <row s="1636" customFormat="1" customHeight="1" ht="15" hidden="1">
      <c r="A60" s="787"/>
      <c r="B60" s="414"/>
      <c r="C60" s="531"/>
      <c r="D60" s="532"/>
      <c r="E60" s="1166" t="s">
        <v>71</v>
      </c>
      <c r="F60" s="1152"/>
      <c r="G60" s="533"/>
      <c r="I60" s="535"/>
      <c r="J60" s="879"/>
      <c r="P60" s="536"/>
      <c r="Q60" s="534">
        <v>0</v>
      </c>
    </row>
    <row s="1613" customFormat="1" customHeight="1" ht="6" hidden="1">
      <c r="A61" s="786"/>
      <c r="B61" s="427"/>
      <c r="C61" s="428"/>
      <c r="D61" s="429"/>
      <c r="E61" s="430"/>
      <c r="F61" s="1054"/>
      <c r="G61" s="74"/>
      <c r="H61" s="410"/>
      <c r="I61" s="412"/>
      <c r="J61" s="877"/>
      <c r="Q61" s="431">
        <v>0</v>
      </c>
    </row>
    <row s="1636" customFormat="1" customHeight="1" ht="33.75" hidden="1">
      <c r="A62" s="786"/>
      <c r="B62" s="99"/>
      <c r="C62" s="409"/>
      <c r="D62" s="411"/>
      <c r="E62" s="1166" t="s">
        <v>72</v>
      </c>
      <c r="F62" s="1672" t="s">
        <v>65</v>
      </c>
      <c r="G62" s="74"/>
      <c r="H62" s="774" t="s">
        <v>22</v>
      </c>
      <c r="I62" s="412"/>
      <c r="J62" s="877"/>
      <c r="Q62" s="410">
        <v>0</v>
      </c>
    </row>
    <row s="1613" customFormat="1" customHeight="1" ht="6.3">
      <c r="A63" s="786"/>
      <c r="B63" s="233"/>
      <c r="C63" s="234"/>
      <c r="D63" s="240"/>
      <c r="E63" s="238"/>
      <c r="F63" s="241"/>
      <c r="G63" s="78"/>
      <c r="H63" s="410"/>
      <c r="I63" s="412"/>
      <c r="J63" s="875"/>
      <c r="Q63" s="237">
        <v>6</v>
      </c>
    </row>
    <row customHeight="1" ht="21">
      <c r="A64" s="788"/>
      <c r="B64" s="100"/>
      <c r="D64" s="83"/>
      <c r="E64" s="392" t="s">
        <v>73</v>
      </c>
      <c r="F64" s="217" t="s">
        <v>74</v>
      </c>
      <c r="G64" s="78"/>
      <c r="Q64" s="75">
        <v>20</v>
      </c>
    </row>
    <row customHeight="1" ht="21">
      <c r="A65" s="788"/>
      <c r="B65" s="100"/>
      <c r="D65" s="83"/>
      <c r="E65" s="392" t="s">
        <v>75</v>
      </c>
      <c r="F65" s="217" t="s">
        <v>76</v>
      </c>
      <c r="G65" s="78"/>
      <c r="Q65" s="75">
        <v>20</v>
      </c>
    </row>
    <row customHeight="1" ht="36.75">
      <c r="D66" s="76"/>
      <c r="E66" s="394" t="s">
        <v>77</v>
      </c>
      <c r="F66" s="1055"/>
      <c r="G66" s="74"/>
      <c r="Q66" s="75">
        <v>35</v>
      </c>
    </row>
    <row customHeight="1" ht="21">
      <c r="A67" s="788"/>
      <c r="D67" s="411"/>
      <c r="E67" s="392" t="s">
        <v>78</v>
      </c>
      <c r="F67" s="272" t="s">
        <v>79</v>
      </c>
      <c r="G67" s="78"/>
      <c r="Q67" s="75">
        <v>20</v>
      </c>
    </row>
    <row customHeight="1" ht="21">
      <c r="A68" s="788"/>
      <c r="B68" s="100"/>
      <c r="D68" s="83"/>
      <c r="E68" s="392" t="s">
        <v>80</v>
      </c>
      <c r="F68" s="272" t="s">
        <v>81</v>
      </c>
      <c r="G68" s="78"/>
      <c r="Q68" s="75">
        <v>20</v>
      </c>
    </row>
    <row customHeight="1" ht="21">
      <c r="A69" s="788"/>
      <c r="B69" s="100"/>
      <c r="D69" s="83"/>
      <c r="E69" s="392" t="s">
        <v>82</v>
      </c>
      <c r="F69" s="272" t="s">
        <v>83</v>
      </c>
      <c r="G69" s="78"/>
      <c r="Q69" s="75">
        <v>20</v>
      </c>
    </row>
    <row customHeight="1" ht="21">
      <c r="D70" s="411"/>
      <c r="E70" s="392" t="s">
        <v>84</v>
      </c>
      <c r="F70" s="2632" t="s">
        <v>85</v>
      </c>
      <c r="G70" s="74"/>
      <c r="Q70" s="75">
        <v>20</v>
      </c>
    </row>
    <row customHeight="1" ht="21">
      <c r="A71" s="788"/>
      <c r="D71" s="74"/>
      <c r="F71" s="134"/>
      <c r="G71" s="78"/>
      <c r="Q71" s="75">
        <v>20</v>
      </c>
    </row>
    <row customHeight="1" ht="21">
      <c r="A72" s="788"/>
      <c r="B72" s="100"/>
      <c r="D72" s="83"/>
      <c r="E72" s="82"/>
      <c r="F72" s="1034" t="s">
        <v>13</v>
      </c>
      <c r="G72" s="78"/>
      <c r="Q72" s="75">
        <v>20</v>
      </c>
    </row>
    <row customHeight="1" ht="21">
      <c r="A73" s="788"/>
      <c r="B73" s="100"/>
      <c r="D73" s="83"/>
      <c r="E73" s="82"/>
      <c r="F73" s="135"/>
      <c r="G73" s="78"/>
      <c r="Q73" s="75">
        <v>20</v>
      </c>
    </row>
    <row customHeight="1" ht="21">
      <c r="A74" s="788"/>
      <c r="B74" s="100"/>
      <c r="D74" s="83"/>
      <c r="E74" s="87"/>
      <c r="F74" s="135"/>
      <c r="G74" s="78"/>
      <c r="Q74" s="75">
        <v>20</v>
      </c>
    </row>
    <row customHeight="1" ht="21">
      <c r="A75" s="788"/>
      <c r="B75" s="100"/>
      <c r="D75" s="83"/>
      <c r="E75" s="82"/>
      <c r="F75" s="135"/>
      <c r="G75" s="78"/>
      <c r="Q75" s="75">
        <v>20</v>
      </c>
    </row>
    <row customHeight="1" ht="11.549999999999999">
      <c r="Q76" s="75">
        <v>11</v>
      </c>
    </row>
    <row customHeight="1" ht="11.549999999999999">
      <c r="Q77" s="75">
        <v>11</v>
      </c>
    </row>
    <row customHeight="1" ht="11.549999999999999">
      <c r="E78" s="391"/>
      <c r="F78" s="391"/>
      <c r="G78" s="391"/>
      <c r="H78" s="391"/>
      <c r="I78" s="391"/>
      <c r="Q78" s="75">
        <v>11</v>
      </c>
    </row>
    <row customHeight="1" ht="11.25" hidden="1">
      <c r="A79" s="785" t="s">
        <v>86</v>
      </c>
      <c r="B79" s="99">
        <v>0</v>
      </c>
      <c r="C79" s="73">
        <v>3</v>
      </c>
      <c r="D79" s="75">
        <v>1</v>
      </c>
      <c r="E79" s="75">
        <v>55</v>
      </c>
      <c r="F79" s="75">
        <v>54</v>
      </c>
      <c r="G79" s="772">
        <v>1</v>
      </c>
      <c r="H79" s="410">
        <v>0</v>
      </c>
      <c r="I79" s="412">
        <v>59</v>
      </c>
      <c r="J79" s="877">
        <v>0</v>
      </c>
      <c r="K79" s="75">
        <v>8</v>
      </c>
      <c r="L79" s="75">
        <v>77</v>
      </c>
      <c r="M79" s="75">
        <v>8</v>
      </c>
      <c r="N79" s="75">
        <v>8</v>
      </c>
      <c r="O79" s="75">
        <v>8</v>
      </c>
      <c r="P79" s="75">
        <v>8</v>
      </c>
      <c r="Q79" s="75">
        <v>11</v>
      </c>
    </row>
  </sheetData>
  <sheetProtection formatColumns="0" formatRows="0" sort="0" autoFilter="0" insertRows="0" insertColumns="1" deleteRows="0" deleteColumns="0"/>
  <mergeCells count="3">
    <mergeCell ref="E5:F5"/>
    <mergeCell ref="J18:J19"/>
    <mergeCell ref="A11:A12"/>
  </mergeCells>
  <dataValidations count="13">
    <dataValidation type="list" allowBlank="1" showInputMessage="1" showErrorMessage="1" errorTitle="Ошибка" error="Выберите значение из списка" prompt="Выберите значение из списка:_x000A_ОСН - Общая система налогообложения_x000A_УСН - Упрощённая система налогообложения_x000A_ЕСХН - Единый сельскохозяйственный налог_x000A_ПСН - Патентная система налогообложения_x000A_НПД - Налог на профессиональный доход" sqref="F37">
      <formula1>kind_of_NDS</formula1>
    </dataValidation>
    <dataValidation allowBlank="1" showInputMessage="1" showErrorMessage="1" prompt="Выбор организации двойным щелчком левой клавиши мыши" sqref="F31"/>
    <dataValidation type="list" allowBlank="1" showInputMessage="1" showErrorMessage="1" errorTitle="Ошибка" error="Выберите значение из списка" prompt="Выберите значение из списка" sqref="F9">
      <formula1>ROIV_INFO_LIST</formula1>
    </dataValidation>
    <dataValidation type="list" allowBlank="1" showInputMessage="1" showErrorMessage="1" errorTitle="Ошибка" error="Выберите значение из списка" prompt="Выберите значение из списка" sqref="F60">
      <formula1>TITLE_IP_DETAILED_METHOD_LIST</formula1>
    </dataValidation>
    <dataValidation allowBlank="1" showInputMessage="1" showErrorMessage="1" prompt="Выберите значение из календаря (иконка справа от выбранной ячейки), либо введите дату непосредственно в ячейку в формате - 'ДД.ММ.ГГГГ'" sqref="F54"/>
    <dataValidation type="list" allowBlank="1" showInputMessage="1" showErrorMessage="1" errorTitle="Ошибка" error="Выберите значение из списка" prompt="Выберите значение из списка" sqref="F15">
      <formula1>QUARTER</formula1>
    </dataValidation>
    <dataValidation type="list" allowBlank="1" showInputMessage="1" showErrorMessage="1" errorTitle="Ошибка" error="Выберите значение из списка" prompt="Выберите значение из списка" sqref="F14">
      <formula1>year_list</formula1>
    </dataValidation>
    <dataValidation type="list" allowBlank="1" showInputMessage="1" showErrorMessage="1" errorTitle="Ошибка" error="Выберите значение из списка" prompt="Выберите значение из списка" sqref="F36">
      <formula1>kind_of_org_type</formula1>
    </dataValidation>
    <dataValidation allowBlank="1" showInputMessage="1" showErrorMessage="1" prompt="Для выбора выполните двойной щелчок левой клавиши мыши по соответствующей ячейке." sqref="F49 F53 F56 F58 F51 F39:F41 F43 F45:F47 F62 F10"/>
    <dataValidation type="list" allowBlank="1" showInputMessage="1" showErrorMessage="1" errorTitle="Ошибка" error="Выберите значение из списка" prompt="Выберите значение из списка" sqref="F17">
      <formula1>kind_of_data_type</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F26 F21 F18:F19 F11:F13"/>
    <dataValidation type="list" allowBlank="1" showInputMessage="1" showErrorMessage="1" errorTitle="Ошибка" error="Выберите значение из списка" prompt="Выберите значение из списка" sqref="F61 F38">
      <formula1>kind_of_NDS</formula1>
    </dataValidation>
    <dataValidation type="textLength" operator="lessThanOrEqual" allowBlank="1" showInputMessage="1" showErrorMessage="1" errorTitle="Ошибка" error="Допускается ввод не более 900 символов!" sqref="F72:F75 F64:F65 F67:F70 F22:F24 F27:F29 F32">
      <formula1>900</formula1>
    </dataValidation>
  </dataValidations>
  <hyperlinks>
    <hyperlink ref="H11" location="Титульный!H9" display="Как заполнить?" tooltip="Помощь по работе с полями отчётной формы" xr:uid="{0B9117C3-E5CC-E8D8-E848-3A62386C48F8}"/>
    <hyperlink ref="H17" location="Титульный!H9" display="Как заполнить?" tooltip="Помощь по работе с полями отчётной формы" xr:uid="{A0D17A48-6056-0D6C-08A8-B96F72F0014E}"/>
    <hyperlink ref="H39" location="Титульный!H9" display="Как заполнить?" tooltip="Помощь по работе с полями отчётной формы" xr:uid="{410D6388-4088-4E28-8991-B8A0AD4F62E8}"/>
    <hyperlink ref="H62" location="Титульный!H9" display="Как заполнить?" tooltip="Помощь по работе с полями отчётной формы" xr:uid="{7304927B-1691-DB58-8C46-1619B0890EAB}"/>
    <hyperlink ref="F70" r:id="rId4" tooltip="Sineltseva.EV@tgc1.ru" xr:uid="{EF11A078-C367-18FE-8787-B8109C5E5889}"/>
  </hyperlinks>
  <pageMargins left="0.75" right="0.75" top="1.00" bottom="1.00" header="0.50" footer="0.50"/>
  <pageSetup paperSize="8" pageOrder="downThenOver" orientation="portrait"/>
  <headerFooter>
    <oddHeader>&amp;L&amp;C&amp;R</oddHeader>
    <oddFooter>&amp;L&amp;C&amp;R</oddFooter>
    <evenHeader>&amp;L&amp;C&amp;R</evenHeader>
    <evenFooter>&amp;L&amp;C&amp;R</evenFooter>
  </headerFooter>
  <drawing r:id="rId3"/>
  <legacyDrawing r:id="rId2"/>
</worksheet>
</file>

<file path=xl/worksheets/sheet2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3C42428-5E74-CCE2-A692-9778A09ED0CA}" mc:Ignorable="x14ac xr xr2 xr3">
  <sheetPr>
    <tabColor theme="6" tint="0.4"/>
  </sheetPr>
  <dimension ref="A1:BA70"/>
  <sheetViews>
    <sheetView showGridLines="0" zoomScale="90" workbookViewId="0">
      <pane xSplit="27" ySplit="44" topLeftCell="AB45" activePane="bottomRight" state="frozen"/>
      <selection pane="bottomLeft" activeCell="A45" sqref="A45"/>
      <selection pane="topRight" activeCell="AB1" sqref="AB1"/>
      <selection pane="bottomRight" activeCell="A1" sqref="A1"/>
    </sheetView>
  </sheetViews>
  <sheetFormatPr defaultColWidth="10.57421875" customHeight="1" defaultRowHeight="14.25"/>
  <cols>
    <col min="1" max="1" style="1367" width="10.57421875" hidden="1"/>
    <col min="2" max="2" style="1367" width="11.00390625" hidden="1" customWidth="1"/>
    <col min="3" max="3" style="1367" width="10.57421875" hidden="1"/>
    <col min="4" max="4" style="1367" width="11.8515625" hidden="1" customWidth="1"/>
    <col min="5" max="5" style="1367" width="10.00390625" hidden="1" customWidth="1"/>
    <col min="6" max="6" style="1367" width="8.7109375" hidden="1" customWidth="1"/>
    <col min="7" max="7" style="1367" width="7.57421875" hidden="1" customWidth="1"/>
    <col min="8" max="8" style="1367" width="11.421875" hidden="1" customWidth="1"/>
    <col min="9" max="9" style="1367" width="12.00390625" hidden="1" customWidth="1"/>
    <col min="10" max="10" style="1367" width="9.8515625" hidden="1" customWidth="1"/>
    <col min="11" max="11" style="1367" width="11.421875" hidden="1" customWidth="1"/>
    <col min="12" max="12" style="2608" width="19.140625" hidden="1" customWidth="1"/>
    <col min="13" max="14" style="1777" width="12.28125" hidden="1" customWidth="1"/>
    <col min="15" max="15" style="1777" width="23.421875" hidden="1" customWidth="1"/>
    <col min="16" max="16" style="1777" width="3.00390625" customWidth="1"/>
    <col min="17" max="17" style="1372" width="3.00390625" customWidth="1"/>
    <col min="18" max="18" style="345" width="3.00390625" customWidth="1"/>
    <col min="19" max="19" style="2408" width="12.00390625" customWidth="1"/>
    <col min="20" max="20" style="1636" width="31.00390625" customWidth="1"/>
    <col min="21" max="21" style="1636" width="0.140625" customWidth="1"/>
    <col min="22" max="23" style="1636" width="21.7109375" hidden="1" customWidth="1"/>
    <col min="24" max="24" style="1636" width="11.7109375" hidden="1" customWidth="1"/>
    <col min="25" max="25" style="1636" width="3.7109375" hidden="1" customWidth="1"/>
    <col min="26" max="26" style="1636" width="11.7109375" hidden="1" customWidth="1"/>
    <col min="27" max="27" style="1636" width="8.57421875" hidden="1" customWidth="1"/>
    <col min="28" max="28" style="1636" width="5.421875" customWidth="1"/>
    <col min="29" max="30" style="1636" width="3.00390625" customWidth="1"/>
    <col min="31" max="31" style="1636" width="24.00390625" customWidth="1"/>
    <col min="32" max="32" style="1636" width="3.7109375" customWidth="1"/>
    <col min="33" max="34" style="1636" width="3.00390625" customWidth="1"/>
    <col min="35" max="35" style="1636" width="24.00390625" customWidth="1"/>
    <col min="36" max="36" style="1636" width="3.7109375" customWidth="1"/>
    <col min="37" max="38" style="1636" width="3.00390625" customWidth="1"/>
    <col min="39" max="39" style="1636" width="18.00390625" customWidth="1"/>
    <col min="40" max="41" style="1636" width="21.00390625" customWidth="1"/>
    <col min="42" max="42" style="1636" width="11.00390625" customWidth="1"/>
    <col min="43" max="43" style="1636" width="3.7109375" customWidth="1"/>
    <col min="44" max="44" style="1636" width="11.00390625" customWidth="1"/>
    <col min="45" max="45" style="1636" width="8.57421875" hidden="1" customWidth="1"/>
    <col min="46" max="46" style="1636" width="4.00390625" customWidth="1"/>
    <col min="47" max="47" style="1636" width="115.00390625" customWidth="1"/>
    <col min="48" max="52" style="1643" width="10.00390625" customWidth="1"/>
    <col min="53" max="53" style="1636" width="10.57421875" hidden="1"/>
  </cols>
  <sheetData>
    <row customHeight="1" ht="22.5" hidden="1">
      <c r="W1" s="328"/>
      <c r="X1" s="328"/>
      <c r="AO1" s="328"/>
      <c r="AP1" s="328"/>
      <c r="BA1" s="1156" t="s">
        <v>14</v>
      </c>
    </row>
    <row customHeight="1" ht="21" hidden="1">
      <c r="A2" s="1364"/>
      <c r="B2" s="1364"/>
      <c r="C2" s="1364"/>
      <c r="D2" s="1364"/>
      <c r="E2" s="2259">
        <v>1</v>
      </c>
      <c r="F2" s="1364"/>
      <c r="G2" s="1364"/>
      <c r="H2" s="1364"/>
      <c r="I2" s="1364"/>
      <c r="J2" s="1364"/>
      <c r="K2" s="1364"/>
      <c r="L2" s="1365"/>
      <c r="M2" s="1366"/>
      <c r="N2" s="1366"/>
      <c r="O2" s="1366"/>
      <c r="P2" s="1410"/>
      <c r="Q2" s="874"/>
      <c r="R2" s="356"/>
      <c r="S2" s="1337">
        <f>INDEX(PT_DIFFERENTIATION_NUM_NTAR,MATCH(A2,PT_DIFFERENTIATION_NTAR_ID,0))</f>
      </c>
      <c r="T2" s="299" t="s">
        <v>136</v>
      </c>
      <c r="U2" s="301"/>
      <c r="V2" s="2244"/>
      <c r="W2" s="2244"/>
      <c r="X2" s="2244"/>
      <c r="Y2" s="2244"/>
      <c r="Z2" s="2244"/>
      <c r="AA2" s="2245"/>
      <c r="AB2" s="2243">
        <f>INDEX(PT_DIFFERENTIATION_NTAR,MATCH(A2,PT_DIFFERENTIATION_NTAR_ID,0))</f>
      </c>
      <c r="AC2" s="2244"/>
      <c r="AD2" s="2244"/>
      <c r="AE2" s="2244"/>
      <c r="AF2" s="2244"/>
      <c r="AG2" s="2244"/>
      <c r="AH2" s="2244"/>
      <c r="AI2" s="2244"/>
      <c r="AJ2" s="2244"/>
      <c r="AK2" s="2244"/>
      <c r="AL2" s="2244"/>
      <c r="AM2" s="2244"/>
      <c r="AN2" s="2244"/>
      <c r="AO2" s="2244"/>
      <c r="AP2" s="2244"/>
      <c r="AQ2" s="2244"/>
      <c r="AR2" s="2244"/>
      <c r="AS2" s="2244"/>
      <c r="AT2" s="2245"/>
      <c r="AU2" s="1259" t="s">
        <v>526</v>
      </c>
      <c r="AW2" s="501"/>
      <c r="AX2" s="501" t="str">
        <f>IF(T2="","",T2)</f>
        <v>Наименование тарифа</v>
      </c>
      <c r="AY2" s="501"/>
      <c r="AZ2" s="501"/>
      <c r="BA2" s="1156">
        <v>0</v>
      </c>
    </row>
    <row customHeight="1" ht="21" hidden="1">
      <c r="A3" s="1364"/>
      <c r="B3" s="1364"/>
      <c r="C3" s="1364"/>
      <c r="D3" s="1364"/>
      <c r="E3" s="2260"/>
      <c r="F3" s="2259">
        <v>1</v>
      </c>
      <c r="G3" s="1364"/>
      <c r="H3" s="1364"/>
      <c r="I3" s="1364"/>
      <c r="J3" s="1364"/>
      <c r="K3" s="1364"/>
      <c r="L3" s="1365"/>
      <c r="M3" s="1366"/>
      <c r="N3" s="1366"/>
      <c r="O3" s="1366"/>
      <c r="P3" s="1411"/>
      <c r="Q3" s="1412"/>
      <c r="R3" s="354"/>
      <c r="S3" s="1337">
        <f>INDEX(PT_DIFFERENTIATION_NUM_TER,MATCH(B3,PT_DIFFERENTIATION_TER_ID,0))</f>
      </c>
      <c r="T3" s="309" t="s">
        <v>527</v>
      </c>
      <c r="U3" s="301"/>
      <c r="V3" s="2244"/>
      <c r="W3" s="2244"/>
      <c r="X3" s="2244"/>
      <c r="Y3" s="2244"/>
      <c r="Z3" s="2244"/>
      <c r="AA3" s="2245"/>
      <c r="AB3" s="2243">
        <f>INDEX(PT_DIFFERENTIATION_TER,MATCH(B3,PT_DIFFERENTIATION_TER_ID,0))</f>
      </c>
      <c r="AC3" s="2244"/>
      <c r="AD3" s="2244"/>
      <c r="AE3" s="2244"/>
      <c r="AF3" s="2244"/>
      <c r="AG3" s="2244"/>
      <c r="AH3" s="2244"/>
      <c r="AI3" s="2244"/>
      <c r="AJ3" s="2244"/>
      <c r="AK3" s="2244"/>
      <c r="AL3" s="2244"/>
      <c r="AM3" s="2244"/>
      <c r="AN3" s="2244"/>
      <c r="AO3" s="2244"/>
      <c r="AP3" s="2244"/>
      <c r="AQ3" s="2244"/>
      <c r="AR3" s="2244"/>
      <c r="AS3" s="2244"/>
      <c r="AT3" s="2245"/>
      <c r="AU3" s="1259" t="s">
        <v>528</v>
      </c>
      <c r="AW3" s="501"/>
      <c r="AX3" s="501" t="str">
        <f>IF(T3="","",T3)</f>
        <v>Территория действия тарифа</v>
      </c>
      <c r="AY3" s="501"/>
      <c r="AZ3" s="501"/>
      <c r="BA3" s="1156">
        <v>0</v>
      </c>
    </row>
    <row customHeight="1" ht="22.5" hidden="1">
      <c r="A4" s="1364"/>
      <c r="B4" s="1364"/>
      <c r="C4" s="1364"/>
      <c r="D4" s="1364"/>
      <c r="E4" s="2260"/>
      <c r="F4" s="2260"/>
      <c r="G4" s="2259">
        <v>1</v>
      </c>
      <c r="H4" s="1364"/>
      <c r="I4" s="1364"/>
      <c r="J4" s="1364"/>
      <c r="K4" s="1364"/>
      <c r="L4" s="1365"/>
      <c r="M4" s="1366"/>
      <c r="N4" s="1366"/>
      <c r="O4" s="1366"/>
      <c r="P4" s="1413"/>
      <c r="Q4" s="1412"/>
      <c r="R4" s="354"/>
      <c r="S4" s="1337">
        <f>INDEX(PT_DIFFERENTIATION_NUM_CS,MATCH(C4,PT_DIFFERENTIATION_CS_ID,0))</f>
      </c>
      <c r="T4" s="310" t="s">
        <v>529</v>
      </c>
      <c r="U4" s="301"/>
      <c r="V4" s="2244"/>
      <c r="W4" s="2244"/>
      <c r="X4" s="2244"/>
      <c r="Y4" s="2244"/>
      <c r="Z4" s="2244"/>
      <c r="AA4" s="2245"/>
      <c r="AB4" s="2243">
        <f>INDEX(PT_DIFFERENTIATION_CS,MATCH(C4,PT_DIFFERENTIATION_CS_ID,0))</f>
      </c>
      <c r="AC4" s="2244"/>
      <c r="AD4" s="2244"/>
      <c r="AE4" s="2244"/>
      <c r="AF4" s="2244"/>
      <c r="AG4" s="2244"/>
      <c r="AH4" s="2244"/>
      <c r="AI4" s="2244"/>
      <c r="AJ4" s="2244"/>
      <c r="AK4" s="2244"/>
      <c r="AL4" s="2244"/>
      <c r="AM4" s="2244"/>
      <c r="AN4" s="2244"/>
      <c r="AO4" s="2244"/>
      <c r="AP4" s="2244"/>
      <c r="AQ4" s="2244"/>
      <c r="AR4" s="2244"/>
      <c r="AS4" s="2244"/>
      <c r="AT4" s="2245"/>
      <c r="AU4" s="1259" t="s">
        <v>530</v>
      </c>
      <c r="AW4" s="501"/>
      <c r="AX4" s="501" t="str">
        <f>IF(T4="","",T4)</f>
        <v>Наименование системы теплоснабжения </v>
      </c>
      <c r="AY4" s="501"/>
      <c r="AZ4" s="501"/>
      <c r="BA4" s="1156">
        <v>0</v>
      </c>
    </row>
    <row customHeight="1" ht="21" hidden="1">
      <c r="A5" s="1364"/>
      <c r="B5" s="1364"/>
      <c r="C5" s="1364"/>
      <c r="D5" s="1364"/>
      <c r="E5" s="2260"/>
      <c r="F5" s="2260"/>
      <c r="G5" s="2260"/>
      <c r="H5" s="2259">
        <v>1</v>
      </c>
      <c r="I5" s="1364"/>
      <c r="J5" s="1364"/>
      <c r="K5" s="1364"/>
      <c r="L5" s="1365"/>
      <c r="M5" s="1366"/>
      <c r="N5" s="1366"/>
      <c r="O5" s="1366"/>
      <c r="P5" s="1413"/>
      <c r="Q5" s="1412"/>
      <c r="R5" s="354"/>
      <c r="S5" s="1337">
        <f>INDEX(PT_DIFFERENTIATION_NUM_IST_TE,MATCH(D5,PT_DIFFERENTIATION_IST_TE_ID,0))</f>
      </c>
      <c r="T5" s="311" t="s">
        <v>531</v>
      </c>
      <c r="U5" s="301"/>
      <c r="V5" s="2244"/>
      <c r="W5" s="2244"/>
      <c r="X5" s="2244"/>
      <c r="Y5" s="2244"/>
      <c r="Z5" s="2244"/>
      <c r="AA5" s="2245"/>
      <c r="AB5" s="2243">
        <f>INDEX(PT_DIFFERENTIATION_IST_TE,MATCH(D5,PT_DIFFERENTIATION_IST_TE_ID,0))</f>
      </c>
      <c r="AC5" s="2244"/>
      <c r="AD5" s="2244"/>
      <c r="AE5" s="2244"/>
      <c r="AF5" s="2244"/>
      <c r="AG5" s="2244"/>
      <c r="AH5" s="2244"/>
      <c r="AI5" s="2244"/>
      <c r="AJ5" s="2244"/>
      <c r="AK5" s="2244"/>
      <c r="AL5" s="2244"/>
      <c r="AM5" s="2244"/>
      <c r="AN5" s="2244"/>
      <c r="AO5" s="2244"/>
      <c r="AP5" s="2244"/>
      <c r="AQ5" s="2244"/>
      <c r="AR5" s="2244"/>
      <c r="AS5" s="2244"/>
      <c r="AT5" s="2245"/>
      <c r="AU5" s="1259" t="s">
        <v>532</v>
      </c>
      <c r="AW5" s="501"/>
      <c r="AX5" s="501" t="str">
        <f>IF(T5="","",T5)</f>
        <v>Источник тепловой энергии  </v>
      </c>
      <c r="AY5" s="501"/>
      <c r="AZ5" s="501"/>
      <c r="BA5" s="1156">
        <v>0</v>
      </c>
    </row>
    <row s="1643" customFormat="1" customHeight="1" ht="0.75" hidden="1">
      <c r="A6" s="1344"/>
      <c r="B6" s="1344"/>
      <c r="C6" s="1344"/>
      <c r="D6" s="1344"/>
      <c r="E6" s="2260"/>
      <c r="F6" s="2260"/>
      <c r="G6" s="2260"/>
      <c r="H6" s="2260"/>
      <c r="I6" s="2257">
        <f>S5&amp;".1"</f>
      </c>
      <c r="J6" s="1344"/>
      <c r="K6" s="1344"/>
      <c r="L6" s="1347" t="s">
        <v>533</v>
      </c>
      <c r="M6" s="511"/>
      <c r="N6" s="511"/>
      <c r="O6" s="511"/>
      <c r="P6" s="2258">
        <v>1</v>
      </c>
      <c r="Q6" s="1332"/>
      <c r="R6" s="357"/>
      <c r="S6" s="1043"/>
      <c r="T6" s="1384"/>
      <c r="U6" s="1385"/>
      <c r="V6" s="2298"/>
      <c r="W6" s="2298"/>
      <c r="X6" s="2298"/>
      <c r="Y6" s="2298"/>
      <c r="Z6" s="2298"/>
      <c r="AA6" s="2299"/>
      <c r="AB6" s="2297"/>
      <c r="AC6" s="2298"/>
      <c r="AD6" s="2298"/>
      <c r="AE6" s="2298"/>
      <c r="AF6" s="2298"/>
      <c r="AG6" s="2298"/>
      <c r="AH6" s="2298"/>
      <c r="AI6" s="2298"/>
      <c r="AJ6" s="2298"/>
      <c r="AK6" s="2298"/>
      <c r="AL6" s="2298"/>
      <c r="AM6" s="2298"/>
      <c r="AN6" s="2298"/>
      <c r="AO6" s="2298"/>
      <c r="AP6" s="2298"/>
      <c r="AQ6" s="2298"/>
      <c r="AR6" s="2298"/>
      <c r="AS6" s="2298"/>
      <c r="AT6" s="2299"/>
      <c r="AU6" s="1386"/>
      <c r="AW6" s="501"/>
      <c r="AX6" s="501" t="str">
        <f>IF(T6="","",T6)</f>
        <v/>
      </c>
      <c r="AY6" s="501"/>
      <c r="AZ6" s="501"/>
      <c r="BA6" s="512">
        <v>0</v>
      </c>
    </row>
    <row s="1643" customFormat="1" customHeight="1" ht="0.75" hidden="1">
      <c r="A7" s="1344"/>
      <c r="B7" s="1344"/>
      <c r="C7" s="1344"/>
      <c r="D7" s="1344"/>
      <c r="E7" s="2260"/>
      <c r="F7" s="2260"/>
      <c r="G7" s="2260"/>
      <c r="H7" s="2260"/>
      <c r="I7" s="2287"/>
      <c r="J7" s="2257">
        <f>S5&amp;".1"</f>
      </c>
      <c r="K7" s="1344"/>
      <c r="L7" s="1347"/>
      <c r="M7" s="511"/>
      <c r="N7" s="511"/>
      <c r="O7" s="511"/>
      <c r="P7" s="2258"/>
      <c r="Q7" s="2258">
        <v>1</v>
      </c>
      <c r="R7" s="358"/>
      <c r="S7" s="1043"/>
      <c r="T7" s="1400"/>
      <c r="U7" s="1385"/>
      <c r="V7" s="2298"/>
      <c r="W7" s="2298"/>
      <c r="X7" s="2298"/>
      <c r="Y7" s="2298"/>
      <c r="Z7" s="2298"/>
      <c r="AA7" s="2299"/>
      <c r="AB7" s="2297"/>
      <c r="AC7" s="2298"/>
      <c r="AD7" s="2298"/>
      <c r="AE7" s="2298"/>
      <c r="AF7" s="2298"/>
      <c r="AG7" s="2298"/>
      <c r="AH7" s="2298"/>
      <c r="AI7" s="2298"/>
      <c r="AJ7" s="2298"/>
      <c r="AK7" s="2298"/>
      <c r="AL7" s="2298"/>
      <c r="AM7" s="2298"/>
      <c r="AN7" s="2298"/>
      <c r="AO7" s="2298"/>
      <c r="AP7" s="2298"/>
      <c r="AQ7" s="2298"/>
      <c r="AR7" s="2298"/>
      <c r="AS7" s="2298"/>
      <c r="AT7" s="2299"/>
      <c r="AU7" s="1386"/>
      <c r="AW7" s="501"/>
      <c r="AX7" s="501" t="str">
        <f>IF(T7="","",T7)</f>
        <v/>
      </c>
      <c r="AY7" s="501"/>
      <c r="AZ7" s="501"/>
      <c r="BA7" s="512">
        <v>0</v>
      </c>
    </row>
    <row customHeight="1" ht="21" hidden="1">
      <c r="A8" s="1364"/>
      <c r="B8" s="1364"/>
      <c r="C8" s="1364"/>
      <c r="D8" s="1364"/>
      <c r="E8" s="2260"/>
      <c r="F8" s="2260"/>
      <c r="G8" s="2260"/>
      <c r="H8" s="2260"/>
      <c r="I8" s="2287"/>
      <c r="J8" s="2287"/>
      <c r="K8" s="2257">
        <f>S5&amp;".1"</f>
      </c>
      <c r="L8" s="1365"/>
      <c r="P8" s="2258"/>
      <c r="Q8" s="2258"/>
      <c r="R8" s="2348">
        <v>1</v>
      </c>
      <c r="S8" s="2342">
        <f>$K8</f>
      </c>
      <c r="T8" s="2345"/>
      <c r="U8" s="301"/>
      <c r="V8" s="752"/>
      <c r="W8" s="1258"/>
      <c r="X8" s="2266"/>
      <c r="Y8" s="2108" t="s">
        <v>65</v>
      </c>
      <c r="Z8" s="2266"/>
      <c r="AA8" s="2108" t="s">
        <v>65</v>
      </c>
      <c r="AB8" s="2108" t="s">
        <v>19</v>
      </c>
      <c r="AC8" s="2327"/>
      <c r="AD8" s="2206">
        <v>1</v>
      </c>
      <c r="AE8" s="2328"/>
      <c r="AF8" s="2108" t="s">
        <v>19</v>
      </c>
      <c r="AG8" s="2327"/>
      <c r="AH8" s="2206">
        <v>1</v>
      </c>
      <c r="AI8" s="2328"/>
      <c r="AJ8" s="2108" t="s">
        <v>19</v>
      </c>
      <c r="AK8" s="312"/>
      <c r="AL8" s="1338">
        <v>1</v>
      </c>
      <c r="AM8" s="1399"/>
      <c r="AN8" s="752"/>
      <c r="AO8" s="1258"/>
      <c r="AP8" s="1735"/>
      <c r="AQ8" s="1460" t="s">
        <v>65</v>
      </c>
      <c r="AR8" s="1735"/>
      <c r="AS8" s="1460" t="s">
        <v>65</v>
      </c>
      <c r="AT8" s="1349"/>
      <c r="AU8" s="2254" t="s">
        <v>595</v>
      </c>
      <c r="AV8" s="512">
        <f>STRCHECKDATE(V11:AT11)</f>
      </c>
      <c r="AW8" s="501"/>
      <c r="AX8" s="501" t="str">
        <f>IF(T8="","",T8)</f>
        <v/>
      </c>
      <c r="AY8" s="501"/>
      <c r="AZ8" s="501"/>
      <c r="BA8" s="1156">
        <v>0</v>
      </c>
    </row>
    <row customHeight="1" ht="11.25" hidden="1">
      <c r="A9" s="1364"/>
      <c r="B9" s="1364"/>
      <c r="C9" s="1364"/>
      <c r="D9" s="1364"/>
      <c r="E9" s="2260"/>
      <c r="F9" s="2260"/>
      <c r="G9" s="2260"/>
      <c r="H9" s="2260"/>
      <c r="I9" s="2287"/>
      <c r="J9" s="2287"/>
      <c r="K9" s="2257"/>
      <c r="L9" s="1365"/>
      <c r="P9" s="2258"/>
      <c r="Q9" s="2258"/>
      <c r="R9" s="2348"/>
      <c r="S9" s="2343"/>
      <c r="T9" s="2346"/>
      <c r="U9" s="301"/>
      <c r="V9" s="1394"/>
      <c r="W9" s="1398"/>
      <c r="X9" s="2266"/>
      <c r="Y9" s="2108"/>
      <c r="Z9" s="2266"/>
      <c r="AA9" s="2108"/>
      <c r="AB9" s="2108"/>
      <c r="AC9" s="2327"/>
      <c r="AD9" s="2206"/>
      <c r="AE9" s="2328"/>
      <c r="AF9" s="2108"/>
      <c r="AG9" s="2327"/>
      <c r="AH9" s="2206"/>
      <c r="AI9" s="2328"/>
      <c r="AJ9" s="2108"/>
      <c r="AK9" s="317"/>
      <c r="AL9" s="417"/>
      <c r="AM9" s="416" t="s">
        <v>596</v>
      </c>
      <c r="AN9" s="1394"/>
      <c r="AO9" s="1497"/>
      <c r="AP9" s="1394"/>
      <c r="AQ9" s="1394"/>
      <c r="AR9" s="1394"/>
      <c r="AS9" s="1394"/>
      <c r="AT9" s="1391"/>
      <c r="AU9" s="2255"/>
      <c r="AW9" s="501"/>
      <c r="AX9" s="501"/>
      <c r="AY9" s="501"/>
      <c r="AZ9" s="501"/>
      <c r="BA9" s="1156">
        <v>0</v>
      </c>
    </row>
    <row customHeight="1" ht="11.25" hidden="1">
      <c r="A10" s="1364"/>
      <c r="B10" s="1364"/>
      <c r="C10" s="1364"/>
      <c r="D10" s="1364"/>
      <c r="E10" s="2260"/>
      <c r="F10" s="2260"/>
      <c r="G10" s="2260"/>
      <c r="H10" s="2260"/>
      <c r="I10" s="2287"/>
      <c r="J10" s="2287"/>
      <c r="K10" s="2257"/>
      <c r="L10" s="1365"/>
      <c r="P10" s="2258"/>
      <c r="Q10" s="2258"/>
      <c r="R10" s="2348"/>
      <c r="S10" s="2343"/>
      <c r="T10" s="2346"/>
      <c r="U10" s="301"/>
      <c r="V10" s="1394"/>
      <c r="W10" s="1398"/>
      <c r="X10" s="2266"/>
      <c r="Y10" s="2108"/>
      <c r="Z10" s="2266"/>
      <c r="AA10" s="2108"/>
      <c r="AB10" s="2108"/>
      <c r="AC10" s="2327"/>
      <c r="AD10" s="2206"/>
      <c r="AE10" s="2328"/>
      <c r="AF10" s="2108"/>
      <c r="AG10" s="295"/>
      <c r="AH10" s="416"/>
      <c r="AI10" s="416" t="s">
        <v>597</v>
      </c>
      <c r="AJ10" s="1394"/>
      <c r="AK10" s="1394"/>
      <c r="AL10" s="1394"/>
      <c r="AM10" s="1394"/>
      <c r="AN10" s="1394"/>
      <c r="AO10" s="1497"/>
      <c r="AP10" s="1394"/>
      <c r="AQ10" s="1394"/>
      <c r="AR10" s="1394"/>
      <c r="AS10" s="1394"/>
      <c r="AT10" s="1391"/>
      <c r="AU10" s="2255"/>
      <c r="AW10" s="501"/>
      <c r="AX10" s="501"/>
      <c r="AY10" s="501"/>
      <c r="AZ10" s="501"/>
      <c r="BA10" s="1156">
        <v>0</v>
      </c>
    </row>
    <row customHeight="1" ht="11.25" hidden="1">
      <c r="A11" s="1364"/>
      <c r="B11" s="1364"/>
      <c r="C11" s="1364"/>
      <c r="D11" s="1364"/>
      <c r="E11" s="2260"/>
      <c r="F11" s="2260"/>
      <c r="G11" s="2260"/>
      <c r="H11" s="2260"/>
      <c r="I11" s="2287"/>
      <c r="J11" s="2287"/>
      <c r="K11" s="2257"/>
      <c r="L11" s="1365"/>
      <c r="P11" s="2258"/>
      <c r="Q11" s="2258"/>
      <c r="R11" s="2348"/>
      <c r="S11" s="2344"/>
      <c r="T11" s="2347"/>
      <c r="U11" s="301"/>
      <c r="V11" s="1394"/>
      <c r="W11" s="1397" t="str">
        <f>X8&amp;"-"&amp;Z8</f>
        <v>-</v>
      </c>
      <c r="X11" s="2267"/>
      <c r="Y11" s="2108"/>
      <c r="Z11" s="2267"/>
      <c r="AA11" s="2108"/>
      <c r="AB11" s="2108"/>
      <c r="AC11" s="313"/>
      <c r="AD11" s="315"/>
      <c r="AE11" s="416" t="s">
        <v>598</v>
      </c>
      <c r="AF11" s="1394"/>
      <c r="AG11" s="1394"/>
      <c r="AH11" s="1394"/>
      <c r="AI11" s="1394"/>
      <c r="AJ11" s="1394"/>
      <c r="AK11" s="1394"/>
      <c r="AL11" s="1394"/>
      <c r="AM11" s="1394"/>
      <c r="AN11" s="1394"/>
      <c r="AO11" s="1395" t="str">
        <f>AP8&amp;"-"&amp;AR8</f>
        <v>-</v>
      </c>
      <c r="AP11" s="1394"/>
      <c r="AQ11" s="1394"/>
      <c r="AR11" s="1394"/>
      <c r="AS11" s="1394"/>
      <c r="AT11" s="1350"/>
      <c r="AU11" s="2255"/>
      <c r="AW11" s="501"/>
      <c r="AX11" s="501" t="str">
        <f>IF(T11="","",T11)</f>
        <v/>
      </c>
      <c r="AY11" s="501"/>
      <c r="AZ11" s="501"/>
      <c r="BA11" s="1156">
        <v>0</v>
      </c>
    </row>
    <row customHeight="1" ht="11.25" hidden="1">
      <c r="A12" s="1364"/>
      <c r="B12" s="1364"/>
      <c r="C12" s="1364"/>
      <c r="D12" s="1364"/>
      <c r="E12" s="2260"/>
      <c r="F12" s="2260"/>
      <c r="G12" s="2260"/>
      <c r="H12" s="2260"/>
      <c r="I12" s="2287"/>
      <c r="J12" s="2257"/>
      <c r="K12" s="1364"/>
      <c r="L12" s="1365"/>
      <c r="P12" s="2258"/>
      <c r="Q12" s="2258"/>
      <c r="R12" s="357"/>
      <c r="S12" s="1279"/>
      <c r="T12" s="288" t="s">
        <v>599</v>
      </c>
      <c r="U12" s="368"/>
      <c r="V12" s="368"/>
      <c r="W12" s="368"/>
      <c r="X12" s="368"/>
      <c r="Y12" s="368"/>
      <c r="Z12" s="368"/>
      <c r="AA12" s="368"/>
      <c r="AB12" s="368"/>
      <c r="AC12" s="368"/>
      <c r="AD12" s="368"/>
      <c r="AE12" s="368"/>
      <c r="AF12" s="368"/>
      <c r="AG12" s="368"/>
      <c r="AH12" s="368"/>
      <c r="AI12" s="368"/>
      <c r="AJ12" s="368"/>
      <c r="AK12" s="368"/>
      <c r="AL12" s="368"/>
      <c r="AM12" s="368"/>
      <c r="AN12" s="368"/>
      <c r="AO12" s="368"/>
      <c r="AP12" s="368"/>
      <c r="AQ12" s="368"/>
      <c r="AR12" s="368"/>
      <c r="AS12" s="368"/>
      <c r="AT12" s="325"/>
      <c r="AU12" s="2256"/>
      <c r="AW12" s="501"/>
      <c r="AX12" s="501" t="str">
        <f>IF(T12="","",T12)</f>
        <v>Добавить строку</v>
      </c>
      <c r="AY12" s="501"/>
      <c r="AZ12" s="501"/>
      <c r="BA12" s="1156">
        <v>0</v>
      </c>
    </row>
    <row s="1643" customFormat="1" customHeight="1" ht="0.75" hidden="1">
      <c r="A13" s="1344"/>
      <c r="B13" s="1344"/>
      <c r="C13" s="1344"/>
      <c r="D13" s="1344"/>
      <c r="E13" s="2260"/>
      <c r="F13" s="2260"/>
      <c r="G13" s="2260"/>
      <c r="H13" s="2260"/>
      <c r="I13" s="2257"/>
      <c r="J13" s="1344"/>
      <c r="K13" s="1344"/>
      <c r="L13" s="1347"/>
      <c r="M13" s="511"/>
      <c r="N13" s="511"/>
      <c r="O13" s="511"/>
      <c r="P13" s="2258"/>
      <c r="Q13" s="1332"/>
      <c r="R13" s="357"/>
      <c r="S13" s="1387"/>
      <c r="T13" s="1388"/>
      <c r="U13" s="1389"/>
      <c r="V13" s="1389"/>
      <c r="W13" s="1389"/>
      <c r="X13" s="1389"/>
      <c r="Y13" s="1389"/>
      <c r="Z13" s="1389"/>
      <c r="AA13" s="1389"/>
      <c r="AB13" s="1389"/>
      <c r="AC13" s="1389"/>
      <c r="AD13" s="1389"/>
      <c r="AE13" s="1389"/>
      <c r="AF13" s="1389"/>
      <c r="AG13" s="1389"/>
      <c r="AH13" s="1389"/>
      <c r="AI13" s="1389"/>
      <c r="AJ13" s="1389"/>
      <c r="AK13" s="1389"/>
      <c r="AL13" s="1389"/>
      <c r="AM13" s="1389"/>
      <c r="AN13" s="1389"/>
      <c r="AO13" s="1389"/>
      <c r="AP13" s="1389"/>
      <c r="AQ13" s="1389"/>
      <c r="AR13" s="1389"/>
      <c r="AS13" s="1389"/>
      <c r="AT13" s="1389"/>
      <c r="AU13" s="1390"/>
      <c r="AW13" s="501"/>
      <c r="AX13" s="501" t="str">
        <f>IF(T13="","",T13)</f>
        <v/>
      </c>
      <c r="AY13" s="501"/>
      <c r="AZ13" s="501"/>
      <c r="BA13" s="512">
        <v>0</v>
      </c>
    </row>
    <row s="1643" customFormat="1" customHeight="1" ht="0.75" hidden="1">
      <c r="A14" s="1344"/>
      <c r="B14" s="1344"/>
      <c r="C14" s="1344"/>
      <c r="D14" s="1344"/>
      <c r="E14" s="2260"/>
      <c r="F14" s="2260"/>
      <c r="G14" s="2260"/>
      <c r="H14" s="2259"/>
      <c r="I14" s="1344"/>
      <c r="J14" s="1344"/>
      <c r="K14" s="1344"/>
      <c r="L14" s="1347"/>
      <c r="M14" s="1316"/>
      <c r="N14" s="1316"/>
      <c r="O14" s="519"/>
      <c r="P14" s="381"/>
      <c r="Q14" s="1345"/>
      <c r="R14" s="1402"/>
      <c r="S14" s="1387"/>
      <c r="T14" s="1388"/>
      <c r="U14" s="1389"/>
      <c r="V14" s="1389"/>
      <c r="W14" s="1389"/>
      <c r="X14" s="1389"/>
      <c r="Y14" s="1389"/>
      <c r="Z14" s="1389"/>
      <c r="AA14" s="1389"/>
      <c r="AB14" s="1389"/>
      <c r="AC14" s="1389"/>
      <c r="AD14" s="1389"/>
      <c r="AE14" s="1389"/>
      <c r="AF14" s="1389"/>
      <c r="AG14" s="1389"/>
      <c r="AH14" s="1389"/>
      <c r="AI14" s="1389"/>
      <c r="AJ14" s="1389"/>
      <c r="AK14" s="1389"/>
      <c r="AL14" s="1389"/>
      <c r="AM14" s="1389"/>
      <c r="AN14" s="1389"/>
      <c r="AO14" s="1389"/>
      <c r="AP14" s="1389"/>
      <c r="AQ14" s="1389"/>
      <c r="AR14" s="1389"/>
      <c r="AS14" s="1389"/>
      <c r="AT14" s="1389"/>
      <c r="AU14" s="1390"/>
      <c r="AW14" s="501"/>
      <c r="AX14" s="501" t="str">
        <f>IF(T14="","",T14)</f>
        <v/>
      </c>
      <c r="AY14" s="501"/>
      <c r="AZ14" s="501"/>
      <c r="BA14" s="512">
        <v>0</v>
      </c>
    </row>
    <row s="1643" customFormat="1" customHeight="1" ht="0.75" hidden="1">
      <c r="A15" s="1344"/>
      <c r="B15" s="1344"/>
      <c r="C15" s="1344"/>
      <c r="D15" s="1315"/>
      <c r="E15" s="2260"/>
      <c r="F15" s="2260"/>
      <c r="G15" s="2259"/>
      <c r="H15" s="1315"/>
      <c r="I15" s="1315"/>
      <c r="J15" s="1315"/>
      <c r="K15" s="1315"/>
      <c r="L15" s="1340"/>
      <c r="M15" s="1316"/>
      <c r="N15" s="1316"/>
      <c r="P15" s="1317"/>
      <c r="Q15" s="1318"/>
      <c r="R15" s="1317"/>
      <c r="S15" s="1323"/>
      <c r="T15" s="1326" t="s">
        <v>177</v>
      </c>
      <c r="U15" s="1325"/>
      <c r="V15" s="1325"/>
      <c r="W15" s="1325"/>
      <c r="X15" s="1325"/>
      <c r="Y15" s="1325"/>
      <c r="Z15" s="1325"/>
      <c r="AA15" s="1325"/>
      <c r="AB15" s="1325"/>
      <c r="AC15" s="1325"/>
      <c r="AD15" s="1325"/>
      <c r="AE15" s="1325"/>
      <c r="AF15" s="1325"/>
      <c r="AG15" s="1325"/>
      <c r="AH15" s="1325"/>
      <c r="AI15" s="1325"/>
      <c r="AJ15" s="1325"/>
      <c r="AK15" s="1325"/>
      <c r="AL15" s="1325"/>
      <c r="AM15" s="1325"/>
      <c r="AN15" s="1325"/>
      <c r="AO15" s="1325"/>
      <c r="AP15" s="1325"/>
      <c r="AQ15" s="1325"/>
      <c r="AR15" s="1325"/>
      <c r="AS15" s="1325"/>
      <c r="AT15" s="1325"/>
      <c r="AU15" s="1325"/>
      <c r="AW15" s="790"/>
      <c r="AX15" s="790" t="str">
        <f>IF(T15="","",T15)</f>
        <v>Добавить источник для дифференциации</v>
      </c>
      <c r="AY15" s="790"/>
      <c r="AZ15" s="790"/>
      <c r="BA15" s="519">
        <v>0</v>
      </c>
    </row>
    <row s="1643" customFormat="1" customHeight="1" ht="0.75" hidden="1">
      <c r="A16" s="1344"/>
      <c r="B16" s="1344"/>
      <c r="C16" s="1315"/>
      <c r="D16" s="1315"/>
      <c r="E16" s="2260"/>
      <c r="F16" s="2259"/>
      <c r="G16" s="1315"/>
      <c r="H16" s="1315"/>
      <c r="I16" s="1315"/>
      <c r="J16" s="1315"/>
      <c r="K16" s="1315"/>
      <c r="L16" s="1340"/>
      <c r="M16" s="1322"/>
      <c r="N16" s="1322"/>
      <c r="P16" s="1317"/>
      <c r="Q16" s="1318"/>
      <c r="R16" s="1317"/>
      <c r="S16" s="1323"/>
      <c r="T16" s="1326" t="s">
        <v>178</v>
      </c>
      <c r="U16" s="1325"/>
      <c r="V16" s="1325"/>
      <c r="W16" s="1325"/>
      <c r="X16" s="1325"/>
      <c r="Y16" s="1325"/>
      <c r="Z16" s="1325"/>
      <c r="AA16" s="1325"/>
      <c r="AB16" s="1325"/>
      <c r="AC16" s="1325"/>
      <c r="AD16" s="1325"/>
      <c r="AE16" s="1325"/>
      <c r="AF16" s="1325"/>
      <c r="AG16" s="1325"/>
      <c r="AH16" s="1325"/>
      <c r="AI16" s="1325"/>
      <c r="AJ16" s="1325"/>
      <c r="AK16" s="1325"/>
      <c r="AL16" s="1325"/>
      <c r="AM16" s="1325"/>
      <c r="AN16" s="1325"/>
      <c r="AO16" s="1325"/>
      <c r="AP16" s="1325"/>
      <c r="AQ16" s="1325"/>
      <c r="AR16" s="1325"/>
      <c r="AS16" s="1325"/>
      <c r="AT16" s="1325"/>
      <c r="AU16" s="1325"/>
      <c r="AW16" s="790"/>
      <c r="AX16" s="790" t="str">
        <f>IF(T16="","",T16)</f>
        <v>Добавить централизованную систему для дифференциации</v>
      </c>
      <c r="AY16" s="790"/>
      <c r="AZ16" s="790"/>
      <c r="BA16" s="519">
        <v>0</v>
      </c>
    </row>
    <row s="1643" customFormat="1" customHeight="1" ht="0.75" hidden="1">
      <c r="A17" s="1344"/>
      <c r="B17" s="1344"/>
      <c r="C17" s="1344"/>
      <c r="D17" s="1344"/>
      <c r="E17" s="2259"/>
      <c r="F17" s="1344"/>
      <c r="G17" s="1344"/>
      <c r="H17" s="1344"/>
      <c r="I17" s="1344"/>
      <c r="J17" s="1344"/>
      <c r="K17" s="1344"/>
      <c r="L17" s="1347"/>
      <c r="M17" s="1322"/>
      <c r="N17" s="1322"/>
      <c r="O17" s="519"/>
      <c r="P17" s="381"/>
      <c r="Q17" s="1345"/>
      <c r="R17" s="381"/>
      <c r="S17" s="1323"/>
      <c r="T17" s="1326" t="s">
        <v>183</v>
      </c>
      <c r="U17" s="1325"/>
      <c r="V17" s="1325"/>
      <c r="W17" s="1325"/>
      <c r="X17" s="1325"/>
      <c r="Y17" s="1325"/>
      <c r="Z17" s="1325"/>
      <c r="AA17" s="1325"/>
      <c r="AB17" s="1325"/>
      <c r="AC17" s="1325"/>
      <c r="AD17" s="1325"/>
      <c r="AE17" s="1325"/>
      <c r="AF17" s="1325"/>
      <c r="AG17" s="1325"/>
      <c r="AH17" s="1325"/>
      <c r="AI17" s="1325"/>
      <c r="AJ17" s="1325"/>
      <c r="AK17" s="1325"/>
      <c r="AL17" s="1325"/>
      <c r="AM17" s="1325"/>
      <c r="AN17" s="1325"/>
      <c r="AO17" s="1325"/>
      <c r="AP17" s="1325"/>
      <c r="AQ17" s="1325"/>
      <c r="AR17" s="1325"/>
      <c r="AS17" s="1325"/>
      <c r="AT17" s="1325"/>
      <c r="AU17" s="1325"/>
      <c r="AW17" s="501"/>
      <c r="AX17" s="501" t="str">
        <f>IF(T17="","",T17)</f>
        <v>Добавить территорию для дифференциации</v>
      </c>
      <c r="AY17" s="501"/>
      <c r="AZ17" s="501"/>
      <c r="BA17" s="512">
        <v>0</v>
      </c>
    </row>
    <row customHeight="1" ht="14.25" hidden="1">
      <c r="AA18" s="328"/>
      <c r="AS18" s="328"/>
      <c r="BA18" s="1156">
        <v>0</v>
      </c>
    </row>
    <row customHeight="1" ht="14.25" hidden="1">
      <c r="AB19" s="1325" t="s">
        <v>19</v>
      </c>
      <c r="AC19" s="1502"/>
      <c r="AD19" s="549">
        <v>1</v>
      </c>
      <c r="AE19" s="1503"/>
      <c r="AF19" s="1325" t="s">
        <v>19</v>
      </c>
      <c r="AG19" s="1502"/>
      <c r="AH19" s="549">
        <v>1</v>
      </c>
      <c r="AI19" s="1503"/>
      <c r="AJ19" s="1325" t="s">
        <v>19</v>
      </c>
      <c r="AK19" s="1504"/>
      <c r="AL19" s="549">
        <v>1</v>
      </c>
      <c r="AM19" s="1507"/>
      <c r="AN19" s="1404"/>
      <c r="AO19" s="1405"/>
      <c r="AP19" s="1737"/>
      <c r="AQ19" s="1461" t="s">
        <v>65</v>
      </c>
      <c r="AR19" s="1737"/>
      <c r="AS19" s="1461" t="s">
        <v>65</v>
      </c>
      <c r="BA19" s="1156">
        <v>0</v>
      </c>
    </row>
    <row customHeight="1" ht="14.25" hidden="1">
      <c r="AV20" s="497"/>
      <c r="AW20" s="497"/>
      <c r="AX20" s="497"/>
      <c r="AY20" s="497"/>
      <c r="AZ20" s="497"/>
      <c r="BA20" s="1156">
        <v>0</v>
      </c>
    </row>
    <row customHeight="1" ht="14.25" hidden="1">
      <c r="O21" s="1368" t="s">
        <v>544</v>
      </c>
      <c r="X21" s="1346"/>
      <c r="Z21" s="1346"/>
      <c r="AA21" s="328"/>
      <c r="AP21" s="1346"/>
      <c r="AR21" s="1346"/>
      <c r="AS21" s="328"/>
      <c r="AV21" s="497"/>
      <c r="AW21" s="497"/>
      <c r="AX21" s="497"/>
      <c r="AY21" s="497"/>
      <c r="AZ21" s="497"/>
      <c r="BA21" s="1156">
        <v>0</v>
      </c>
    </row>
    <row customHeight="1" ht="14.25" hidden="1">
      <c r="AA22" s="328"/>
      <c r="AS22" s="328"/>
      <c r="AV22" s="497"/>
      <c r="AW22" s="497"/>
      <c r="AX22" s="497"/>
      <c r="AY22" s="497"/>
      <c r="AZ22" s="497"/>
      <c r="BA22" s="1156">
        <v>0</v>
      </c>
    </row>
    <row s="1510" customFormat="1" customHeight="1" ht="14.25" hidden="1">
      <c r="M23" s="1509"/>
      <c r="N23" s="1509"/>
      <c r="O23" s="1510" t="s">
        <v>545</v>
      </c>
      <c r="P23" s="1509"/>
      <c r="Q23" s="1511"/>
      <c r="R23" s="1511"/>
      <c r="Y23" s="1508" t="s">
        <v>547</v>
      </c>
      <c r="AA23" s="1508" t="s">
        <v>548</v>
      </c>
      <c r="AB23" s="1508" t="s">
        <v>600</v>
      </c>
      <c r="AE23" s="1508" t="s">
        <v>601</v>
      </c>
      <c r="AF23" s="1508" t="s">
        <v>600</v>
      </c>
      <c r="AI23" s="1508" t="s">
        <v>602</v>
      </c>
      <c r="AJ23" s="1508" t="s">
        <v>600</v>
      </c>
      <c r="AM23" s="1508" t="s">
        <v>603</v>
      </c>
      <c r="AQ23" s="1508" t="s">
        <v>547</v>
      </c>
      <c r="AS23" s="1508" t="s">
        <v>548</v>
      </c>
      <c r="AV23" s="1512"/>
      <c r="AW23" s="1512"/>
      <c r="AX23" s="1512"/>
      <c r="AY23" s="1512"/>
      <c r="AZ23" s="1512"/>
      <c r="BA23" s="1508">
        <v>0</v>
      </c>
    </row>
    <row customHeight="1" ht="14.25" hidden="1">
      <c r="O24" s="1365"/>
      <c r="AV24" s="497"/>
      <c r="AW24" s="497"/>
      <c r="AX24" s="497"/>
      <c r="AY24" s="497"/>
      <c r="AZ24" s="497"/>
      <c r="BA24" s="1156">
        <v>0</v>
      </c>
    </row>
    <row customHeight="1" ht="14.25" hidden="1">
      <c r="O25" s="1365"/>
      <c r="AV25" s="497"/>
      <c r="AW25" s="497"/>
      <c r="AX25" s="497"/>
      <c r="AY25" s="497"/>
      <c r="AZ25" s="497"/>
      <c r="BA25" s="1156">
        <v>0</v>
      </c>
    </row>
    <row customHeight="1" ht="14.699999999999998">
      <c r="Q26" s="292"/>
      <c r="R26" s="377"/>
      <c r="S26" s="1276"/>
      <c r="T26" s="364"/>
      <c r="U26" s="364"/>
      <c r="V26" s="510"/>
      <c r="W26" s="510"/>
      <c r="X26" s="510"/>
      <c r="Y26" s="510"/>
      <c r="Z26" s="510"/>
      <c r="AA26" s="510"/>
      <c r="AB26" s="510"/>
      <c r="AC26" s="510"/>
      <c r="AD26" s="510"/>
      <c r="AE26" s="510"/>
      <c r="AF26" s="510"/>
      <c r="AG26" s="510"/>
      <c r="AH26" s="510"/>
      <c r="AI26" s="510"/>
      <c r="AJ26" s="510"/>
      <c r="AK26" s="510"/>
      <c r="AL26" s="510"/>
      <c r="AM26" s="510"/>
      <c r="AN26" s="510"/>
      <c r="AO26" s="510"/>
      <c r="AP26" s="510"/>
      <c r="AQ26" s="510"/>
      <c r="AR26" s="510"/>
      <c r="AS26" s="510"/>
      <c r="BA26" s="1156">
        <v>14</v>
      </c>
    </row>
    <row customHeight="1" ht="27.299999999999997">
      <c r="Q27" s="292"/>
      <c r="R27" s="377"/>
      <c r="S27" s="2249" t="str">
        <f>IF(TEMPLATE_GROUP="P",PT_P_FORM_HEAT_7_NAME_FORM,PT_R_FORM_HEAT_24_NAME_FORM)</f>
        <v>Форма 6. Информация об установленной плате за подключение (технологическое присоединение) к системе теплоснабжения, о плате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v>
      </c>
      <c r="T27" s="2249"/>
      <c r="U27" s="2249"/>
      <c r="V27" s="2249"/>
      <c r="W27" s="2249"/>
      <c r="X27" s="2249"/>
      <c r="Y27" s="2249"/>
      <c r="Z27" s="2249"/>
      <c r="AA27" s="2249"/>
      <c r="AB27" s="2249"/>
      <c r="AC27" s="2249"/>
      <c r="AD27" s="2249"/>
      <c r="AE27" s="2249"/>
      <c r="AF27" s="2249"/>
      <c r="AG27" s="2249"/>
      <c r="AH27" s="2249"/>
      <c r="AI27" s="2249"/>
      <c r="AJ27" s="2249"/>
      <c r="AK27" s="2249"/>
      <c r="AL27" s="2249"/>
      <c r="AM27" s="2249"/>
      <c r="AN27" s="2249"/>
      <c r="AO27" s="2249"/>
      <c r="AP27" s="2249"/>
      <c r="AQ27" s="2249"/>
      <c r="AR27" s="2249"/>
      <c r="AS27" s="1244"/>
      <c r="BA27" s="1156">
        <v>26</v>
      </c>
    </row>
    <row customHeight="1" ht="14.699999999999998">
      <c r="Q28" s="292"/>
      <c r="R28" s="377"/>
      <c r="S28" s="2250" t="str">
        <f>IF(org=0,"Не определено",org)</f>
        <v>ПАО "ТГК-1" (филиал "Кольский")</v>
      </c>
      <c r="T28" s="2250"/>
      <c r="U28" s="2250"/>
      <c r="V28" s="2250"/>
      <c r="W28" s="2250"/>
      <c r="X28" s="2250"/>
      <c r="Y28" s="2250"/>
      <c r="Z28" s="2250"/>
      <c r="AA28" s="2250"/>
      <c r="AB28" s="2250"/>
      <c r="AC28" s="2250"/>
      <c r="AD28" s="2250"/>
      <c r="AE28" s="2250"/>
      <c r="AF28" s="2250"/>
      <c r="AG28" s="2250"/>
      <c r="AH28" s="2250"/>
      <c r="AI28" s="2250"/>
      <c r="AJ28" s="2250"/>
      <c r="AK28" s="2250"/>
      <c r="AL28" s="2250"/>
      <c r="AM28" s="2250"/>
      <c r="AN28" s="2250"/>
      <c r="AO28" s="2250"/>
      <c r="AP28" s="2250"/>
      <c r="AQ28" s="2250"/>
      <c r="AR28" s="2250"/>
      <c r="AS28" s="1244"/>
      <c r="BA28" s="1156">
        <v>14</v>
      </c>
    </row>
    <row customHeight="1" ht="14.25">
      <c r="Q29" s="292"/>
      <c r="R29" s="377"/>
      <c r="S29" s="1276"/>
      <c r="T29" s="364"/>
      <c r="U29" s="364"/>
      <c r="V29" s="323"/>
      <c r="W29" s="323"/>
      <c r="X29" s="323"/>
      <c r="Y29" s="323"/>
      <c r="Z29" s="323"/>
      <c r="AA29" s="323"/>
      <c r="AB29" s="323"/>
      <c r="AC29" s="323"/>
      <c r="AD29" s="323"/>
      <c r="AE29" s="323"/>
      <c r="AF29" s="323"/>
      <c r="AG29" s="323"/>
      <c r="AH29" s="323"/>
      <c r="AI29" s="323"/>
      <c r="AJ29" s="323"/>
      <c r="AK29" s="323"/>
      <c r="AL29" s="323"/>
      <c r="AM29" s="323"/>
      <c r="AN29" s="323"/>
      <c r="AO29" s="323"/>
      <c r="AP29" s="323"/>
      <c r="AQ29" s="323"/>
      <c r="AR29" s="323"/>
      <c r="AS29" s="323"/>
      <c r="AT29" s="510"/>
      <c r="BA29" s="1156">
        <v>0</v>
      </c>
    </row>
    <row s="1854" customFormat="1" customHeight="1" ht="25.5">
      <c r="A30" s="1369"/>
      <c r="B30" s="1369"/>
      <c r="C30" s="1369"/>
      <c r="D30" s="1369"/>
      <c r="E30" s="1369"/>
      <c r="F30" s="1369"/>
      <c r="G30" s="1369"/>
      <c r="H30" s="1369"/>
      <c r="I30" s="1369"/>
      <c r="J30" s="1369"/>
      <c r="K30" s="1369"/>
      <c r="L30" s="1370"/>
      <c r="M30" s="1369"/>
      <c r="N30" s="1369"/>
      <c r="O30" s="1369"/>
      <c r="P30" s="1369"/>
      <c r="Q30" s="1369"/>
      <c r="S30" s="2251" t="s">
        <v>42</v>
      </c>
      <c r="T30" s="2251"/>
      <c r="U30" s="1373"/>
      <c r="V30" s="2252" t="str">
        <f>IF(TITLE_NAME_OR_PR_CHANGE="",IF(TITLE_NAME_OR_PR="","",TITLE_NAME_OR_PR),TITLE_NAME_OR_PR_CHANGE)</f>
        <v>Комитет по тарифному регулированию Мурманской области</v>
      </c>
      <c r="W30" s="2252"/>
      <c r="X30" s="2252"/>
      <c r="Y30" s="2252"/>
      <c r="Z30" s="2252"/>
      <c r="AA30" s="327"/>
      <c r="AB30" s="2252" t="str">
        <f>IF(TITLE_NAME_OR_PR_CHANGE="",IF(TITLE_NAME_OR_PR="","",TITLE_NAME_OR_PR),TITLE_NAME_OR_PR_CHANGE)</f>
        <v>Комитет по тарифному регулированию Мурманской области</v>
      </c>
      <c r="AC30" s="2252"/>
      <c r="AD30" s="2252"/>
      <c r="AE30" s="2252"/>
      <c r="AF30" s="2252"/>
      <c r="AG30" s="2252"/>
      <c r="AH30" s="2252"/>
      <c r="AI30" s="2252"/>
      <c r="AJ30" s="2252"/>
      <c r="AK30" s="2252"/>
      <c r="AL30" s="2252"/>
      <c r="AM30" s="2252"/>
      <c r="AN30" s="2252"/>
      <c r="AO30" s="2252"/>
      <c r="AP30" s="2252"/>
      <c r="AQ30" s="2252"/>
      <c r="AR30" s="2252"/>
      <c r="AS30" s="327"/>
      <c r="AT30" s="327"/>
      <c r="AU30" s="281"/>
      <c r="AV30" s="369"/>
      <c r="AW30" s="369"/>
      <c r="AX30" s="369"/>
      <c r="AY30" s="369"/>
      <c r="AZ30" s="369"/>
      <c r="BA30" s="419">
        <v>0</v>
      </c>
    </row>
    <row s="1854" customFormat="1" customHeight="1" ht="18.75">
      <c r="A31" s="1369"/>
      <c r="B31" s="1369"/>
      <c r="C31" s="1369"/>
      <c r="D31" s="1369"/>
      <c r="E31" s="1369"/>
      <c r="F31" s="1369"/>
      <c r="G31" s="1369"/>
      <c r="H31" s="1369"/>
      <c r="I31" s="1369"/>
      <c r="J31" s="1369"/>
      <c r="K31" s="1369"/>
      <c r="L31" s="1370"/>
      <c r="M31" s="1369"/>
      <c r="N31" s="1369"/>
      <c r="O31" s="1369"/>
      <c r="P31" s="1369"/>
      <c r="Q31" s="1369"/>
      <c r="S31" s="2251" t="s">
        <v>550</v>
      </c>
      <c r="T31" s="2251"/>
      <c r="U31" s="1373"/>
      <c r="V31" s="2265" t="str">
        <f>IF(TITLE_DATE_PR_CHANGE="",IF(TITLE_DATE_PR="","",TITLE_DATE_PR),TITLE_DATE_PR_CHANGE)</f>
        <v>46010</v>
      </c>
      <c r="W31" s="2265"/>
      <c r="X31" s="2265"/>
      <c r="Y31" s="2265"/>
      <c r="Z31" s="2265"/>
      <c r="AA31" s="327"/>
      <c r="AB31" s="2265" t="str">
        <f>IF(TITLE_DATE_PR_CHANGE="",IF(TITLE_DATE_PR="","",TITLE_DATE_PR),TITLE_DATE_PR_CHANGE)</f>
        <v>46010</v>
      </c>
      <c r="AC31" s="2265"/>
      <c r="AD31" s="2265"/>
      <c r="AE31" s="2265"/>
      <c r="AF31" s="2265"/>
      <c r="AG31" s="2265"/>
      <c r="AH31" s="2265"/>
      <c r="AI31" s="2265"/>
      <c r="AJ31" s="2265"/>
      <c r="AK31" s="2265"/>
      <c r="AL31" s="2265"/>
      <c r="AM31" s="2265"/>
      <c r="AN31" s="2265"/>
      <c r="AO31" s="2265"/>
      <c r="AP31" s="2265"/>
      <c r="AQ31" s="2265"/>
      <c r="AR31" s="2265"/>
      <c r="AS31" s="327"/>
      <c r="AT31" s="327"/>
      <c r="AU31" s="281"/>
      <c r="AV31" s="369"/>
      <c r="AW31" s="369"/>
      <c r="AX31" s="369"/>
      <c r="AY31" s="369"/>
      <c r="AZ31" s="369"/>
      <c r="BA31" s="419">
        <v>0</v>
      </c>
    </row>
    <row s="1854" customFormat="1" customHeight="1" ht="18.75">
      <c r="A32" s="1369"/>
      <c r="B32" s="1369"/>
      <c r="C32" s="1369"/>
      <c r="D32" s="1369"/>
      <c r="E32" s="1369"/>
      <c r="F32" s="1369"/>
      <c r="G32" s="1369"/>
      <c r="H32" s="1369"/>
      <c r="I32" s="1369"/>
      <c r="J32" s="1369"/>
      <c r="K32" s="1369"/>
      <c r="L32" s="1370"/>
      <c r="M32" s="1369"/>
      <c r="N32" s="1369"/>
      <c r="O32" s="1369"/>
      <c r="P32" s="1369"/>
      <c r="Q32" s="1369"/>
      <c r="S32" s="2251" t="s">
        <v>551</v>
      </c>
      <c r="T32" s="2251"/>
      <c r="U32" s="1373"/>
      <c r="V32" s="2252" t="str">
        <f>IF(TITLE_NUMBER_PR_CHANGE="",IF(TITLE_NUMBER_PR="","",TITLE_NUMBER_PR),TITLE_NUMBER_PR_CHANGE)</f>
        <v>53/77; 53/49</v>
      </c>
      <c r="W32" s="2252"/>
      <c r="X32" s="2252"/>
      <c r="Y32" s="2252"/>
      <c r="Z32" s="2252"/>
      <c r="AA32" s="327"/>
      <c r="AB32" s="2252" t="str">
        <f>IF(TITLE_NUMBER_PR_CHANGE="",IF(TITLE_NUMBER_PR="","",TITLE_NUMBER_PR),TITLE_NUMBER_PR_CHANGE)</f>
        <v>53/77; 53/49</v>
      </c>
      <c r="AC32" s="2252"/>
      <c r="AD32" s="2252"/>
      <c r="AE32" s="2252"/>
      <c r="AF32" s="2252"/>
      <c r="AG32" s="2252"/>
      <c r="AH32" s="2252"/>
      <c r="AI32" s="2252"/>
      <c r="AJ32" s="2252"/>
      <c r="AK32" s="2252"/>
      <c r="AL32" s="2252"/>
      <c r="AM32" s="2252"/>
      <c r="AN32" s="2252"/>
      <c r="AO32" s="2252"/>
      <c r="AP32" s="2252"/>
      <c r="AQ32" s="2252"/>
      <c r="AR32" s="2252"/>
      <c r="AS32" s="327"/>
      <c r="AT32" s="327"/>
      <c r="AU32" s="281"/>
      <c r="AV32" s="369"/>
      <c r="AW32" s="369"/>
      <c r="AX32" s="369"/>
      <c r="AY32" s="369"/>
      <c r="AZ32" s="369"/>
      <c r="BA32" s="419">
        <v>0</v>
      </c>
    </row>
    <row s="1854" customFormat="1" customHeight="1" ht="18.75">
      <c r="A33" s="1369"/>
      <c r="B33" s="1369"/>
      <c r="C33" s="1369"/>
      <c r="D33" s="1369"/>
      <c r="E33" s="1369"/>
      <c r="F33" s="1369"/>
      <c r="G33" s="1369"/>
      <c r="H33" s="1369"/>
      <c r="I33" s="1369"/>
      <c r="J33" s="1369"/>
      <c r="K33" s="1369"/>
      <c r="L33" s="1370"/>
      <c r="M33" s="1369"/>
      <c r="N33" s="1369"/>
      <c r="O33" s="1369"/>
      <c r="P33" s="1369"/>
      <c r="Q33" s="1369"/>
      <c r="S33" s="2251" t="s">
        <v>44</v>
      </c>
      <c r="T33" s="2251"/>
      <c r="U33" s="1373"/>
      <c r="V33" s="2252" t="str">
        <f>IF(TITLE_IST_PUB_CHANGE="",IF(TITLE_IST_PUB="","",TITLE_IST_PUB),TITLE_IST_PUB_CHANGE)</f>
        <v>Официальный электронный бюллетень Правительства Мурманской области</v>
      </c>
      <c r="W33" s="2252"/>
      <c r="X33" s="2252"/>
      <c r="Y33" s="2252"/>
      <c r="Z33" s="2252"/>
      <c r="AA33" s="327"/>
      <c r="AB33" s="2252" t="str">
        <f>IF(TITLE_IST_PUB_CHANGE="",IF(TITLE_IST_PUB="","",TITLE_IST_PUB),TITLE_IST_PUB_CHANGE)</f>
        <v>Официальный электронный бюллетень Правительства Мурманской области</v>
      </c>
      <c r="AC33" s="2252"/>
      <c r="AD33" s="2252"/>
      <c r="AE33" s="2252"/>
      <c r="AF33" s="2252"/>
      <c r="AG33" s="2252"/>
      <c r="AH33" s="2252"/>
      <c r="AI33" s="2252"/>
      <c r="AJ33" s="2252"/>
      <c r="AK33" s="2252"/>
      <c r="AL33" s="2252"/>
      <c r="AM33" s="2252"/>
      <c r="AN33" s="2252"/>
      <c r="AO33" s="2252"/>
      <c r="AP33" s="2252"/>
      <c r="AQ33" s="2252"/>
      <c r="AR33" s="2252"/>
      <c r="AS33" s="327"/>
      <c r="AT33" s="327"/>
      <c r="AU33" s="281"/>
      <c r="AV33" s="369"/>
      <c r="AW33" s="369"/>
      <c r="AX33" s="369"/>
      <c r="AY33" s="369"/>
      <c r="AZ33" s="369"/>
      <c r="BA33" s="419">
        <v>0</v>
      </c>
    </row>
    <row customHeight="1" ht="14.25" hidden="1">
      <c r="Q34" s="292"/>
      <c r="R34" s="377"/>
      <c r="S34" s="1276"/>
      <c r="T34" s="364"/>
      <c r="U34" s="364"/>
      <c r="V34" s="323"/>
      <c r="W34" s="323"/>
      <c r="X34" s="323"/>
      <c r="Y34" s="323"/>
      <c r="Z34" s="323"/>
      <c r="AA34" s="323"/>
      <c r="AB34" s="323"/>
      <c r="AC34" s="323"/>
      <c r="AD34" s="323"/>
      <c r="AE34" s="323"/>
      <c r="AF34" s="323"/>
      <c r="AG34" s="323"/>
      <c r="AH34" s="323"/>
      <c r="AI34" s="323"/>
      <c r="AJ34" s="323"/>
      <c r="AK34" s="323"/>
      <c r="AL34" s="323"/>
      <c r="AM34" s="323"/>
      <c r="AN34" s="323"/>
      <c r="AO34" s="323"/>
      <c r="AP34" s="323"/>
      <c r="AQ34" s="323"/>
      <c r="AR34" s="323"/>
      <c r="AS34" s="323"/>
      <c r="AT34" s="510"/>
      <c r="BA34" s="1156">
        <v>0</v>
      </c>
    </row>
    <row s="1854" customFormat="1" customHeight="1" ht="18.75" hidden="1">
      <c r="A35" s="1369"/>
      <c r="B35" s="1369"/>
      <c r="C35" s="1369"/>
      <c r="D35" s="1369"/>
      <c r="E35" s="1369"/>
      <c r="F35" s="1369"/>
      <c r="G35" s="1369"/>
      <c r="H35" s="1369"/>
      <c r="I35" s="1369"/>
      <c r="J35" s="1369"/>
      <c r="K35" s="1369"/>
      <c r="L35" s="1370"/>
      <c r="M35" s="1369"/>
      <c r="N35" s="1369"/>
      <c r="O35" s="1369"/>
      <c r="P35" s="1369"/>
      <c r="Q35" s="1369"/>
      <c r="S35" s="2251" t="s">
        <v>550</v>
      </c>
      <c r="T35" s="2251"/>
      <c r="U35" s="1373"/>
      <c r="V35" s="2265" t="str">
        <f>IF(TITLE_DATE_PR_CHANGE="",IF(TITLE_DATE_PR="","",TITLE_DATE_PR),TITLE_DATE_PR_CHANGE)</f>
        <v>46010</v>
      </c>
      <c r="W35" s="2265"/>
      <c r="X35" s="2265"/>
      <c r="Y35" s="2265"/>
      <c r="Z35" s="2265"/>
      <c r="AA35" s="327"/>
      <c r="AB35" s="2265" t="str">
        <f>IF(TITLE_DATE_PR_CHANGE="",IF(TITLE_DATE_PR="","",TITLE_DATE_PR),TITLE_DATE_PR_CHANGE)</f>
        <v>46010</v>
      </c>
      <c r="AC35" s="2265"/>
      <c r="AD35" s="2265"/>
      <c r="AE35" s="2265"/>
      <c r="AF35" s="2265"/>
      <c r="AG35" s="2265"/>
      <c r="AH35" s="2265"/>
      <c r="AI35" s="2265"/>
      <c r="AJ35" s="2265"/>
      <c r="AK35" s="2265"/>
      <c r="AL35" s="2265"/>
      <c r="AM35" s="2265"/>
      <c r="AN35" s="2265"/>
      <c r="AO35" s="2265"/>
      <c r="AP35" s="2265"/>
      <c r="AQ35" s="2265"/>
      <c r="AR35" s="2265"/>
      <c r="AS35" s="327"/>
      <c r="AT35" s="327"/>
      <c r="AU35" s="281"/>
      <c r="AV35" s="369"/>
      <c r="AW35" s="369"/>
      <c r="AX35" s="369"/>
      <c r="AY35" s="369"/>
      <c r="AZ35" s="369"/>
      <c r="BA35" s="419">
        <v>0</v>
      </c>
    </row>
    <row s="1854" customFormat="1" customHeight="1" ht="18" hidden="1">
      <c r="A36" s="1369"/>
      <c r="B36" s="1369"/>
      <c r="C36" s="1369"/>
      <c r="D36" s="1369"/>
      <c r="E36" s="1369"/>
      <c r="F36" s="1369"/>
      <c r="G36" s="1369"/>
      <c r="H36" s="1369"/>
      <c r="I36" s="1369"/>
      <c r="J36" s="1369"/>
      <c r="K36" s="1369"/>
      <c r="L36" s="1370"/>
      <c r="M36" s="1369"/>
      <c r="N36" s="1369"/>
      <c r="O36" s="1369"/>
      <c r="P36" s="1369"/>
      <c r="Q36" s="1369"/>
      <c r="S36" s="2251" t="s">
        <v>551</v>
      </c>
      <c r="T36" s="2251"/>
      <c r="U36" s="1373"/>
      <c r="V36" s="2252" t="str">
        <f>IF(TITLE_NUMBER_PR_CHANGE="",IF(TITLE_NUMBER_PR="","",TITLE_NUMBER_PR),TITLE_NUMBER_PR_CHANGE)</f>
        <v>53/77; 53/49</v>
      </c>
      <c r="W36" s="2252"/>
      <c r="X36" s="2252"/>
      <c r="Y36" s="2252"/>
      <c r="Z36" s="2252"/>
      <c r="AA36" s="327"/>
      <c r="AB36" s="2252" t="str">
        <f>IF(TITLE_NUMBER_PR_CHANGE="",IF(TITLE_NUMBER_PR="","",TITLE_NUMBER_PR),TITLE_NUMBER_PR_CHANGE)</f>
        <v>53/77; 53/49</v>
      </c>
      <c r="AC36" s="2252"/>
      <c r="AD36" s="2252"/>
      <c r="AE36" s="2252"/>
      <c r="AF36" s="2252"/>
      <c r="AG36" s="2252"/>
      <c r="AH36" s="2252"/>
      <c r="AI36" s="2252"/>
      <c r="AJ36" s="2252"/>
      <c r="AK36" s="2252"/>
      <c r="AL36" s="2252"/>
      <c r="AM36" s="2252"/>
      <c r="AN36" s="2252"/>
      <c r="AO36" s="2252"/>
      <c r="AP36" s="2252"/>
      <c r="AQ36" s="2252"/>
      <c r="AR36" s="2252"/>
      <c r="AS36" s="327"/>
      <c r="AT36" s="327"/>
      <c r="AU36" s="281"/>
      <c r="AV36" s="369"/>
      <c r="AW36" s="369"/>
      <c r="AX36" s="369"/>
      <c r="AY36" s="369"/>
      <c r="AZ36" s="369"/>
      <c r="BA36" s="419">
        <v>0</v>
      </c>
    </row>
    <row s="1854" customFormat="1" customHeight="1" ht="1.05">
      <c r="A37" s="1369"/>
      <c r="B37" s="1369"/>
      <c r="C37" s="1369"/>
      <c r="D37" s="1369"/>
      <c r="E37" s="1369"/>
      <c r="F37" s="1369"/>
      <c r="G37" s="1369"/>
      <c r="H37" s="1369"/>
      <c r="I37" s="1369"/>
      <c r="J37" s="1369"/>
      <c r="K37" s="1369"/>
      <c r="L37" s="1370"/>
      <c r="M37" s="1369"/>
      <c r="N37" s="1369"/>
      <c r="O37" s="1369"/>
      <c r="P37" s="1369"/>
      <c r="Q37" s="1369"/>
      <c r="S37" s="324"/>
      <c r="T37" s="324"/>
      <c r="U37" s="1341"/>
      <c r="V37" s="327"/>
      <c r="W37" s="327"/>
      <c r="X37" s="327"/>
      <c r="Y37" s="327"/>
      <c r="Z37" s="327"/>
      <c r="AA37" s="279" t="s">
        <v>554</v>
      </c>
      <c r="AB37" s="327"/>
      <c r="AC37" s="327"/>
      <c r="AD37" s="327"/>
      <c r="AE37" s="327"/>
      <c r="AF37" s="327"/>
      <c r="AG37" s="327"/>
      <c r="AH37" s="327"/>
      <c r="AI37" s="327"/>
      <c r="AJ37" s="327"/>
      <c r="AK37" s="327"/>
      <c r="AL37" s="327"/>
      <c r="AM37" s="327"/>
      <c r="AN37" s="327"/>
      <c r="AO37" s="327"/>
      <c r="AP37" s="327"/>
      <c r="AQ37" s="327"/>
      <c r="AR37" s="327"/>
      <c r="AS37" s="279" t="s">
        <v>554</v>
      </c>
      <c r="AV37" s="369"/>
      <c r="AW37" s="369"/>
      <c r="AX37" s="369"/>
      <c r="AY37" s="369"/>
      <c r="AZ37" s="369"/>
      <c r="BA37" s="419">
        <v>1</v>
      </c>
    </row>
    <row customHeight="1" ht="14.699999999999998">
      <c r="Q38" s="292"/>
      <c r="R38" s="377"/>
      <c r="S38" s="1276"/>
      <c r="T38" s="364"/>
      <c r="U38" s="1245"/>
      <c r="V38" s="2253"/>
      <c r="W38" s="2253"/>
      <c r="X38" s="2253"/>
      <c r="Y38" s="2253"/>
      <c r="Z38" s="2253"/>
      <c r="AA38" s="2253"/>
      <c r="AB38" s="2253"/>
      <c r="AC38" s="2253"/>
      <c r="AD38" s="2253"/>
      <c r="AE38" s="2253"/>
      <c r="AF38" s="2253"/>
      <c r="AG38" s="2253"/>
      <c r="AH38" s="2253"/>
      <c r="AI38" s="2253"/>
      <c r="AJ38" s="2253"/>
      <c r="AK38" s="2253"/>
      <c r="AL38" s="2253"/>
      <c r="AM38" s="2253"/>
      <c r="AN38" s="2253"/>
      <c r="AO38" s="2253"/>
      <c r="AP38" s="2253"/>
      <c r="AQ38" s="2253"/>
      <c r="AR38" s="2253"/>
      <c r="AS38" s="2253"/>
      <c r="BA38" s="1156">
        <v>14</v>
      </c>
    </row>
    <row customHeight="1" ht="14.699999999999998">
      <c r="Q39" s="292"/>
      <c r="R39" s="377"/>
      <c r="S39" s="2128" t="s">
        <v>430</v>
      </c>
      <c r="T39" s="2128"/>
      <c r="U39" s="2128"/>
      <c r="V39" s="2128"/>
      <c r="W39" s="2128"/>
      <c r="X39" s="2128"/>
      <c r="Y39" s="2128"/>
      <c r="Z39" s="2128"/>
      <c r="AA39" s="2128"/>
      <c r="AB39" s="2176"/>
      <c r="AC39" s="2176"/>
      <c r="AD39" s="2176"/>
      <c r="AE39" s="2176"/>
      <c r="AF39" s="2128"/>
      <c r="AG39" s="2128"/>
      <c r="AH39" s="2128"/>
      <c r="AI39" s="2128"/>
      <c r="AJ39" s="2128"/>
      <c r="AK39" s="2128"/>
      <c r="AL39" s="2128"/>
      <c r="AM39" s="2128"/>
      <c r="AN39" s="2128"/>
      <c r="AO39" s="2128"/>
      <c r="AP39" s="2128"/>
      <c r="AQ39" s="2128"/>
      <c r="AR39" s="2128"/>
      <c r="AS39" s="2128"/>
      <c r="AT39" s="2128"/>
      <c r="AU39" s="2128" t="s">
        <v>431</v>
      </c>
      <c r="BA39" s="1156">
        <v>14</v>
      </c>
    </row>
    <row customHeight="1" ht="14.699999999999998">
      <c r="Q40" s="292"/>
      <c r="R40" s="377"/>
      <c r="S40" s="2274" t="s">
        <v>92</v>
      </c>
      <c r="T40" s="2210" t="s">
        <v>604</v>
      </c>
      <c r="U40" s="302"/>
      <c r="V40" s="2276"/>
      <c r="W40" s="2276"/>
      <c r="X40" s="2276"/>
      <c r="Y40" s="2276"/>
      <c r="Z40" s="2277"/>
      <c r="AA40" s="2337" t="s">
        <v>557</v>
      </c>
      <c r="AB40" s="2329" t="s">
        <v>605</v>
      </c>
      <c r="AC40" s="2292"/>
      <c r="AD40" s="2292"/>
      <c r="AE40" s="2330"/>
      <c r="AF40" s="2292" t="s">
        <v>606</v>
      </c>
      <c r="AG40" s="2292"/>
      <c r="AH40" s="2292"/>
      <c r="AI40" s="2330"/>
      <c r="AJ40" s="2329" t="s">
        <v>607</v>
      </c>
      <c r="AK40" s="2292"/>
      <c r="AL40" s="2292"/>
      <c r="AM40" s="2330"/>
      <c r="AN40" s="2329" t="s">
        <v>556</v>
      </c>
      <c r="AO40" s="2292"/>
      <c r="AP40" s="2276"/>
      <c r="AQ40" s="2276"/>
      <c r="AR40" s="2277"/>
      <c r="AS40" s="2278" t="s">
        <v>557</v>
      </c>
      <c r="AT40" s="2281" t="s">
        <v>559</v>
      </c>
      <c r="AU40" s="2128"/>
      <c r="BA40" s="1156">
        <v>14</v>
      </c>
    </row>
    <row customHeight="1" ht="35.699999999999996">
      <c r="Q41" s="292"/>
      <c r="R41" s="377"/>
      <c r="S41" s="2274"/>
      <c r="T41" s="2210"/>
      <c r="U41" s="1032"/>
      <c r="V41" s="2128" t="s">
        <v>608</v>
      </c>
      <c r="W41" s="2128"/>
      <c r="X41" s="2295" t="s">
        <v>563</v>
      </c>
      <c r="Y41" s="2314"/>
      <c r="Z41" s="2315"/>
      <c r="AA41" s="2338"/>
      <c r="AB41" s="2331"/>
      <c r="AC41" s="2332"/>
      <c r="AD41" s="2332"/>
      <c r="AE41" s="2333"/>
      <c r="AF41" s="2332"/>
      <c r="AG41" s="2332"/>
      <c r="AH41" s="2332"/>
      <c r="AI41" s="2333"/>
      <c r="AJ41" s="2331"/>
      <c r="AK41" s="2332"/>
      <c r="AL41" s="2332"/>
      <c r="AM41" s="2332"/>
      <c r="AN41" s="2128" t="s">
        <v>608</v>
      </c>
      <c r="AO41" s="2128"/>
      <c r="AP41" s="2314" t="s">
        <v>563</v>
      </c>
      <c r="AQ41" s="2314"/>
      <c r="AR41" s="2315"/>
      <c r="AS41" s="2279"/>
      <c r="AT41" s="2282"/>
      <c r="AU41" s="2128"/>
      <c r="BA41" s="1156">
        <v>34</v>
      </c>
    </row>
    <row customHeight="1" ht="14.699999999999998">
      <c r="Q42" s="292"/>
      <c r="R42" s="377"/>
      <c r="S42" s="2274"/>
      <c r="T42" s="2210"/>
      <c r="U42" s="1032"/>
      <c r="V42" s="2341" t="str">
        <f>IF($AN$42&lt;&gt;"",$AN$42,"")</f>
        <v/>
      </c>
      <c r="W42" s="2341"/>
      <c r="X42" s="2296"/>
      <c r="Y42" s="2316"/>
      <c r="Z42" s="2317"/>
      <c r="AA42" s="2338"/>
      <c r="AB42" s="2331"/>
      <c r="AC42" s="2332"/>
      <c r="AD42" s="2332"/>
      <c r="AE42" s="2333"/>
      <c r="AF42" s="2332"/>
      <c r="AG42" s="2332"/>
      <c r="AH42" s="2332"/>
      <c r="AI42" s="2333"/>
      <c r="AJ42" s="2331"/>
      <c r="AK42" s="2332"/>
      <c r="AL42" s="2332"/>
      <c r="AM42" s="2332"/>
      <c r="AN42" s="2340"/>
      <c r="AO42" s="2340"/>
      <c r="AP42" s="2316"/>
      <c r="AQ42" s="2316"/>
      <c r="AR42" s="2317"/>
      <c r="AS42" s="2279"/>
      <c r="AT42" s="2282"/>
      <c r="AU42" s="2128"/>
      <c r="BA42" s="1156">
        <v>14</v>
      </c>
    </row>
    <row customHeight="1" ht="14.699999999999998">
      <c r="A43" s="1371"/>
      <c r="B43" s="1371" t="s">
        <v>148</v>
      </c>
      <c r="C43" s="1371" t="s">
        <v>149</v>
      </c>
      <c r="D43" s="1371" t="s">
        <v>150</v>
      </c>
      <c r="E43" s="1365" t="s">
        <v>564</v>
      </c>
      <c r="F43" s="1365" t="s">
        <v>565</v>
      </c>
      <c r="G43" s="1365" t="s">
        <v>566</v>
      </c>
      <c r="H43" s="1365" t="s">
        <v>567</v>
      </c>
      <c r="I43" s="1365" t="s">
        <v>568</v>
      </c>
      <c r="J43" s="1365" t="s">
        <v>569</v>
      </c>
      <c r="K43" s="1365" t="s">
        <v>570</v>
      </c>
      <c r="L43" s="1365" t="s">
        <v>545</v>
      </c>
      <c r="Q43" s="292"/>
      <c r="R43" s="377"/>
      <c r="S43" s="2274"/>
      <c r="T43" s="2210"/>
      <c r="U43" s="303"/>
      <c r="V43" s="1331" t="s">
        <v>609</v>
      </c>
      <c r="W43" s="1331" t="s">
        <v>610</v>
      </c>
      <c r="X43" s="1339" t="s">
        <v>573</v>
      </c>
      <c r="Y43" s="2271" t="s">
        <v>574</v>
      </c>
      <c r="Z43" s="2272"/>
      <c r="AA43" s="2339"/>
      <c r="AB43" s="2334"/>
      <c r="AC43" s="2335"/>
      <c r="AD43" s="2335"/>
      <c r="AE43" s="2336"/>
      <c r="AF43" s="2335"/>
      <c r="AG43" s="2335"/>
      <c r="AH43" s="2335"/>
      <c r="AI43" s="2336"/>
      <c r="AJ43" s="2334"/>
      <c r="AK43" s="2335"/>
      <c r="AL43" s="2335"/>
      <c r="AM43" s="2336"/>
      <c r="AN43" s="1861" t="s">
        <v>609</v>
      </c>
      <c r="AO43" s="1861" t="s">
        <v>610</v>
      </c>
      <c r="AP43" s="1339" t="s">
        <v>573</v>
      </c>
      <c r="AQ43" s="2271" t="s">
        <v>574</v>
      </c>
      <c r="AR43" s="2272"/>
      <c r="AS43" s="2280"/>
      <c r="AT43" s="2283"/>
      <c r="AU43" s="2128"/>
      <c r="BA43" s="1156">
        <v>14</v>
      </c>
    </row>
    <row s="1642" customFormat="1" customHeight="1" ht="11.25" hidden="1">
      <c r="A44" s="1371"/>
      <c r="B44" s="1371"/>
      <c r="C44" s="1371"/>
      <c r="D44" s="1371"/>
      <c r="E44" s="1371"/>
      <c r="F44" s="1371"/>
      <c r="G44" s="1371"/>
      <c r="H44" s="1371"/>
      <c r="I44" s="1371"/>
      <c r="J44" s="1371"/>
      <c r="K44" s="1371"/>
      <c r="L44" s="1365"/>
      <c r="M44" s="1363"/>
      <c r="N44" s="1363"/>
      <c r="O44" s="1363"/>
      <c r="P44" s="511"/>
      <c r="Q44" s="1255"/>
      <c r="R44" s="1255">
        <v>1</v>
      </c>
      <c r="S44" s="1278" t="s">
        <v>123</v>
      </c>
      <c r="T44" s="1256" t="s">
        <v>107</v>
      </c>
      <c r="U44" s="1246" t="str">
        <f>OFFSET(U44,0,-1)</f>
        <v>2</v>
      </c>
      <c r="V44" s="1336">
        <f>OFFSET(V44,0,-1)+1</f>
        <v>3</v>
      </c>
      <c r="W44" s="1336">
        <f>OFFSET(W44,0,-1)+1</f>
        <v>4</v>
      </c>
      <c r="X44" s="1336">
        <f>OFFSET(X44,0,-1)+1</f>
        <v>5</v>
      </c>
      <c r="Y44" s="2273">
        <f>OFFSET(Y44,0,-1)+1</f>
        <v>6</v>
      </c>
      <c r="Z44" s="2273"/>
      <c r="AA44" s="1336">
        <f>OFFSET(AA44,0,-2)+1</f>
        <v>7</v>
      </c>
      <c r="AB44" s="1342">
        <f>OFFSET(AB44,0,-1)+1</f>
        <v>8</v>
      </c>
      <c r="AC44" s="1342"/>
      <c r="AD44" s="1342"/>
      <c r="AE44" s="1342"/>
      <c r="AF44" s="1336"/>
      <c r="AG44" s="1336"/>
      <c r="AH44" s="1336"/>
      <c r="AI44" s="1336"/>
      <c r="AJ44" s="1336"/>
      <c r="AK44" s="1336"/>
      <c r="AL44" s="1336"/>
      <c r="AM44" s="1336"/>
      <c r="AN44" s="1336">
        <f>OFFSET(AN44,0,-1)+1</f>
        <v>1</v>
      </c>
      <c r="AO44" s="1336">
        <f>OFFSET(AO44,0,-1)+1</f>
        <v>2</v>
      </c>
      <c r="AP44" s="1336">
        <f>OFFSET(AP44,0,-1)+1</f>
        <v>3</v>
      </c>
      <c r="AQ44" s="2273">
        <f>OFFSET(AQ44,0,-1)+1</f>
        <v>4</v>
      </c>
      <c r="AR44" s="2273"/>
      <c r="AS44" s="1336">
        <f>OFFSET(AS44,0,-2)+1</f>
        <v>5</v>
      </c>
      <c r="AT44" s="1246">
        <f>OFFSET(AT44,0,-1)</f>
        <v>5</v>
      </c>
      <c r="AU44" s="1336">
        <f>OFFSET(AU44,0,-1)+1</f>
        <v>6</v>
      </c>
      <c r="AV44" s="512"/>
      <c r="AW44" s="512"/>
      <c r="AX44" s="512"/>
      <c r="AY44" s="512"/>
      <c r="AZ44" s="512"/>
      <c r="BA44" s="497">
        <v>0</v>
      </c>
    </row>
    <row customHeight="1" ht="107.25">
      <c r="A45" s="1364" t="s">
        <v>330</v>
      </c>
      <c r="B45" s="1364"/>
      <c r="C45" s="1364"/>
      <c r="D45" s="1364"/>
      <c r="E45" s="2259">
        <v>1</v>
      </c>
      <c r="F45" s="1364"/>
      <c r="G45" s="1364"/>
      <c r="H45" s="1364"/>
      <c r="I45" s="1364"/>
      <c r="J45" s="1364"/>
      <c r="K45" s="1364"/>
      <c r="L45" s="1365"/>
      <c r="M45" s="1366"/>
      <c r="N45" s="1366"/>
      <c r="O45" s="1366"/>
      <c r="P45" s="1410"/>
      <c r="Q45" s="874"/>
      <c r="R45" s="356"/>
      <c r="S45" s="1337">
        <f>INDEX(PT_DIFFERENTIATION_NUM_NTAR,MATCH(A45,PT_DIFFERENTIATION_NTAR_ID,0))</f>
        <v>0</v>
      </c>
      <c r="T45" s="299" t="s">
        <v>136</v>
      </c>
      <c r="U45" s="301"/>
      <c r="V45" s="2244"/>
      <c r="W45" s="2244"/>
      <c r="X45" s="2244"/>
      <c r="Y45" s="2244"/>
      <c r="Z45" s="2244"/>
      <c r="AA45" s="2245"/>
      <c r="AB45" s="2243" t="str">
        <f>INDEX(PT_DIFFERENTIATION_NTAR,MATCH(A45,PT_DIFFERENTIATION_NTAR_ID,0))</f>
        <v/>
      </c>
      <c r="AC45" s="2244"/>
      <c r="AD45" s="2244"/>
      <c r="AE45" s="2244"/>
      <c r="AF45" s="2244"/>
      <c r="AG45" s="2244"/>
      <c r="AH45" s="2244"/>
      <c r="AI45" s="2244"/>
      <c r="AJ45" s="2244"/>
      <c r="AK45" s="2244"/>
      <c r="AL45" s="2244"/>
      <c r="AM45" s="2244"/>
      <c r="AN45" s="2244"/>
      <c r="AO45" s="2244"/>
      <c r="AP45" s="2244"/>
      <c r="AQ45" s="2244"/>
      <c r="AR45" s="2244"/>
      <c r="AS45" s="2244"/>
      <c r="AT45" s="2245"/>
      <c r="AU45" s="1259" t="str">
        <f>IF(TEMPLATE_GROUP="P","По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г."&amp;" N 190-ФЗ ""О теплоснабжении"", теплоснабжающей организации, теплосетевой организации в ценовых зонах теплоснабжения. "&amp;"Указывается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
"&amp;"Указываются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"&amp;"цены (тарифа), источник официального опубликования решения об установлении цены (тарифа) в сфере теплоснабжения.","По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статьи"&amp;" 23 4 Федерального закона от 27 июля 2010 г. N 190-ФЗ ""О теплоснабжении"".
"&amp;"По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190-ФЗ"&amp;" Федерального закона ""О теплоснабжении"", теплоснабжающей организации, теплосетевой организации в ценовых зонах теплоснабжения.
"&amp;"В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индивидуальном"&amp;" порядке - в тыс.руб.; в отношении льготного размера платы за подключение - в руб.
"&amp;"Указывается наименование тарифа в случае расчета нескольких тарифов. 
"&amp;"В случае наличия нескольких тарифов информация по ним указывается в отдельных строках.")</f>
        <v>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 N 190-ФЗ "О теплоснабжении", теплоснабжающей организации, теплосетевой организации в ценовых зонах теплоснабжения. 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 (тарифа), источник официального опубликования решения об установлении цены (тарифа) в сфере теплоснабжения.</v>
      </c>
      <c r="AW45" s="501"/>
      <c r="AX45" s="501" t="str">
        <f>IF(T45="","",T45)</f>
        <v>Наименование тарифа</v>
      </c>
      <c r="AY45" s="501"/>
      <c r="AZ45" s="501"/>
      <c r="BA45" s="1156">
        <v>102</v>
      </c>
    </row>
    <row customHeight="1" ht="22.049999999999997">
      <c r="A46" s="1364" t="s">
        <v>330</v>
      </c>
      <c r="B46" s="1364" t="s">
        <v>331</v>
      </c>
      <c r="C46" s="1364"/>
      <c r="D46" s="1364"/>
      <c r="E46" s="2260"/>
      <c r="F46" s="2259">
        <v>1</v>
      </c>
      <c r="G46" s="1364"/>
      <c r="H46" s="1364"/>
      <c r="I46" s="1364"/>
      <c r="J46" s="1364"/>
      <c r="K46" s="1364"/>
      <c r="L46" s="1365"/>
      <c r="M46" s="1366"/>
      <c r="N46" s="1366"/>
      <c r="O46" s="1366"/>
      <c r="P46" s="1411"/>
      <c r="Q46" s="1412"/>
      <c r="R46" s="354"/>
      <c r="S46" s="1337" t="str">
        <f>INDEX(PT_DIFFERENTIATION_NUM_TER,MATCH(B46,PT_DIFFERENTIATION_TER_ID,0))</f>
        <v>.</v>
      </c>
      <c r="T46" s="309" t="s">
        <v>527</v>
      </c>
      <c r="U46" s="301"/>
      <c r="V46" s="2244"/>
      <c r="W46" s="2244"/>
      <c r="X46" s="2244"/>
      <c r="Y46" s="2244"/>
      <c r="Z46" s="2244"/>
      <c r="AA46" s="2245"/>
      <c r="AB46" s="2243" t="str">
        <f>INDEX(PT_DIFFERENTIATION_TER,MATCH(B46,PT_DIFFERENTIATION_TER_ID,0))</f>
        <v/>
      </c>
      <c r="AC46" s="2244"/>
      <c r="AD46" s="2244"/>
      <c r="AE46" s="2244"/>
      <c r="AF46" s="2244"/>
      <c r="AG46" s="2244"/>
      <c r="AH46" s="2244"/>
      <c r="AI46" s="2244"/>
      <c r="AJ46" s="2244"/>
      <c r="AK46" s="2244"/>
      <c r="AL46" s="2244"/>
      <c r="AM46" s="2244"/>
      <c r="AN46" s="2244"/>
      <c r="AO46" s="2244"/>
      <c r="AP46" s="2244"/>
      <c r="AQ46" s="2244"/>
      <c r="AR46" s="2244"/>
      <c r="AS46" s="2244"/>
      <c r="AT46" s="2245"/>
      <c r="AU46" s="1259" t="s">
        <v>528</v>
      </c>
      <c r="AW46" s="501"/>
      <c r="AX46" s="501" t="str">
        <f>IF(T46="","",T46)</f>
        <v>Территория действия тарифа</v>
      </c>
      <c r="AY46" s="501"/>
      <c r="AZ46" s="501"/>
      <c r="BA46" s="1156">
        <v>21</v>
      </c>
    </row>
    <row customHeight="1" ht="24">
      <c r="A47" s="1364" t="s">
        <v>330</v>
      </c>
      <c r="B47" s="1364" t="s">
        <v>331</v>
      </c>
      <c r="C47" s="1364" t="s">
        <v>332</v>
      </c>
      <c r="D47" s="1364"/>
      <c r="E47" s="2260"/>
      <c r="F47" s="2260"/>
      <c r="G47" s="2259">
        <v>1</v>
      </c>
      <c r="H47" s="1364"/>
      <c r="I47" s="1364"/>
      <c r="J47" s="1364"/>
      <c r="K47" s="1364"/>
      <c r="L47" s="1365"/>
      <c r="M47" s="1366"/>
      <c r="N47" s="1366"/>
      <c r="O47" s="1366"/>
      <c r="P47" s="1413"/>
      <c r="Q47" s="1412"/>
      <c r="R47" s="354"/>
      <c r="S47" s="1337" t="str">
        <f>INDEX(PT_DIFFERENTIATION_NUM_CS,MATCH(C47,PT_DIFFERENTIATION_CS_ID,0))</f>
        <v>..</v>
      </c>
      <c r="T47" s="310" t="s">
        <v>529</v>
      </c>
      <c r="U47" s="301"/>
      <c r="V47" s="2244"/>
      <c r="W47" s="2244"/>
      <c r="X47" s="2244"/>
      <c r="Y47" s="2244"/>
      <c r="Z47" s="2244"/>
      <c r="AA47" s="2245"/>
      <c r="AB47" s="2243" t="str">
        <f>INDEX(PT_DIFFERENTIATION_CS,MATCH(C47,PT_DIFFERENTIATION_CS_ID,0))</f>
        <v/>
      </c>
      <c r="AC47" s="2244"/>
      <c r="AD47" s="2244"/>
      <c r="AE47" s="2244"/>
      <c r="AF47" s="2244"/>
      <c r="AG47" s="2244"/>
      <c r="AH47" s="2244"/>
      <c r="AI47" s="2244"/>
      <c r="AJ47" s="2244"/>
      <c r="AK47" s="2244"/>
      <c r="AL47" s="2244"/>
      <c r="AM47" s="2244"/>
      <c r="AN47" s="2244"/>
      <c r="AO47" s="2244"/>
      <c r="AP47" s="2244"/>
      <c r="AQ47" s="2244"/>
      <c r="AR47" s="2244"/>
      <c r="AS47" s="2244"/>
      <c r="AT47" s="2245"/>
      <c r="AU47" s="1259" t="s">
        <v>530</v>
      </c>
      <c r="AW47" s="501"/>
      <c r="AX47" s="501" t="str">
        <f>IF(T47="","",T47)</f>
        <v>Наименование системы теплоснабжения </v>
      </c>
      <c r="AY47" s="501"/>
      <c r="AZ47" s="501"/>
      <c r="BA47" s="1156">
        <v>23</v>
      </c>
    </row>
    <row customHeight="1" ht="21">
      <c r="A48" s="1364" t="s">
        <v>330</v>
      </c>
      <c r="B48" s="1364" t="s">
        <v>331</v>
      </c>
      <c r="C48" s="1364" t="s">
        <v>332</v>
      </c>
      <c r="D48" s="1364" t="s">
        <v>333</v>
      </c>
      <c r="E48" s="2260"/>
      <c r="F48" s="2260"/>
      <c r="G48" s="2260"/>
      <c r="H48" s="2259">
        <v>1</v>
      </c>
      <c r="I48" s="1364"/>
      <c r="J48" s="1364"/>
      <c r="K48" s="1364"/>
      <c r="L48" s="1365"/>
      <c r="M48" s="1366"/>
      <c r="N48" s="1366"/>
      <c r="O48" s="1366"/>
      <c r="P48" s="1413"/>
      <c r="Q48" s="1412"/>
      <c r="R48" s="354"/>
      <c r="S48" s="1337" t="str">
        <f>INDEX(PT_DIFFERENTIATION_NUM_IST_TE,MATCH(D48,PT_DIFFERENTIATION_IST_TE_ID,0))</f>
        <v>...</v>
      </c>
      <c r="T48" s="311" t="s">
        <v>531</v>
      </c>
      <c r="U48" s="301"/>
      <c r="V48" s="2244"/>
      <c r="W48" s="2244"/>
      <c r="X48" s="2244"/>
      <c r="Y48" s="2244"/>
      <c r="Z48" s="2244"/>
      <c r="AA48" s="2245"/>
      <c r="AB48" s="2243" t="str">
        <f>INDEX(PT_DIFFERENTIATION_IST_TE,MATCH(D48,PT_DIFFERENTIATION_IST_TE_ID,0))</f>
        <v/>
      </c>
      <c r="AC48" s="2244"/>
      <c r="AD48" s="2244"/>
      <c r="AE48" s="2244"/>
      <c r="AF48" s="2244"/>
      <c r="AG48" s="2244"/>
      <c r="AH48" s="2244"/>
      <c r="AI48" s="2244"/>
      <c r="AJ48" s="2244"/>
      <c r="AK48" s="2244"/>
      <c r="AL48" s="2244"/>
      <c r="AM48" s="2244"/>
      <c r="AN48" s="2244"/>
      <c r="AO48" s="2244"/>
      <c r="AP48" s="2244"/>
      <c r="AQ48" s="2244"/>
      <c r="AR48" s="2244"/>
      <c r="AS48" s="2244"/>
      <c r="AT48" s="2245"/>
      <c r="AU48" s="1259" t="s">
        <v>532</v>
      </c>
      <c r="AW48" s="501"/>
      <c r="AX48" s="501" t="str">
        <f>IF(T48="","",T48)</f>
        <v>Источник тепловой энергии  </v>
      </c>
      <c r="AY48" s="501"/>
      <c r="AZ48" s="501"/>
      <c r="BA48" s="1156">
        <v>20</v>
      </c>
    </row>
    <row s="1643" customFormat="1" customHeight="1" ht="1.05">
      <c r="A49" s="1344" t="s">
        <v>330</v>
      </c>
      <c r="B49" s="1344" t="s">
        <v>331</v>
      </c>
      <c r="C49" s="1344" t="s">
        <v>332</v>
      </c>
      <c r="D49" s="1344" t="s">
        <v>333</v>
      </c>
      <c r="E49" s="2260"/>
      <c r="F49" s="2260"/>
      <c r="G49" s="2260"/>
      <c r="H49" s="2260"/>
      <c r="I49" s="2257" t="str">
        <f>S48&amp;".1"</f>
        <v>....1</v>
      </c>
      <c r="J49" s="1344"/>
      <c r="K49" s="1344"/>
      <c r="L49" s="1347" t="s">
        <v>533</v>
      </c>
      <c r="M49" s="511"/>
      <c r="N49" s="511"/>
      <c r="O49" s="511"/>
      <c r="P49" s="2258">
        <v>1</v>
      </c>
      <c r="Q49" s="1332"/>
      <c r="R49" s="357"/>
      <c r="S49" s="1043"/>
      <c r="T49" s="1384"/>
      <c r="U49" s="1385"/>
      <c r="V49" s="2298"/>
      <c r="W49" s="2298"/>
      <c r="X49" s="2298"/>
      <c r="Y49" s="2298"/>
      <c r="Z49" s="2298"/>
      <c r="AA49" s="2299"/>
      <c r="AB49" s="2297"/>
      <c r="AC49" s="2298"/>
      <c r="AD49" s="2298"/>
      <c r="AE49" s="2298"/>
      <c r="AF49" s="2298"/>
      <c r="AG49" s="2298"/>
      <c r="AH49" s="2298"/>
      <c r="AI49" s="2298"/>
      <c r="AJ49" s="2298"/>
      <c r="AK49" s="2298"/>
      <c r="AL49" s="2298"/>
      <c r="AM49" s="2298"/>
      <c r="AN49" s="2298"/>
      <c r="AO49" s="2298"/>
      <c r="AP49" s="2298"/>
      <c r="AQ49" s="2298"/>
      <c r="AR49" s="2298"/>
      <c r="AS49" s="2298"/>
      <c r="AT49" s="2299"/>
      <c r="AU49" s="1386"/>
      <c r="AW49" s="501"/>
      <c r="AX49" s="501" t="str">
        <f>IF(T49="","",T49)</f>
        <v/>
      </c>
      <c r="AY49" s="501"/>
      <c r="AZ49" s="501"/>
      <c r="BA49" s="512">
        <v>1</v>
      </c>
    </row>
    <row s="1643" customFormat="1" customHeight="1" ht="1.05">
      <c r="A50" s="1344" t="s">
        <v>330</v>
      </c>
      <c r="B50" s="1344" t="s">
        <v>331</v>
      </c>
      <c r="C50" s="1344" t="s">
        <v>332</v>
      </c>
      <c r="D50" s="1344" t="s">
        <v>333</v>
      </c>
      <c r="E50" s="2260"/>
      <c r="F50" s="2260"/>
      <c r="G50" s="2260"/>
      <c r="H50" s="2260"/>
      <c r="I50" s="2287"/>
      <c r="J50" s="2257" t="str">
        <f>S48&amp;".1"</f>
        <v>....1</v>
      </c>
      <c r="K50" s="1344"/>
      <c r="L50" s="1347"/>
      <c r="M50" s="511"/>
      <c r="N50" s="511"/>
      <c r="O50" s="511"/>
      <c r="P50" s="2258"/>
      <c r="Q50" s="2258">
        <v>1</v>
      </c>
      <c r="R50" s="358"/>
      <c r="S50" s="1043"/>
      <c r="T50" s="1400"/>
      <c r="U50" s="1385"/>
      <c r="V50" s="2298"/>
      <c r="W50" s="2298"/>
      <c r="X50" s="2298"/>
      <c r="Y50" s="2298"/>
      <c r="Z50" s="2298"/>
      <c r="AA50" s="2299"/>
      <c r="AB50" s="2297"/>
      <c r="AC50" s="2298"/>
      <c r="AD50" s="2298"/>
      <c r="AE50" s="2298"/>
      <c r="AF50" s="2298"/>
      <c r="AG50" s="2298"/>
      <c r="AH50" s="2298"/>
      <c r="AI50" s="2298"/>
      <c r="AJ50" s="2298"/>
      <c r="AK50" s="2298"/>
      <c r="AL50" s="2298"/>
      <c r="AM50" s="2298"/>
      <c r="AN50" s="2298"/>
      <c r="AO50" s="2298"/>
      <c r="AP50" s="2298"/>
      <c r="AQ50" s="2298"/>
      <c r="AR50" s="2298"/>
      <c r="AS50" s="2298"/>
      <c r="AT50" s="2299"/>
      <c r="AU50" s="1386"/>
      <c r="AW50" s="501"/>
      <c r="AX50" s="501" t="str">
        <f>IF(T50="","",T50)</f>
        <v/>
      </c>
      <c r="AY50" s="501"/>
      <c r="AZ50" s="501"/>
      <c r="BA50" s="512">
        <v>1</v>
      </c>
    </row>
    <row customHeight="1" ht="22.049999999999997">
      <c r="A51" s="1364" t="s">
        <v>330</v>
      </c>
      <c r="B51" s="1364" t="s">
        <v>331</v>
      </c>
      <c r="C51" s="1364" t="s">
        <v>332</v>
      </c>
      <c r="D51" s="1364" t="s">
        <v>333</v>
      </c>
      <c r="E51" s="2260"/>
      <c r="F51" s="2260"/>
      <c r="G51" s="2260"/>
      <c r="H51" s="2260"/>
      <c r="I51" s="2287"/>
      <c r="J51" s="2287"/>
      <c r="K51" s="2257" t="str">
        <f>S48&amp;".1"</f>
        <v>....1</v>
      </c>
      <c r="L51" s="1365"/>
      <c r="P51" s="2258"/>
      <c r="Q51" s="2258"/>
      <c r="R51" s="358">
        <v>1</v>
      </c>
      <c r="S51" s="2342" t="str">
        <f>$K51</f>
        <v>....1</v>
      </c>
      <c r="T51" s="2345"/>
      <c r="U51" s="301"/>
      <c r="V51" s="752"/>
      <c r="W51" s="1258"/>
      <c r="X51" s="1735"/>
      <c r="Y51" s="1460" t="s">
        <v>65</v>
      </c>
      <c r="Z51" s="1735"/>
      <c r="AA51" s="1460" t="s">
        <v>65</v>
      </c>
      <c r="AB51" s="2108" t="s">
        <v>19</v>
      </c>
      <c r="AC51" s="2327"/>
      <c r="AD51" s="2206">
        <v>1</v>
      </c>
      <c r="AE51" s="2349" t="s">
        <v>28</v>
      </c>
      <c r="AF51" s="2108" t="s">
        <v>19</v>
      </c>
      <c r="AG51" s="2327"/>
      <c r="AH51" s="2206">
        <v>1</v>
      </c>
      <c r="AI51" s="2349" t="s">
        <v>28</v>
      </c>
      <c r="AJ51" s="2108" t="s">
        <v>19</v>
      </c>
      <c r="AK51" s="312"/>
      <c r="AL51" s="1338">
        <v>1</v>
      </c>
      <c r="AM51" s="1403"/>
      <c r="AN51" s="752"/>
      <c r="AO51" s="1258"/>
      <c r="AP51" s="1735"/>
      <c r="AQ51" s="1460" t="s">
        <v>65</v>
      </c>
      <c r="AR51" s="1735"/>
      <c r="AS51" s="1460" t="s">
        <v>65</v>
      </c>
      <c r="AT51" s="1349"/>
      <c r="AU51" s="2254" t="s">
        <v>611</v>
      </c>
      <c r="AV51" s="512">
        <f>STRCHECKDATE(V54:AT54)</f>
      </c>
      <c r="AW51" s="501"/>
      <c r="AX51" s="501" t="str">
        <f>IF(T51="","",T51)</f>
        <v/>
      </c>
      <c r="AY51" s="501"/>
      <c r="AZ51" s="501"/>
      <c r="BA51" s="1156">
        <v>21</v>
      </c>
    </row>
    <row customHeight="1" ht="11.549999999999999">
      <c r="A52" s="1364" t="s">
        <v>330</v>
      </c>
      <c r="B52" s="1364"/>
      <c r="C52" s="1364"/>
      <c r="D52" s="1364"/>
      <c r="E52" s="2260"/>
      <c r="F52" s="2260"/>
      <c r="G52" s="2260"/>
      <c r="H52" s="2260"/>
      <c r="I52" s="2287"/>
      <c r="J52" s="2287"/>
      <c r="K52" s="2257"/>
      <c r="L52" s="1365"/>
      <c r="P52" s="2258"/>
      <c r="Q52" s="2258"/>
      <c r="R52" s="358"/>
      <c r="S52" s="2343"/>
      <c r="T52" s="2346"/>
      <c r="U52" s="301"/>
      <c r="V52" s="1394"/>
      <c r="W52" s="1497"/>
      <c r="X52" s="1394"/>
      <c r="Y52" s="1394"/>
      <c r="Z52" s="1394"/>
      <c r="AA52" s="1394"/>
      <c r="AB52" s="2108"/>
      <c r="AC52" s="2327"/>
      <c r="AD52" s="2206"/>
      <c r="AE52" s="2349"/>
      <c r="AF52" s="2108"/>
      <c r="AG52" s="2327"/>
      <c r="AH52" s="2206"/>
      <c r="AI52" s="2349"/>
      <c r="AJ52" s="2108"/>
      <c r="AK52" s="317"/>
      <c r="AL52" s="417"/>
      <c r="AM52" s="416" t="s">
        <v>596</v>
      </c>
      <c r="AN52" s="1394"/>
      <c r="AO52" s="1497"/>
      <c r="AP52" s="1394"/>
      <c r="AQ52" s="1394"/>
      <c r="AR52" s="1394"/>
      <c r="AS52" s="1394"/>
      <c r="AT52" s="1391"/>
      <c r="AU52" s="2255"/>
      <c r="AW52" s="501"/>
      <c r="AX52" s="501"/>
      <c r="AY52" s="501"/>
      <c r="AZ52" s="501"/>
      <c r="BA52" s="1156">
        <v>11</v>
      </c>
    </row>
    <row customHeight="1" ht="11.549999999999999">
      <c r="A53" s="1364" t="s">
        <v>330</v>
      </c>
      <c r="B53" s="1364"/>
      <c r="C53" s="1364"/>
      <c r="D53" s="1364"/>
      <c r="E53" s="2260"/>
      <c r="F53" s="2260"/>
      <c r="G53" s="2260"/>
      <c r="H53" s="2260"/>
      <c r="I53" s="2287"/>
      <c r="J53" s="2287"/>
      <c r="K53" s="2257"/>
      <c r="L53" s="1365"/>
      <c r="P53" s="2258"/>
      <c r="Q53" s="2258"/>
      <c r="R53" s="358"/>
      <c r="S53" s="2343"/>
      <c r="T53" s="2346"/>
      <c r="U53" s="301"/>
      <c r="V53" s="1394"/>
      <c r="W53" s="1497"/>
      <c r="X53" s="1394"/>
      <c r="Y53" s="1394"/>
      <c r="Z53" s="1394"/>
      <c r="AA53" s="1394"/>
      <c r="AB53" s="2108"/>
      <c r="AC53" s="2327"/>
      <c r="AD53" s="2206"/>
      <c r="AE53" s="2349"/>
      <c r="AF53" s="2108"/>
      <c r="AG53" s="295"/>
      <c r="AH53" s="416"/>
      <c r="AI53" s="416" t="s">
        <v>597</v>
      </c>
      <c r="AJ53" s="1394"/>
      <c r="AK53" s="1394"/>
      <c r="AL53" s="1394"/>
      <c r="AM53" s="1394"/>
      <c r="AN53" s="1394"/>
      <c r="AO53" s="1497"/>
      <c r="AP53" s="1394"/>
      <c r="AQ53" s="1394"/>
      <c r="AR53" s="1394"/>
      <c r="AS53" s="1394"/>
      <c r="AT53" s="1391"/>
      <c r="AU53" s="2255"/>
      <c r="AW53" s="501"/>
      <c r="AX53" s="501"/>
      <c r="AY53" s="501"/>
      <c r="AZ53" s="501"/>
      <c r="BA53" s="1156">
        <v>11</v>
      </c>
    </row>
    <row customHeight="1" ht="11.549999999999999">
      <c r="A54" s="1364" t="s">
        <v>330</v>
      </c>
      <c r="B54" s="1364" t="s">
        <v>331</v>
      </c>
      <c r="C54" s="1364" t="s">
        <v>332</v>
      </c>
      <c r="D54" s="1364" t="s">
        <v>333</v>
      </c>
      <c r="E54" s="2260"/>
      <c r="F54" s="2260"/>
      <c r="G54" s="2260"/>
      <c r="H54" s="2260"/>
      <c r="I54" s="2287"/>
      <c r="J54" s="2287"/>
      <c r="K54" s="2257"/>
      <c r="L54" s="1365"/>
      <c r="P54" s="2258"/>
      <c r="Q54" s="2258"/>
      <c r="R54" s="358"/>
      <c r="S54" s="2344"/>
      <c r="T54" s="2347"/>
      <c r="U54" s="301"/>
      <c r="V54" s="1394"/>
      <c r="W54" s="1395" t="str">
        <f>X51&amp;"-"&amp;Z51</f>
        <v>-</v>
      </c>
      <c r="X54" s="1394"/>
      <c r="Y54" s="1394"/>
      <c r="Z54" s="1394"/>
      <c r="AA54" s="1394"/>
      <c r="AB54" s="2108"/>
      <c r="AC54" s="313"/>
      <c r="AD54" s="315"/>
      <c r="AE54" s="416" t="s">
        <v>598</v>
      </c>
      <c r="AF54" s="1394"/>
      <c r="AG54" s="1394"/>
      <c r="AH54" s="1394"/>
      <c r="AI54" s="1394"/>
      <c r="AJ54" s="1394"/>
      <c r="AK54" s="1394"/>
      <c r="AL54" s="1394"/>
      <c r="AM54" s="1394"/>
      <c r="AN54" s="1394"/>
      <c r="AO54" s="1395" t="str">
        <f>AP51&amp;"-"&amp;AR51</f>
        <v>-</v>
      </c>
      <c r="AP54" s="1394"/>
      <c r="AQ54" s="1394"/>
      <c r="AR54" s="1394"/>
      <c r="AS54" s="1394"/>
      <c r="AT54" s="1350"/>
      <c r="AU54" s="2255"/>
      <c r="AW54" s="501"/>
      <c r="AX54" s="501" t="str">
        <f>IF(T54="","",T54)</f>
        <v/>
      </c>
      <c r="AY54" s="501"/>
      <c r="AZ54" s="501"/>
      <c r="BA54" s="1156">
        <v>11</v>
      </c>
    </row>
    <row customHeight="1" ht="11.549999999999999">
      <c r="A55" s="1364" t="s">
        <v>330</v>
      </c>
      <c r="B55" s="1364" t="s">
        <v>331</v>
      </c>
      <c r="C55" s="1364" t="s">
        <v>332</v>
      </c>
      <c r="D55" s="1364" t="s">
        <v>333</v>
      </c>
      <c r="E55" s="2260"/>
      <c r="F55" s="2260"/>
      <c r="G55" s="2260"/>
      <c r="H55" s="2260"/>
      <c r="I55" s="2287"/>
      <c r="J55" s="2257"/>
      <c r="K55" s="1364"/>
      <c r="L55" s="1365"/>
      <c r="P55" s="2258"/>
      <c r="Q55" s="2258"/>
      <c r="R55" s="357"/>
      <c r="S55" s="1279"/>
      <c r="T55" s="288" t="s">
        <v>599</v>
      </c>
      <c r="U55" s="368"/>
      <c r="V55" s="368"/>
      <c r="W55" s="368"/>
      <c r="X55" s="368"/>
      <c r="Y55" s="368"/>
      <c r="Z55" s="368"/>
      <c r="AA55" s="325"/>
      <c r="AB55" s="1506"/>
      <c r="AC55" s="368"/>
      <c r="AD55" s="368"/>
      <c r="AE55" s="368"/>
      <c r="AF55" s="368"/>
      <c r="AG55" s="368"/>
      <c r="AH55" s="368"/>
      <c r="AI55" s="368"/>
      <c r="AJ55" s="368"/>
      <c r="AK55" s="368"/>
      <c r="AL55" s="368"/>
      <c r="AM55" s="368"/>
      <c r="AN55" s="368"/>
      <c r="AO55" s="368"/>
      <c r="AP55" s="368"/>
      <c r="AQ55" s="368"/>
      <c r="AR55" s="368"/>
      <c r="AS55" s="368"/>
      <c r="AT55" s="325"/>
      <c r="AU55" s="2256"/>
      <c r="AW55" s="501"/>
      <c r="AX55" s="501" t="str">
        <f>IF(T55="","",T55)</f>
        <v>Добавить строку</v>
      </c>
      <c r="AY55" s="501"/>
      <c r="AZ55" s="501"/>
      <c r="BA55" s="1156">
        <v>11</v>
      </c>
    </row>
    <row s="1643" customFormat="1" customHeight="1" ht="1.05">
      <c r="A56" s="1344" t="s">
        <v>330</v>
      </c>
      <c r="B56" s="1344" t="s">
        <v>331</v>
      </c>
      <c r="C56" s="1344" t="s">
        <v>332</v>
      </c>
      <c r="D56" s="1344" t="s">
        <v>333</v>
      </c>
      <c r="E56" s="2260"/>
      <c r="F56" s="2260"/>
      <c r="G56" s="2260"/>
      <c r="H56" s="2260"/>
      <c r="I56" s="2257"/>
      <c r="J56" s="1344"/>
      <c r="K56" s="1344"/>
      <c r="L56" s="1347"/>
      <c r="M56" s="511"/>
      <c r="N56" s="511"/>
      <c r="O56" s="511"/>
      <c r="P56" s="2258"/>
      <c r="Q56" s="1332"/>
      <c r="R56" s="357"/>
      <c r="S56" s="1387"/>
      <c r="T56" s="1388" t="s">
        <v>542</v>
      </c>
      <c r="U56" s="1389"/>
      <c r="V56" s="1389"/>
      <c r="W56" s="1389"/>
      <c r="X56" s="1389"/>
      <c r="Y56" s="1389"/>
      <c r="Z56" s="1389"/>
      <c r="AA56" s="1389"/>
      <c r="AB56" s="1389"/>
      <c r="AC56" s="1389"/>
      <c r="AD56" s="1389"/>
      <c r="AE56" s="1389"/>
      <c r="AF56" s="1389"/>
      <c r="AG56" s="1389"/>
      <c r="AH56" s="1389"/>
      <c r="AI56" s="1389"/>
      <c r="AJ56" s="1389"/>
      <c r="AK56" s="1389"/>
      <c r="AL56" s="1389"/>
      <c r="AM56" s="1389"/>
      <c r="AN56" s="1389"/>
      <c r="AO56" s="1389"/>
      <c r="AP56" s="1389"/>
      <c r="AQ56" s="1389"/>
      <c r="AR56" s="1389"/>
      <c r="AS56" s="1389"/>
      <c r="AT56" s="1389"/>
      <c r="AU56" s="1390"/>
      <c r="AW56" s="501"/>
      <c r="AX56" s="501" t="str">
        <f>IF(T56="","",T56)</f>
        <v>Добавить группу потребителей</v>
      </c>
      <c r="AY56" s="501"/>
      <c r="AZ56" s="501"/>
      <c r="BA56" s="512">
        <v>1</v>
      </c>
    </row>
    <row s="1642" customFormat="1" customHeight="1" ht="1.05">
      <c r="A57" s="1344" t="s">
        <v>330</v>
      </c>
      <c r="B57" s="1344" t="s">
        <v>331</v>
      </c>
      <c r="C57" s="1344" t="s">
        <v>332</v>
      </c>
      <c r="D57" s="1344" t="s">
        <v>333</v>
      </c>
      <c r="E57" s="2260"/>
      <c r="F57" s="2260"/>
      <c r="G57" s="2260"/>
      <c r="H57" s="2259"/>
      <c r="I57" s="1344"/>
      <c r="J57" s="1344"/>
      <c r="K57" s="1344"/>
      <c r="L57" s="1347"/>
      <c r="M57" s="1316"/>
      <c r="N57" s="1316"/>
      <c r="O57" s="519"/>
      <c r="P57" s="381"/>
      <c r="Q57" s="1345"/>
      <c r="R57" s="1401"/>
      <c r="S57" s="1387"/>
      <c r="T57" s="1388"/>
      <c r="U57" s="1389"/>
      <c r="V57" s="1389"/>
      <c r="W57" s="1389"/>
      <c r="X57" s="1389"/>
      <c r="Y57" s="1389"/>
      <c r="Z57" s="1389"/>
      <c r="AA57" s="1389"/>
      <c r="AB57" s="1389"/>
      <c r="AC57" s="1389"/>
      <c r="AD57" s="1389"/>
      <c r="AE57" s="1389"/>
      <c r="AF57" s="1389"/>
      <c r="AG57" s="1389"/>
      <c r="AH57" s="1389"/>
      <c r="AI57" s="1389"/>
      <c r="AJ57" s="1389"/>
      <c r="AK57" s="1389"/>
      <c r="AL57" s="1389"/>
      <c r="AM57" s="1389"/>
      <c r="AN57" s="1389"/>
      <c r="AO57" s="1389"/>
      <c r="AP57" s="1389"/>
      <c r="AQ57" s="1389"/>
      <c r="AR57" s="1389"/>
      <c r="AS57" s="1389"/>
      <c r="AT57" s="1389"/>
      <c r="AU57" s="1390"/>
      <c r="AV57" s="512"/>
      <c r="AW57" s="501"/>
      <c r="AX57" s="501" t="str">
        <f>IF(T57="","",T57)</f>
        <v/>
      </c>
      <c r="AY57" s="501"/>
      <c r="AZ57" s="501"/>
      <c r="BA57" s="497">
        <v>1</v>
      </c>
    </row>
    <row s="1643" customFormat="1" customHeight="1" ht="1.05">
      <c r="A58" s="1344" t="s">
        <v>330</v>
      </c>
      <c r="B58" s="1344" t="s">
        <v>331</v>
      </c>
      <c r="C58" s="1344" t="s">
        <v>332</v>
      </c>
      <c r="D58" s="1315"/>
      <c r="E58" s="2260"/>
      <c r="F58" s="2260"/>
      <c r="G58" s="2259"/>
      <c r="H58" s="1315"/>
      <c r="I58" s="1315"/>
      <c r="J58" s="1315"/>
      <c r="K58" s="1315"/>
      <c r="L58" s="1340"/>
      <c r="M58" s="1316"/>
      <c r="N58" s="1316"/>
      <c r="P58" s="1317"/>
      <c r="Q58" s="1318"/>
      <c r="R58" s="1317"/>
      <c r="S58" s="1323"/>
      <c r="T58" s="1326" t="s">
        <v>177</v>
      </c>
      <c r="U58" s="1325"/>
      <c r="V58" s="1325"/>
      <c r="W58" s="1325"/>
      <c r="X58" s="1325"/>
      <c r="Y58" s="1325"/>
      <c r="Z58" s="1325"/>
      <c r="AA58" s="1325"/>
      <c r="AB58" s="1325"/>
      <c r="AC58" s="1325"/>
      <c r="AD58" s="1325"/>
      <c r="AE58" s="1325"/>
      <c r="AF58" s="1325"/>
      <c r="AG58" s="1325"/>
      <c r="AH58" s="1325"/>
      <c r="AI58" s="1325"/>
      <c r="AJ58" s="1325"/>
      <c r="AK58" s="1325"/>
      <c r="AL58" s="1325"/>
      <c r="AM58" s="1325"/>
      <c r="AN58" s="1325"/>
      <c r="AO58" s="1325"/>
      <c r="AP58" s="1325"/>
      <c r="AQ58" s="1325"/>
      <c r="AR58" s="1325"/>
      <c r="AS58" s="1325"/>
      <c r="AT58" s="1325"/>
      <c r="AU58" s="1325"/>
      <c r="AW58" s="790"/>
      <c r="AX58" s="790" t="str">
        <f>IF(T58="","",T58)</f>
        <v>Добавить источник для дифференциации</v>
      </c>
      <c r="AY58" s="790"/>
      <c r="AZ58" s="790"/>
      <c r="BA58" s="519">
        <v>1</v>
      </c>
    </row>
    <row s="1643" customFormat="1" customHeight="1" ht="1.05">
      <c r="A59" s="1344" t="s">
        <v>330</v>
      </c>
      <c r="B59" s="1344" t="s">
        <v>331</v>
      </c>
      <c r="C59" s="1315"/>
      <c r="D59" s="1315"/>
      <c r="E59" s="2260"/>
      <c r="F59" s="2259"/>
      <c r="G59" s="1315"/>
      <c r="H59" s="1315"/>
      <c r="I59" s="1315"/>
      <c r="J59" s="1315"/>
      <c r="K59" s="1315"/>
      <c r="L59" s="1340"/>
      <c r="M59" s="1322"/>
      <c r="N59" s="1322"/>
      <c r="P59" s="1317"/>
      <c r="Q59" s="1318"/>
      <c r="R59" s="1317"/>
      <c r="S59" s="1323"/>
      <c r="T59" s="1326" t="s">
        <v>178</v>
      </c>
      <c r="U59" s="1325"/>
      <c r="V59" s="1325"/>
      <c r="W59" s="1325"/>
      <c r="X59" s="1325"/>
      <c r="Y59" s="1325"/>
      <c r="Z59" s="1325"/>
      <c r="AA59" s="1325"/>
      <c r="AB59" s="1325"/>
      <c r="AC59" s="1325"/>
      <c r="AD59" s="1325"/>
      <c r="AE59" s="1325"/>
      <c r="AF59" s="1325"/>
      <c r="AG59" s="1325"/>
      <c r="AH59" s="1325"/>
      <c r="AI59" s="1325"/>
      <c r="AJ59" s="1325"/>
      <c r="AK59" s="1325"/>
      <c r="AL59" s="1325"/>
      <c r="AM59" s="1325"/>
      <c r="AN59" s="1325"/>
      <c r="AO59" s="1325"/>
      <c r="AP59" s="1325"/>
      <c r="AQ59" s="1325"/>
      <c r="AR59" s="1325"/>
      <c r="AS59" s="1325"/>
      <c r="AT59" s="1325"/>
      <c r="AU59" s="1325"/>
      <c r="AW59" s="790"/>
      <c r="AX59" s="790" t="str">
        <f>IF(T59="","",T59)</f>
        <v>Добавить централизованную систему для дифференциации</v>
      </c>
      <c r="AY59" s="790"/>
      <c r="AZ59" s="790"/>
      <c r="BA59" s="519">
        <v>1</v>
      </c>
    </row>
    <row s="1643" customFormat="1" customHeight="1" ht="1.05">
      <c r="A60" s="1344" t="s">
        <v>330</v>
      </c>
      <c r="B60" s="1344"/>
      <c r="C60" s="1344"/>
      <c r="D60" s="1344"/>
      <c r="E60" s="2260"/>
      <c r="F60" s="1344"/>
      <c r="G60" s="1344"/>
      <c r="H60" s="1344"/>
      <c r="I60" s="1344"/>
      <c r="J60" s="1344"/>
      <c r="K60" s="1344"/>
      <c r="L60" s="1347"/>
      <c r="M60" s="1322"/>
      <c r="N60" s="1322"/>
      <c r="O60" s="519"/>
      <c r="P60" s="381"/>
      <c r="Q60" s="1345"/>
      <c r="R60" s="381"/>
      <c r="S60" s="1323"/>
      <c r="T60" s="1326" t="s">
        <v>183</v>
      </c>
      <c r="U60" s="1325"/>
      <c r="V60" s="1325"/>
      <c r="W60" s="1325"/>
      <c r="X60" s="1325"/>
      <c r="Y60" s="1325"/>
      <c r="Z60" s="1325"/>
      <c r="AA60" s="1325"/>
      <c r="AB60" s="1325"/>
      <c r="AC60" s="1325"/>
      <c r="AD60" s="1325"/>
      <c r="AE60" s="1325"/>
      <c r="AF60" s="1325"/>
      <c r="AG60" s="1325"/>
      <c r="AH60" s="1325"/>
      <c r="AI60" s="1325"/>
      <c r="AJ60" s="1325"/>
      <c r="AK60" s="1325"/>
      <c r="AL60" s="1325"/>
      <c r="AM60" s="1325"/>
      <c r="AN60" s="1325"/>
      <c r="AO60" s="1325"/>
      <c r="AP60" s="1325"/>
      <c r="AQ60" s="1325"/>
      <c r="AR60" s="1325"/>
      <c r="AS60" s="1325"/>
      <c r="AT60" s="1325"/>
      <c r="AU60" s="1325"/>
      <c r="AW60" s="501"/>
      <c r="AX60" s="501" t="str">
        <f>IF(T60="","",T60)</f>
        <v>Добавить территорию для дифференциации</v>
      </c>
      <c r="AY60" s="501"/>
      <c r="AZ60" s="501"/>
      <c r="BA60" s="512">
        <v>1</v>
      </c>
    </row>
    <row s="1643" customFormat="1" customHeight="1" ht="1.05">
      <c r="A61" s="1344" t="s">
        <v>330</v>
      </c>
      <c r="B61" s="1344"/>
      <c r="C61" s="1344"/>
      <c r="D61" s="1344"/>
      <c r="E61" s="2259"/>
      <c r="F61" s="1344"/>
      <c r="G61" s="1344"/>
      <c r="H61" s="1344"/>
      <c r="I61" s="1344"/>
      <c r="J61" s="1344"/>
      <c r="K61" s="1344"/>
      <c r="L61" s="1347"/>
      <c r="M61" s="1322"/>
      <c r="N61" s="1322"/>
      <c r="O61" s="519"/>
      <c r="P61" s="381"/>
      <c r="Q61" s="1345"/>
      <c r="R61" s="381"/>
      <c r="S61" s="1323"/>
      <c r="T61" s="1326" t="s">
        <v>183</v>
      </c>
      <c r="U61" s="1325"/>
      <c r="V61" s="1325"/>
      <c r="W61" s="1325"/>
      <c r="X61" s="1325"/>
      <c r="Y61" s="1325"/>
      <c r="Z61" s="1325"/>
      <c r="AA61" s="1325"/>
      <c r="AB61" s="1325"/>
      <c r="AC61" s="1325"/>
      <c r="AD61" s="1325"/>
      <c r="AE61" s="1325"/>
      <c r="AF61" s="1325"/>
      <c r="AG61" s="1325"/>
      <c r="AH61" s="1325"/>
      <c r="AI61" s="1325"/>
      <c r="AJ61" s="1325"/>
      <c r="AK61" s="1325"/>
      <c r="AL61" s="1325"/>
      <c r="AM61" s="1325"/>
      <c r="AN61" s="1325"/>
      <c r="AO61" s="1325"/>
      <c r="AP61" s="1325"/>
      <c r="AQ61" s="1325"/>
      <c r="AR61" s="1325"/>
      <c r="AS61" s="1325"/>
      <c r="AT61" s="1325"/>
      <c r="AU61" s="1325"/>
      <c r="AW61" s="501"/>
      <c r="AX61" s="501" t="str">
        <f>IF(T61="","",T61)</f>
        <v>Добавить территорию для дифференциации</v>
      </c>
      <c r="AY61" s="501"/>
      <c r="AZ61" s="501"/>
      <c r="BA61" s="512">
        <v>1</v>
      </c>
    </row>
    <row s="1643" customFormat="1" customHeight="1" ht="1.05">
      <c r="A62" s="1315"/>
      <c r="B62" s="1315"/>
      <c r="C62" s="1315"/>
      <c r="D62" s="1315"/>
      <c r="E62" s="1344"/>
      <c r="F62" s="1315"/>
      <c r="G62" s="1315"/>
      <c r="H62" s="1315"/>
      <c r="I62" s="1315"/>
      <c r="J62" s="1315"/>
      <c r="K62" s="1315"/>
      <c r="L62" s="1340"/>
      <c r="M62" s="1322"/>
      <c r="N62" s="1322"/>
      <c r="P62" s="1317"/>
      <c r="Q62" s="1318"/>
      <c r="R62" s="1317"/>
      <c r="S62" s="1323"/>
      <c r="T62" s="1326" t="s">
        <v>222</v>
      </c>
      <c r="U62" s="1325"/>
      <c r="V62" s="1325"/>
      <c r="W62" s="1325"/>
      <c r="X62" s="1325"/>
      <c r="Y62" s="1325"/>
      <c r="Z62" s="1325"/>
      <c r="AA62" s="1325"/>
      <c r="AB62" s="1325"/>
      <c r="AC62" s="1325"/>
      <c r="AD62" s="1325"/>
      <c r="AE62" s="1325"/>
      <c r="AF62" s="1325"/>
      <c r="AG62" s="1325"/>
      <c r="AH62" s="1325"/>
      <c r="AI62" s="1325"/>
      <c r="AJ62" s="1325"/>
      <c r="AK62" s="1325"/>
      <c r="AL62" s="1325"/>
      <c r="AM62" s="1325"/>
      <c r="AN62" s="1325"/>
      <c r="AO62" s="1325"/>
      <c r="AP62" s="1325"/>
      <c r="AQ62" s="1325"/>
      <c r="AR62" s="1325"/>
      <c r="AS62" s="1325"/>
      <c r="AT62" s="1325"/>
      <c r="AU62" s="1325"/>
      <c r="AW62" s="790"/>
      <c r="AX62" s="790" t="str">
        <f>IF(T62="","",T62)</f>
        <v>Добавить наименование тарифа</v>
      </c>
      <c r="AY62" s="790"/>
      <c r="AZ62" s="790"/>
      <c r="BA62" s="519">
        <v>1</v>
      </c>
    </row>
    <row customHeight="1" ht="11.549999999999999">
      <c r="M63" s="1161"/>
      <c r="N63" s="1161"/>
      <c r="O63" s="538"/>
      <c r="P63" s="1161"/>
      <c r="Q63" s="1161"/>
      <c r="R63" s="1156"/>
      <c r="S63" s="1156"/>
      <c r="AV63" s="1156"/>
      <c r="AW63" s="1156"/>
      <c r="AX63" s="1156"/>
      <c r="AY63" s="1156"/>
      <c r="AZ63" s="1156"/>
      <c r="BA63" s="1156">
        <v>11</v>
      </c>
    </row>
    <row customHeight="1" ht="19.95">
      <c r="O64" s="538"/>
      <c r="S64" s="1254"/>
      <c r="T64" s="2286"/>
      <c r="U64" s="2286"/>
      <c r="V64" s="2286"/>
      <c r="W64" s="2286"/>
      <c r="X64" s="2286"/>
      <c r="Y64" s="2286"/>
      <c r="Z64" s="2286"/>
      <c r="AA64" s="2286"/>
      <c r="AB64" s="2286"/>
      <c r="AC64" s="2286"/>
      <c r="AD64" s="2286"/>
      <c r="AE64" s="2286"/>
      <c r="AF64" s="2286"/>
      <c r="AG64" s="2286"/>
      <c r="AH64" s="2286"/>
      <c r="AI64" s="2286"/>
      <c r="AJ64" s="2286"/>
      <c r="AK64" s="2286"/>
      <c r="AL64" s="2286"/>
      <c r="AM64" s="2286"/>
      <c r="AN64" s="2286"/>
      <c r="AO64" s="2286"/>
      <c r="AP64" s="2286"/>
      <c r="AQ64" s="2286"/>
      <c r="AR64" s="2286"/>
      <c r="AS64" s="2286"/>
      <c r="AT64" s="2286"/>
      <c r="AU64" s="2286"/>
      <c r="BA64" s="1156">
        <v>19</v>
      </c>
    </row>
    <row customHeight="1" ht="21">
      <c r="O65" s="538"/>
      <c r="T65" s="2286"/>
      <c r="U65" s="2286"/>
      <c r="V65" s="2286"/>
      <c r="W65" s="2286"/>
      <c r="X65" s="2286"/>
      <c r="Y65" s="2286"/>
      <c r="Z65" s="2286"/>
      <c r="AA65" s="2286"/>
      <c r="AB65" s="2286"/>
      <c r="AC65" s="2286"/>
      <c r="AD65" s="2286"/>
      <c r="AE65" s="2286"/>
      <c r="AF65" s="2286"/>
      <c r="AG65" s="2286"/>
      <c r="AH65" s="2286"/>
      <c r="AI65" s="2286"/>
      <c r="AJ65" s="2286"/>
      <c r="AK65" s="2286"/>
      <c r="AL65" s="2286"/>
      <c r="AM65" s="2286"/>
      <c r="AN65" s="2286"/>
      <c r="AO65" s="2286"/>
      <c r="AP65" s="2286"/>
      <c r="AQ65" s="2286"/>
      <c r="AR65" s="2286"/>
      <c r="AS65" s="2286"/>
      <c r="AT65" s="2286"/>
      <c r="AU65" s="2286"/>
      <c r="BA65" s="1156">
        <v>20</v>
      </c>
    </row>
    <row customHeight="1" ht="14.699999999999998">
      <c r="O66" s="538"/>
      <c r="T66" s="1334"/>
      <c r="U66" s="1334"/>
      <c r="V66" s="1334"/>
      <c r="W66" s="1334"/>
      <c r="X66" s="1334"/>
      <c r="Y66" s="1334"/>
      <c r="Z66" s="1334"/>
      <c r="AA66" s="1334"/>
      <c r="AB66" s="1334"/>
      <c r="AC66" s="1334"/>
      <c r="AD66" s="1334"/>
      <c r="AE66" s="1334"/>
      <c r="AF66" s="1334"/>
      <c r="AG66" s="1334"/>
      <c r="AH66" s="1334"/>
      <c r="AI66" s="1334"/>
      <c r="AJ66" s="1334"/>
      <c r="AK66" s="1334"/>
      <c r="AL66" s="1334"/>
      <c r="AM66" s="1334"/>
      <c r="AN66" s="1334"/>
      <c r="AO66" s="1334"/>
      <c r="AP66" s="1334"/>
      <c r="AQ66" s="1334"/>
      <c r="AR66" s="1334"/>
      <c r="AS66" s="1334"/>
      <c r="AT66" s="1334"/>
      <c r="AU66" s="1334"/>
      <c r="BA66" s="1156">
        <v>14</v>
      </c>
    </row>
    <row customHeight="1" ht="19.95">
      <c r="O67" s="538"/>
      <c r="T67" s="2286"/>
      <c r="U67" s="2286"/>
      <c r="V67" s="2286"/>
      <c r="W67" s="2286"/>
      <c r="X67" s="2286"/>
      <c r="Y67" s="2286"/>
      <c r="Z67" s="2286"/>
      <c r="AA67" s="2286"/>
      <c r="AB67" s="2286"/>
      <c r="AC67" s="2286"/>
      <c r="AD67" s="2286"/>
      <c r="AE67" s="2286"/>
      <c r="AF67" s="2286"/>
      <c r="AG67" s="2286"/>
      <c r="AH67" s="2286"/>
      <c r="AI67" s="2286"/>
      <c r="AJ67" s="2286"/>
      <c r="AK67" s="2286"/>
      <c r="AL67" s="2286"/>
      <c r="AM67" s="2286"/>
      <c r="AN67" s="2286"/>
      <c r="AO67" s="2286"/>
      <c r="AP67" s="2286"/>
      <c r="AQ67" s="2286"/>
      <c r="AR67" s="2286"/>
      <c r="AS67" s="2286"/>
      <c r="AT67" s="2286"/>
      <c r="AU67" s="2286"/>
      <c r="BA67" s="1156">
        <v>19</v>
      </c>
    </row>
    <row customHeight="1" ht="16.8">
      <c r="O68" s="538"/>
      <c r="T68" s="2286"/>
      <c r="U68" s="2286"/>
      <c r="V68" s="2286"/>
      <c r="W68" s="2286"/>
      <c r="X68" s="2286"/>
      <c r="Y68" s="2286"/>
      <c r="Z68" s="2286"/>
      <c r="AA68" s="2286"/>
      <c r="AB68" s="2286"/>
      <c r="AC68" s="2286"/>
      <c r="AD68" s="2286"/>
      <c r="AE68" s="2286"/>
      <c r="AF68" s="2286"/>
      <c r="AG68" s="2286"/>
      <c r="AH68" s="2286"/>
      <c r="AI68" s="2286"/>
      <c r="AJ68" s="2286"/>
      <c r="AK68" s="2286"/>
      <c r="AL68" s="2286"/>
      <c r="AM68" s="2286"/>
      <c r="AN68" s="2286"/>
      <c r="AO68" s="2286"/>
      <c r="AP68" s="2286"/>
      <c r="AQ68" s="2286"/>
      <c r="AR68" s="2286"/>
      <c r="AS68" s="2286"/>
      <c r="AT68" s="2286"/>
      <c r="AU68" s="2286"/>
      <c r="BA68" s="1156">
        <v>16</v>
      </c>
    </row>
    <row customHeight="1" ht="14.699999999999998">
      <c r="O69" s="538"/>
      <c r="BA69" s="1156">
        <v>14</v>
      </c>
    </row>
    <row customHeight="1" ht="22.5" hidden="1">
      <c r="A70" s="1161" t="s">
        <v>86</v>
      </c>
      <c r="B70" s="1161">
        <v>0</v>
      </c>
      <c r="C70" s="1161">
        <v>0</v>
      </c>
      <c r="D70" s="1161">
        <v>0</v>
      </c>
      <c r="E70" s="1161">
        <v>0</v>
      </c>
      <c r="F70" s="1161">
        <v>0</v>
      </c>
      <c r="G70" s="1161">
        <v>0</v>
      </c>
      <c r="H70" s="1161">
        <v>0</v>
      </c>
      <c r="I70" s="1161">
        <v>0</v>
      </c>
      <c r="J70" s="1161">
        <v>0</v>
      </c>
      <c r="K70" s="1161">
        <v>0</v>
      </c>
      <c r="L70" s="1330">
        <v>0</v>
      </c>
      <c r="M70" s="1363">
        <v>0</v>
      </c>
      <c r="N70" s="1363">
        <v>0</v>
      </c>
      <c r="O70" s="1363">
        <v>0</v>
      </c>
      <c r="P70" s="1363">
        <v>3</v>
      </c>
      <c r="Q70" s="1372">
        <v>3</v>
      </c>
      <c r="R70" s="345">
        <v>3</v>
      </c>
      <c r="S70" s="582">
        <v>12</v>
      </c>
      <c r="T70" s="1156">
        <v>31</v>
      </c>
      <c r="U70" s="1156">
        <v>0</v>
      </c>
      <c r="V70" s="1156">
        <v>0</v>
      </c>
      <c r="W70" s="1156">
        <v>0</v>
      </c>
      <c r="X70" s="1156">
        <v>0</v>
      </c>
      <c r="Y70" s="1156">
        <v>0</v>
      </c>
      <c r="Z70" s="1156">
        <v>0</v>
      </c>
      <c r="AA70" s="1156">
        <v>0</v>
      </c>
      <c r="AB70" s="1156">
        <v>5</v>
      </c>
      <c r="AC70" s="1156">
        <v>3</v>
      </c>
      <c r="AD70" s="1156">
        <v>3</v>
      </c>
      <c r="AE70" s="1156">
        <v>24</v>
      </c>
      <c r="AF70" s="1156">
        <v>3</v>
      </c>
      <c r="AG70" s="1156">
        <v>3</v>
      </c>
      <c r="AH70" s="1156">
        <v>3</v>
      </c>
      <c r="AI70" s="1156">
        <v>24</v>
      </c>
      <c r="AJ70" s="1156">
        <v>3</v>
      </c>
      <c r="AK70" s="1156">
        <v>3</v>
      </c>
      <c r="AL70" s="1156">
        <v>3</v>
      </c>
      <c r="AM70" s="1156">
        <v>18</v>
      </c>
      <c r="AN70" s="1156">
        <v>21</v>
      </c>
      <c r="AO70" s="1156">
        <v>21</v>
      </c>
      <c r="AP70" s="1156">
        <v>11</v>
      </c>
      <c r="AQ70" s="1156">
        <v>3</v>
      </c>
      <c r="AR70" s="1156">
        <v>11</v>
      </c>
      <c r="AS70" s="1156">
        <v>8</v>
      </c>
      <c r="AT70" s="1156">
        <v>4</v>
      </c>
      <c r="AU70" s="1156">
        <v>115</v>
      </c>
      <c r="AV70" s="512">
        <v>10</v>
      </c>
      <c r="AW70" s="512">
        <v>10</v>
      </c>
      <c r="AX70" s="512">
        <v>10</v>
      </c>
      <c r="AY70" s="512">
        <v>10</v>
      </c>
      <c r="AZ70" s="512">
        <v>10</v>
      </c>
      <c r="BA70" s="1156">
        <v>23</v>
      </c>
    </row>
  </sheetData>
  <sheetProtection formatColumns="0" formatRows="0" autoFilter="0" sort="0" insertRows="0" insertColumns="1" deleteRows="0" deleteColumns="0"/>
  <mergeCells count="119">
    <mergeCell ref="T67:AU67"/>
    <mergeCell ref="T68:AU68"/>
    <mergeCell ref="AI51:AI52"/>
    <mergeCell ref="AJ51:AJ52"/>
    <mergeCell ref="AJ40:AM43"/>
    <mergeCell ref="AD51:AD53"/>
    <mergeCell ref="AE51:AE53"/>
    <mergeCell ref="AF51:AF53"/>
    <mergeCell ref="AG51:AG52"/>
    <mergeCell ref="AH51:AH52"/>
    <mergeCell ref="T64:AU64"/>
    <mergeCell ref="T65:AU65"/>
    <mergeCell ref="T51:T54"/>
    <mergeCell ref="AB51:AB54"/>
    <mergeCell ref="AC51:AC53"/>
    <mergeCell ref="AU39:AU43"/>
    <mergeCell ref="T40:T43"/>
    <mergeCell ref="V40:Z40"/>
    <mergeCell ref="AU51:AU55"/>
    <mergeCell ref="Y44:Z44"/>
    <mergeCell ref="AQ44:AR44"/>
    <mergeCell ref="X41:Z42"/>
    <mergeCell ref="Y43:Z43"/>
    <mergeCell ref="AQ43:AR43"/>
    <mergeCell ref="E2:E17"/>
    <mergeCell ref="F3:F16"/>
    <mergeCell ref="G4:G15"/>
    <mergeCell ref="H5:H14"/>
    <mergeCell ref="V5:AA5"/>
    <mergeCell ref="X8:X11"/>
    <mergeCell ref="Y8:Y11"/>
    <mergeCell ref="Z8:Z11"/>
    <mergeCell ref="AA8:AA11"/>
    <mergeCell ref="V2:AA2"/>
    <mergeCell ref="I6:I13"/>
    <mergeCell ref="P6:P13"/>
    <mergeCell ref="V6:AA6"/>
    <mergeCell ref="J7:J12"/>
    <mergeCell ref="Q7:Q12"/>
    <mergeCell ref="V7:AA7"/>
    <mergeCell ref="K8:K11"/>
    <mergeCell ref="S8:S11"/>
    <mergeCell ref="T8:T11"/>
    <mergeCell ref="R8:R11"/>
    <mergeCell ref="E45:E61"/>
    <mergeCell ref="V45:AA45"/>
    <mergeCell ref="AB45:AT45"/>
    <mergeCell ref="F46:F59"/>
    <mergeCell ref="V46:AA46"/>
    <mergeCell ref="AB46:AT46"/>
    <mergeCell ref="G47:G58"/>
    <mergeCell ref="V47:AA47"/>
    <mergeCell ref="AB47:AT47"/>
    <mergeCell ref="H48:H57"/>
    <mergeCell ref="V48:AA48"/>
    <mergeCell ref="AB48:AT48"/>
    <mergeCell ref="I49:I56"/>
    <mergeCell ref="P49:P56"/>
    <mergeCell ref="V49:AA49"/>
    <mergeCell ref="AB49:AT49"/>
    <mergeCell ref="J50:J55"/>
    <mergeCell ref="Q50:Q55"/>
    <mergeCell ref="V50:AA50"/>
    <mergeCell ref="AB50:AT50"/>
    <mergeCell ref="K51:K54"/>
    <mergeCell ref="S51:S54"/>
    <mergeCell ref="AP41:AR42"/>
    <mergeCell ref="S40:S43"/>
    <mergeCell ref="S39:AT39"/>
    <mergeCell ref="AN40:AR40"/>
    <mergeCell ref="AB40:AE43"/>
    <mergeCell ref="AF40:AI43"/>
    <mergeCell ref="S35:T35"/>
    <mergeCell ref="V35:Z35"/>
    <mergeCell ref="AB35:AR35"/>
    <mergeCell ref="V38:AA38"/>
    <mergeCell ref="AB38:AS38"/>
    <mergeCell ref="AA40:AA43"/>
    <mergeCell ref="AS40:AS43"/>
    <mergeCell ref="AT40:AT43"/>
    <mergeCell ref="AN41:AO41"/>
    <mergeCell ref="AN42:AO42"/>
    <mergeCell ref="V41:W41"/>
    <mergeCell ref="V42:W42"/>
    <mergeCell ref="AB2:AT2"/>
    <mergeCell ref="V3:AA3"/>
    <mergeCell ref="AB3:AT3"/>
    <mergeCell ref="V4:AA4"/>
    <mergeCell ref="AB4:AT4"/>
    <mergeCell ref="AB5:AT5"/>
    <mergeCell ref="AB6:AT6"/>
    <mergeCell ref="AB7:AT7"/>
    <mergeCell ref="S36:T36"/>
    <mergeCell ref="V36:Z36"/>
    <mergeCell ref="AB36:AR36"/>
    <mergeCell ref="S27:AR27"/>
    <mergeCell ref="S28:AR28"/>
    <mergeCell ref="S30:T30"/>
    <mergeCell ref="V30:Z30"/>
    <mergeCell ref="AB30:AR30"/>
    <mergeCell ref="S31:T31"/>
    <mergeCell ref="V31:Z31"/>
    <mergeCell ref="AB31:AR31"/>
    <mergeCell ref="AE8:AE10"/>
    <mergeCell ref="AF8:AF10"/>
    <mergeCell ref="AG8:AG9"/>
    <mergeCell ref="AH8:AH9"/>
    <mergeCell ref="AU8:AU12"/>
    <mergeCell ref="AJ8:AJ9"/>
    <mergeCell ref="AB8:AB11"/>
    <mergeCell ref="AC8:AC10"/>
    <mergeCell ref="AD8:AD10"/>
    <mergeCell ref="AI8:AI9"/>
    <mergeCell ref="S33:T33"/>
    <mergeCell ref="V33:Z33"/>
    <mergeCell ref="AB33:AR33"/>
    <mergeCell ref="S32:T32"/>
    <mergeCell ref="V32:Z32"/>
    <mergeCell ref="AB32:AR32"/>
  </mergeCells>
  <dataValidations count="10">
    <dataValidation allowBlank="1" errorTitle="Ошибка" error="Выберите значение из списка" sqref="V42:W42"/>
    <dataValidation type="list" allowBlank="1" showInputMessage="1" showErrorMessage="1" errorTitle="Ошибка" error="Выберите значение из списка" prompt="Выберите значение из списка" sqref="AN42:AO42">
      <formula1>UNIT_CONNECT_LIST</formula1>
    </dataValidation>
    <dataValidation type="list" allowBlank="1" showInputMessage="1" errorTitle="Ошибка" error="Выберите значение из списка" prompt="Выберите значение из списка" sqref="V917557:AT917557 V983093:AT983093 V65589:AT65589 V131125:AT131125 V196661:AT196661 V262197:AT262197 V327733:AT327733 V393269:AT393269 V458805:AT458805 V524341:AT524341 V589877:AT589877 V655413:AT655413 V720949:AT720949 V786485:AT786485 V852021:AT852021">
      <formula1>kind_of_cons</formula1>
    </dataValidation>
    <dataValidation allowBlank="1" sqref="S131128:AU131134 S196664:AU196670 S262200:AU262206 S327736:AU327742 S393272:AU393278 S458808:AU458814 S524344:AU524350 S589880:AU589886 S655416:AU655422 S720952:AU720958 S786488:AU786494 S852024:AU852030 S917560:AU917566 S983096:AU983102 S65592:AU65598"/>
    <dataValidation type="list" allowBlank="1" showInputMessage="1" showErrorMessage="1" errorTitle="Ошибка" error="Выберите значение из списка" sqref="T65590 T131126 T196662 T262198 T327734 T393270 T458806 T524342 T589878 T655414 T720950 T786486 T852022 T917558 T983094">
      <formula1>kind_of_heat_transfer</formula1>
    </dataValidation>
    <dataValidation type="list" allowBlank="1" showInputMessage="1" showErrorMessage="1" errorTitle="Ошибка" error="Выберите значение из списка" sqref="AB983092:AM983092 AB65588:AM65588 AB131124:AM131124 AB196660:AM196660 AB262196:AM262196 AB327732:AM327732 AB393268:AM393268 AB458804:AM458804 AB524340:AM524340 AB589876:AM589876 AB655412:AM655412 AB720948:AM720948 AB786484:AM786484 AB852020:AM852020 AB917556:AM917556">
      <formula1>kind_of_scheme_in</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X65590 X131126 X196662 X262198 X327734 X393270 X458806 X524342 X589878 X655414 X720950 X786486 X852022 X917558 X983094 Z65590 Z131126 Z196662 Z262198 Z327734 Z393270 Z458806 Z524342 Z589878 Z655414 Z720950 Z786486 Z852022 Z917558 Z983094 X8:X10 Z8:Z10 AP65590 AP131126 AP196662 AP262198 AP327734 AP393270 AP458806 AP524342 AP589878 AP655414 AP720950 AP786486 AP852022 AP917558 AP983094 AR65590 AR131126 AR196662 AR262198 AR327734 AR393270 AR458806 AR524342 AR589878 AR655414 AR720950 AR786486 AR852022 AR917558 AR983094 AR8 AR51 AR19 AP19 AP8 AP51 Z51 X51"/>
    <dataValidation allowBlank="1" promptTitle="checkPeriodRange" sqref="W65591 W131127 W196663 W262199 W327735 W393271 W458807 W524343 W589879 W655415 W720951 W786487 W852023 W917559 W983095 AO54 W11 AO65591 AO131127 AO196663 AO262199 AO327735 AO393271 AO458807 AO524343 AO589879 AO655415 AO720951 AO786487 AO852023 AO917559 AO983095 AO11 W54"/>
    <dataValidation type="textLength" operator="lessThanOrEqual" allowBlank="1" showInputMessage="1" showErrorMessage="1" errorTitle="Ошибка" error="Допускается ввод не более 900 символов!" sqref="AU65584:AU65591 AU131120:AU131127 AU196656:AU196663 AU262192:AU262199 AU327728:AU327735 AU393264:AU393271 AU458800:AU458807 AU524336:AU524343 AU589872:AU589879 AU655408:AU655415 AU720944:AU720951 AU786480:AU786487 AU852016:AU852023 AU917552:AU917559 AU983088:AU983095 T8:T11 T51:T54">
      <formula1>900</formula1>
    </dataValidation>
    <dataValidation allowBlank="1" showInputMessage="1" showErrorMessage="1" prompt="Для выбора выполните двойной щелчок левой клавиши мыши по соответствующей ячейке." sqref="Y65590 Y131126 Y196662 Y262198 Y327734 Y393270 Y458806 Y524342 Y589878 Y655414 Y720950 Y786486 Y852022 Y917558 Y983094 AA131126 AA458806 AA196662 AA262198 AA327734 AA393270 AA524342 AA589878 AA655414 AA720950 AA786486 AA852022 AA917558 AA983094 AA65590 AA8:AA10 Y8:Y10 AQ65590 AQ131126 AQ196662 AQ262198 AQ327734 AQ393270 AQ458806 AQ524342 AQ589878 AQ655414 AQ720950 AQ786486 AQ852022 AQ917558 AQ983094 AS131126 AS458806 AS196662 AS262198 AS327734 AS393270 AS524342 AS589878 AS655414 AS720950 AS786486 AS852022 AS917558 AS983094 AS65590 AQ8 AB8 AE8:AF8 AI8:AJ8 AQ19 AS51 AS19 AB19 AE19:AF19 AI19:AJ19 AI51:AJ51 AE51:AF51 AA51:AB51 AS8 AQ51 Y51"/>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0838FBE-B637-EA38-69B4-644771BC567D}" mc:Ignorable="x14ac xr xr2 xr3">
  <sheetPr>
    <tabColor theme="6" tint="0.4"/>
  </sheetPr>
  <dimension ref="A1:AQ58"/>
  <sheetViews>
    <sheetView showGridLines="0" zoomScale="90" workbookViewId="0">
      <pane xSplit="28" ySplit="40" topLeftCell="AC41" activePane="bottomRight" state="frozen"/>
      <selection pane="bottomLeft" activeCell="A41" sqref="A41"/>
      <selection pane="topRight" activeCell="AC1" sqref="AC1"/>
      <selection pane="bottomRight" activeCell="A1" sqref="A1"/>
    </sheetView>
  </sheetViews>
  <sheetFormatPr defaultColWidth="10.57421875" customHeight="1" defaultRowHeight="14.25"/>
  <cols>
    <col min="1" max="1" style="1367" width="10.57421875" hidden="1"/>
    <col min="2" max="2" style="1367" width="11.00390625" hidden="1" customWidth="1"/>
    <col min="3" max="3" style="1367" width="10.57421875" hidden="1"/>
    <col min="4" max="4" style="1367" width="11.8515625" hidden="1" customWidth="1"/>
    <col min="5" max="5" style="1367" width="10.00390625" hidden="1" customWidth="1"/>
    <col min="6" max="6" style="1367" width="8.7109375" hidden="1" customWidth="1"/>
    <col min="7" max="7" style="1367" width="7.57421875" hidden="1" customWidth="1"/>
    <col min="8" max="8" style="1367" width="11.421875" hidden="1" customWidth="1"/>
    <col min="9" max="9" style="1367" width="14.140625" hidden="1" customWidth="1"/>
    <col min="10" max="10" style="1367" width="9.8515625" hidden="1" customWidth="1"/>
    <col min="11" max="11" style="1367" width="14.7109375" hidden="1" customWidth="1"/>
    <col min="12" max="12" style="2608" width="19.140625" hidden="1" customWidth="1"/>
    <col min="13" max="14" style="1777" width="12.28125" hidden="1" customWidth="1"/>
    <col min="15" max="15" style="1777" width="23.421875" hidden="1" customWidth="1"/>
    <col min="16" max="16" style="2398" width="3.00390625" customWidth="1"/>
    <col min="17" max="18" style="345" width="3.00390625" customWidth="1"/>
    <col min="19" max="19" style="2408" width="12.00390625" customWidth="1"/>
    <col min="20" max="20" style="1636" width="35.00390625" customWidth="1"/>
    <col min="21" max="21" style="1636" width="0.140625" customWidth="1"/>
    <col min="22" max="24" style="1636" width="24.7109375" hidden="1" customWidth="1"/>
    <col min="25" max="25" style="1636" width="11.7109375" hidden="1" customWidth="1"/>
    <col min="26" max="26" style="1636" width="3.7109375" hidden="1" customWidth="1"/>
    <col min="27" max="27" style="1636" width="11.7109375" hidden="1" customWidth="1"/>
    <col min="28" max="28" style="1636" width="8.57421875" hidden="1" customWidth="1"/>
    <col min="29" max="29" style="1636" width="24.7109375" customWidth="1"/>
    <col min="30" max="31" style="1636" width="24.00390625" customWidth="1"/>
    <col min="32" max="32" style="1636" width="11.00390625" customWidth="1"/>
    <col min="33" max="33" style="1636" width="3.7109375" customWidth="1"/>
    <col min="34" max="34" style="1636" width="11.00390625" customWidth="1"/>
    <col min="35" max="35" style="1636" width="8.57421875" hidden="1" customWidth="1"/>
    <col min="36" max="36" style="1636" width="4.00390625" customWidth="1"/>
    <col min="37" max="37" style="1636" width="115.00390625" customWidth="1"/>
    <col min="38" max="42" style="1643" width="10.00390625" customWidth="1"/>
    <col min="43" max="43" style="1636" width="10.57421875" hidden="1"/>
  </cols>
  <sheetData>
    <row customHeight="1" ht="22.5" hidden="1">
      <c r="X1" s="328"/>
      <c r="Y1" s="328"/>
      <c r="AE1" s="328"/>
      <c r="AF1" s="328"/>
      <c r="AQ1" s="1156" t="s">
        <v>14</v>
      </c>
    </row>
    <row customHeight="1" ht="23.25" hidden="1">
      <c r="A2" s="1364"/>
      <c r="B2" s="1364"/>
      <c r="C2" s="1364"/>
      <c r="D2" s="1364"/>
      <c r="E2" s="2259">
        <v>1</v>
      </c>
      <c r="F2" s="1364"/>
      <c r="G2" s="1364"/>
      <c r="H2" s="1364"/>
      <c r="I2" s="1364"/>
      <c r="J2" s="1364"/>
      <c r="K2" s="1364"/>
      <c r="L2" s="1365"/>
      <c r="M2" s="1366"/>
      <c r="N2" s="1366"/>
      <c r="O2" s="1366"/>
      <c r="P2" s="362"/>
      <c r="Q2" s="361"/>
      <c r="R2" s="356"/>
      <c r="S2" s="1426">
        <f>INDEX(PT_DIFFERENTIATION_NUM_NTAR,MATCH(A2,PT_DIFFERENTIATION_NTAR_ID,0))</f>
      </c>
      <c r="T2" s="299" t="s">
        <v>136</v>
      </c>
      <c r="U2" s="301"/>
      <c r="V2" s="2243"/>
      <c r="W2" s="2244"/>
      <c r="X2" s="2244"/>
      <c r="Y2" s="2244"/>
      <c r="Z2" s="2244"/>
      <c r="AA2" s="2244"/>
      <c r="AB2" s="2245"/>
      <c r="AC2" s="2243">
        <f>INDEX(PT_DIFFERENTIATION_NTAR,MATCH(A2,PT_DIFFERENTIATION_NTAR_ID,0))</f>
      </c>
      <c r="AD2" s="2244"/>
      <c r="AE2" s="2244"/>
      <c r="AF2" s="2244"/>
      <c r="AG2" s="2244"/>
      <c r="AH2" s="2244"/>
      <c r="AI2" s="2244"/>
      <c r="AJ2" s="2245"/>
      <c r="AK2" s="125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AM2" s="501"/>
      <c r="AN2" s="501" t="str">
        <f>IF(T2="","",T2)</f>
        <v>Наименование тарифа</v>
      </c>
      <c r="AO2" s="501"/>
      <c r="AP2" s="501"/>
      <c r="AQ2" s="1156">
        <v>0</v>
      </c>
    </row>
    <row customHeight="1" ht="23.25" hidden="1">
      <c r="A3" s="1364"/>
      <c r="B3" s="1364"/>
      <c r="C3" s="1364"/>
      <c r="D3" s="1364"/>
      <c r="E3" s="2260"/>
      <c r="F3" s="2259">
        <v>1</v>
      </c>
      <c r="G3" s="1364"/>
      <c r="H3" s="1364"/>
      <c r="I3" s="1364"/>
      <c r="J3" s="1364"/>
      <c r="K3" s="1364"/>
      <c r="L3" s="1365"/>
      <c r="M3" s="1366"/>
      <c r="N3" s="1366"/>
      <c r="O3" s="1366"/>
      <c r="P3" s="1424"/>
      <c r="Q3" s="353"/>
      <c r="R3" s="354"/>
      <c r="S3" s="1426">
        <f>INDEX(PT_DIFFERENTIATION_NUM_TER,MATCH(B3,PT_DIFFERENTIATION_TER_ID,0))</f>
      </c>
      <c r="T3" s="309" t="s">
        <v>527</v>
      </c>
      <c r="U3" s="301"/>
      <c r="V3" s="2243"/>
      <c r="W3" s="2244"/>
      <c r="X3" s="2244"/>
      <c r="Y3" s="2244"/>
      <c r="Z3" s="2244"/>
      <c r="AA3" s="2244"/>
      <c r="AB3" s="2245"/>
      <c r="AC3" s="2243">
        <f>INDEX(PT_DIFFERENTIATION_TER,MATCH(B3,PT_DIFFERENTIATION_TER_ID,0))</f>
      </c>
      <c r="AD3" s="2244"/>
      <c r="AE3" s="2244"/>
      <c r="AF3" s="2244"/>
      <c r="AG3" s="2244"/>
      <c r="AH3" s="2244"/>
      <c r="AI3" s="2244"/>
      <c r="AJ3" s="2245"/>
      <c r="AK3" s="1259" t="s">
        <v>528</v>
      </c>
      <c r="AM3" s="501"/>
      <c r="AN3" s="501" t="str">
        <f>IF(T3="","",T3)</f>
        <v>Территория действия тарифа</v>
      </c>
      <c r="AO3" s="501"/>
      <c r="AP3" s="501"/>
      <c r="AQ3" s="1156">
        <v>0</v>
      </c>
    </row>
    <row customHeight="1" ht="23.25" hidden="1">
      <c r="A4" s="1364"/>
      <c r="B4" s="1364"/>
      <c r="C4" s="1364"/>
      <c r="D4" s="1364"/>
      <c r="E4" s="2260"/>
      <c r="F4" s="2260"/>
      <c r="G4" s="2259">
        <v>1</v>
      </c>
      <c r="H4" s="1364"/>
      <c r="I4" s="1364"/>
      <c r="J4" s="1364"/>
      <c r="K4" s="1364"/>
      <c r="L4" s="1365"/>
      <c r="M4" s="1366"/>
      <c r="N4" s="1366"/>
      <c r="O4" s="1366"/>
      <c r="P4" s="355"/>
      <c r="Q4" s="353"/>
      <c r="R4" s="354"/>
      <c r="S4" s="1426">
        <f>INDEX(PT_DIFFERENTIATION_NUM_CS,MATCH(C4,PT_DIFFERENTIATION_CS_ID,0))</f>
      </c>
      <c r="T4" s="310" t="s">
        <v>612</v>
      </c>
      <c r="U4" s="301"/>
      <c r="V4" s="2243"/>
      <c r="W4" s="2244"/>
      <c r="X4" s="2244"/>
      <c r="Y4" s="2244"/>
      <c r="Z4" s="2244"/>
      <c r="AA4" s="2244"/>
      <c r="AB4" s="2245"/>
      <c r="AC4" s="2243">
        <f>INDEX(PT_DIFFERENTIATION_CS,MATCH(C4,PT_DIFFERENTIATION_CS_ID,0))</f>
      </c>
      <c r="AD4" s="2244"/>
      <c r="AE4" s="2244"/>
      <c r="AF4" s="2244"/>
      <c r="AG4" s="2244"/>
      <c r="AH4" s="2244"/>
      <c r="AI4" s="2244"/>
      <c r="AJ4" s="2245"/>
      <c r="AK4" s="1259" t="s">
        <v>613</v>
      </c>
      <c r="AM4" s="501"/>
      <c r="AN4" s="501" t="str">
        <f>IF(T4="","",T4)</f>
        <v>Наименование централизованной системы холодного водоснабжения</v>
      </c>
      <c r="AO4" s="501"/>
      <c r="AP4" s="501"/>
      <c r="AQ4" s="1156">
        <v>0</v>
      </c>
    </row>
    <row customHeight="1" ht="23.25" hidden="1">
      <c r="A5" s="1364"/>
      <c r="B5" s="1364"/>
      <c r="C5" s="1364"/>
      <c r="D5" s="1364"/>
      <c r="E5" s="2260"/>
      <c r="F5" s="2260"/>
      <c r="G5" s="2260"/>
      <c r="H5" s="2260"/>
      <c r="I5" s="2257">
        <f>S4&amp;".1"</f>
      </c>
      <c r="J5" s="1364"/>
      <c r="K5" s="1364"/>
      <c r="L5" s="1365"/>
      <c r="P5" s="2258">
        <v>1</v>
      </c>
      <c r="Q5" s="1423"/>
      <c r="R5" s="357"/>
      <c r="S5" s="1426">
        <f>$I5</f>
      </c>
      <c r="T5" s="286" t="s">
        <v>614</v>
      </c>
      <c r="U5" s="301"/>
      <c r="V5" s="2351"/>
      <c r="W5" s="2352"/>
      <c r="X5" s="2352"/>
      <c r="Y5" s="2352"/>
      <c r="Z5" s="2352"/>
      <c r="AA5" s="2352"/>
      <c r="AB5" s="2353"/>
      <c r="AC5" s="2354"/>
      <c r="AD5" s="2355"/>
      <c r="AE5" s="2355"/>
      <c r="AF5" s="2355"/>
      <c r="AG5" s="2355"/>
      <c r="AH5" s="2355"/>
      <c r="AI5" s="2355"/>
      <c r="AJ5" s="2356"/>
      <c r="AK5" s="1259" t="s">
        <v>615</v>
      </c>
      <c r="AM5" s="501"/>
      <c r="AN5" s="501" t="str">
        <f>IF(T5="","",T5)</f>
        <v>Наименование признака дифференциации</v>
      </c>
      <c r="AO5" s="501"/>
      <c r="AP5" s="501"/>
      <c r="AQ5" s="1156">
        <v>0</v>
      </c>
    </row>
    <row customHeight="1" ht="23.25" hidden="1">
      <c r="A6" s="1364"/>
      <c r="B6" s="1364"/>
      <c r="C6" s="1364"/>
      <c r="D6" s="1364"/>
      <c r="E6" s="2260"/>
      <c r="F6" s="2260"/>
      <c r="G6" s="2260"/>
      <c r="H6" s="2260"/>
      <c r="I6" s="2287"/>
      <c r="J6" s="2257">
        <f>I5&amp;".1"</f>
      </c>
      <c r="K6" s="1364"/>
      <c r="L6" s="1365" t="s">
        <v>536</v>
      </c>
      <c r="P6" s="2258"/>
      <c r="Q6" s="2258">
        <v>1</v>
      </c>
      <c r="R6" s="358"/>
      <c r="S6" s="1426">
        <f>$J6</f>
      </c>
      <c r="T6" s="287" t="s">
        <v>537</v>
      </c>
      <c r="U6" s="301"/>
      <c r="V6" s="2246"/>
      <c r="W6" s="2247"/>
      <c r="X6" s="2247"/>
      <c r="Y6" s="2247"/>
      <c r="Z6" s="2247"/>
      <c r="AA6" s="2247"/>
      <c r="AB6" s="2248"/>
      <c r="AC6" s="2246"/>
      <c r="AD6" s="2247"/>
      <c r="AE6" s="2247"/>
      <c r="AF6" s="2247"/>
      <c r="AG6" s="2247"/>
      <c r="AH6" s="2247"/>
      <c r="AI6" s="2247"/>
      <c r="AJ6" s="2248"/>
      <c r="AK6" s="1308" t="s">
        <v>616</v>
      </c>
      <c r="AM6" s="501"/>
      <c r="AN6" s="501" t="str">
        <f>IF(T6="","",T6)</f>
        <v>Группа потребителей</v>
      </c>
      <c r="AO6" s="501"/>
      <c r="AP6" s="501"/>
      <c r="AQ6" s="1156">
        <v>0</v>
      </c>
    </row>
    <row customHeight="1" ht="23.25" hidden="1">
      <c r="A7" s="1364"/>
      <c r="B7" s="1364"/>
      <c r="C7" s="1364"/>
      <c r="D7" s="1364"/>
      <c r="E7" s="2260"/>
      <c r="F7" s="2260"/>
      <c r="G7" s="2260"/>
      <c r="H7" s="2260"/>
      <c r="I7" s="2287"/>
      <c r="J7" s="2287"/>
      <c r="K7" s="2257">
        <f>J6&amp;".1"</f>
      </c>
      <c r="L7" s="1365"/>
      <c r="P7" s="2258"/>
      <c r="Q7" s="2258"/>
      <c r="R7" s="358">
        <v>1</v>
      </c>
      <c r="S7" s="1426">
        <f>$K7</f>
      </c>
      <c r="T7" s="1438"/>
      <c r="U7" s="301"/>
      <c r="V7" s="752"/>
      <c r="W7" s="752"/>
      <c r="X7" s="1258"/>
      <c r="Y7" s="2266"/>
      <c r="Z7" s="2108" t="s">
        <v>65</v>
      </c>
      <c r="AA7" s="2266"/>
      <c r="AB7" s="2108" t="s">
        <v>65</v>
      </c>
      <c r="AC7" s="752"/>
      <c r="AD7" s="752"/>
      <c r="AE7" s="1258"/>
      <c r="AF7" s="2266"/>
      <c r="AG7" s="2108" t="s">
        <v>65</v>
      </c>
      <c r="AH7" s="2288"/>
      <c r="AI7" s="2108" t="s">
        <v>65</v>
      </c>
      <c r="AJ7" s="1439"/>
      <c r="AK7" s="2350"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2">
        <f>STRCHECKDATE(V8:AJ8)</f>
      </c>
      <c r="AM7" s="501"/>
      <c r="AN7" s="501" t="str">
        <f>IF(T7="","",T7)</f>
        <v/>
      </c>
      <c r="AO7" s="501"/>
      <c r="AP7" s="501"/>
      <c r="AQ7" s="1156">
        <v>0</v>
      </c>
    </row>
    <row customHeight="1" ht="14.25" hidden="1">
      <c r="A8" s="1364"/>
      <c r="B8" s="1364"/>
      <c r="C8" s="1364"/>
      <c r="D8" s="1364"/>
      <c r="E8" s="2260"/>
      <c r="F8" s="2260"/>
      <c r="G8" s="2260"/>
      <c r="H8" s="2260"/>
      <c r="I8" s="2287"/>
      <c r="J8" s="2287"/>
      <c r="K8" s="2257"/>
      <c r="L8" s="1365"/>
      <c r="P8" s="2258"/>
      <c r="Q8" s="2258"/>
      <c r="R8" s="358"/>
      <c r="S8" s="1425"/>
      <c r="T8" s="301"/>
      <c r="U8" s="301"/>
      <c r="V8" s="326"/>
      <c r="W8" s="326"/>
      <c r="X8" s="329" t="str">
        <f>Y7&amp;"-"&amp;AA7</f>
        <v>-</v>
      </c>
      <c r="Y8" s="2267"/>
      <c r="Z8" s="2108"/>
      <c r="AA8" s="2267"/>
      <c r="AB8" s="2108"/>
      <c r="AC8" s="326"/>
      <c r="AD8" s="326"/>
      <c r="AE8" s="329" t="str">
        <f>AF7&amp;"-"&amp;AH7</f>
        <v>-</v>
      </c>
      <c r="AF8" s="2267"/>
      <c r="AG8" s="2108"/>
      <c r="AH8" s="2289"/>
      <c r="AI8" s="2108"/>
      <c r="AJ8" s="1440"/>
      <c r="AK8" s="2350"/>
      <c r="AM8" s="501"/>
      <c r="AN8" s="501" t="str">
        <f>IF(T8="","",T8)</f>
        <v/>
      </c>
      <c r="AO8" s="501"/>
      <c r="AP8" s="501"/>
      <c r="AQ8" s="1156">
        <v>0</v>
      </c>
    </row>
    <row customHeight="1" ht="21" hidden="1">
      <c r="A9" s="1364"/>
      <c r="B9" s="1364"/>
      <c r="C9" s="1364"/>
      <c r="D9" s="1364"/>
      <c r="E9" s="2260"/>
      <c r="F9" s="2260"/>
      <c r="G9" s="2260"/>
      <c r="H9" s="2260"/>
      <c r="I9" s="2287"/>
      <c r="J9" s="2257"/>
      <c r="K9" s="1364"/>
      <c r="L9" s="1365"/>
      <c r="P9" s="2258"/>
      <c r="Q9" s="2258"/>
      <c r="R9" s="357"/>
      <c r="S9" s="1279"/>
      <c r="T9" s="288" t="s">
        <v>617</v>
      </c>
      <c r="U9" s="368"/>
      <c r="V9" s="368"/>
      <c r="W9" s="368"/>
      <c r="X9" s="368"/>
      <c r="Y9" s="368"/>
      <c r="Z9" s="368"/>
      <c r="AA9" s="368"/>
      <c r="AB9" s="368"/>
      <c r="AC9" s="368"/>
      <c r="AD9" s="368"/>
      <c r="AE9" s="368"/>
      <c r="AF9" s="368"/>
      <c r="AG9" s="368"/>
      <c r="AH9" s="368"/>
      <c r="AI9" s="368"/>
      <c r="AJ9" s="368"/>
      <c r="AK9" s="1259" t="s">
        <v>618</v>
      </c>
      <c r="AM9" s="501"/>
      <c r="AN9" s="501" t="str">
        <f>IF(T9="","",T9)</f>
        <v>Добавить значение признака дифференциации</v>
      </c>
      <c r="AO9" s="501"/>
      <c r="AP9" s="501"/>
      <c r="AQ9" s="1156">
        <v>0</v>
      </c>
    </row>
    <row customHeight="1" ht="21" hidden="1">
      <c r="A10" s="1364"/>
      <c r="B10" s="1364"/>
      <c r="C10" s="1364"/>
      <c r="D10" s="1364"/>
      <c r="E10" s="2260"/>
      <c r="F10" s="2260"/>
      <c r="G10" s="2260"/>
      <c r="H10" s="2260"/>
      <c r="I10" s="2257"/>
      <c r="J10" s="1364"/>
      <c r="K10" s="1364"/>
      <c r="L10" s="1365"/>
      <c r="P10" s="2258"/>
      <c r="Q10" s="1423"/>
      <c r="R10" s="357"/>
      <c r="S10" s="1279"/>
      <c r="T10" s="366" t="s">
        <v>542</v>
      </c>
      <c r="U10" s="368"/>
      <c r="V10" s="368"/>
      <c r="W10" s="368"/>
      <c r="X10" s="368"/>
      <c r="Y10" s="368"/>
      <c r="Z10" s="368"/>
      <c r="AA10" s="368"/>
      <c r="AB10" s="367"/>
      <c r="AC10" s="368"/>
      <c r="AD10" s="368"/>
      <c r="AE10" s="368"/>
      <c r="AF10" s="368"/>
      <c r="AG10" s="368"/>
      <c r="AH10" s="368"/>
      <c r="AI10" s="367"/>
      <c r="AJ10" s="368"/>
      <c r="AK10" s="1441"/>
      <c r="AM10" s="501"/>
      <c r="AN10" s="501" t="str">
        <f>IF(T10="","",T10)</f>
        <v>Добавить группу потребителей</v>
      </c>
      <c r="AO10" s="501"/>
      <c r="AP10" s="501"/>
      <c r="AQ10" s="1156">
        <v>0</v>
      </c>
    </row>
    <row customHeight="1" ht="14.25" hidden="1">
      <c r="A11" s="1364"/>
      <c r="B11" s="1364"/>
      <c r="C11" s="1364"/>
      <c r="D11" s="1364"/>
      <c r="E11" s="2260"/>
      <c r="F11" s="2260"/>
      <c r="G11" s="2260"/>
      <c r="H11" s="2259"/>
      <c r="I11" s="1364"/>
      <c r="J11" s="1364"/>
      <c r="K11" s="1364"/>
      <c r="L11" s="1365"/>
      <c r="M11" s="1366"/>
      <c r="N11" s="1366"/>
      <c r="O11" s="538"/>
      <c r="P11" s="361"/>
      <c r="Q11" s="376"/>
      <c r="R11" s="356"/>
      <c r="S11" s="1279"/>
      <c r="T11" s="373" t="s">
        <v>619</v>
      </c>
      <c r="U11" s="368"/>
      <c r="V11" s="368"/>
      <c r="W11" s="368"/>
      <c r="X11" s="368"/>
      <c r="Y11" s="368"/>
      <c r="Z11" s="368"/>
      <c r="AA11" s="368"/>
      <c r="AB11" s="367"/>
      <c r="AC11" s="368"/>
      <c r="AD11" s="368"/>
      <c r="AE11" s="368"/>
      <c r="AF11" s="368"/>
      <c r="AG11" s="368"/>
      <c r="AH11" s="368"/>
      <c r="AI11" s="367"/>
      <c r="AJ11" s="368"/>
      <c r="AK11" s="304"/>
      <c r="AM11" s="501"/>
      <c r="AN11" s="501" t="str">
        <f>IF(T11="","",T11)</f>
        <v>Добавить наименование признака дифференциации</v>
      </c>
      <c r="AO11" s="501"/>
      <c r="AP11" s="501"/>
      <c r="AQ11" s="1156">
        <v>0</v>
      </c>
    </row>
    <row s="1643" customFormat="1" customHeight="1" ht="14.25" hidden="1">
      <c r="A12" s="1344"/>
      <c r="B12" s="1344"/>
      <c r="C12" s="1315"/>
      <c r="D12" s="1315"/>
      <c r="E12" s="2260"/>
      <c r="F12" s="2259"/>
      <c r="G12" s="1315"/>
      <c r="H12" s="1315"/>
      <c r="I12" s="1315"/>
      <c r="J12" s="1315"/>
      <c r="K12" s="1315"/>
      <c r="L12" s="1427"/>
      <c r="M12" s="1322"/>
      <c r="N12" s="1322"/>
      <c r="P12" s="1317"/>
      <c r="Q12" s="1318"/>
      <c r="R12" s="1317"/>
      <c r="S12" s="1323"/>
      <c r="T12" s="1326" t="s">
        <v>178</v>
      </c>
      <c r="U12" s="1325"/>
      <c r="V12" s="1325"/>
      <c r="W12" s="1325"/>
      <c r="X12" s="1325"/>
      <c r="Y12" s="1325"/>
      <c r="Z12" s="1325"/>
      <c r="AA12" s="1325"/>
      <c r="AB12" s="1325"/>
      <c r="AC12" s="1325"/>
      <c r="AD12" s="1325"/>
      <c r="AE12" s="1325"/>
      <c r="AF12" s="1325"/>
      <c r="AG12" s="1325"/>
      <c r="AH12" s="1325"/>
      <c r="AI12" s="1325"/>
      <c r="AJ12" s="1325"/>
      <c r="AK12" s="1325"/>
      <c r="AM12" s="790"/>
      <c r="AN12" s="790" t="str">
        <f>IF(T12="","",T12)</f>
        <v>Добавить централизованную систему для дифференциации</v>
      </c>
      <c r="AO12" s="790"/>
      <c r="AP12" s="790"/>
      <c r="AQ12" s="519">
        <v>0</v>
      </c>
    </row>
    <row s="1643" customFormat="1" customHeight="1" ht="14.25" hidden="1">
      <c r="A13" s="1344"/>
      <c r="B13" s="1344"/>
      <c r="C13" s="1344"/>
      <c r="D13" s="1344"/>
      <c r="E13" s="2259"/>
      <c r="F13" s="1344"/>
      <c r="G13" s="1344"/>
      <c r="H13" s="1344"/>
      <c r="I13" s="1344"/>
      <c r="J13" s="1344"/>
      <c r="K13" s="1344"/>
      <c r="L13" s="1347"/>
      <c r="M13" s="1322"/>
      <c r="N13" s="1322"/>
      <c r="O13" s="519"/>
      <c r="P13" s="381"/>
      <c r="Q13" s="1345"/>
      <c r="R13" s="381"/>
      <c r="S13" s="1323"/>
      <c r="T13" s="1326" t="s">
        <v>183</v>
      </c>
      <c r="U13" s="1325"/>
      <c r="V13" s="1325"/>
      <c r="W13" s="1325"/>
      <c r="X13" s="1325"/>
      <c r="Y13" s="1325"/>
      <c r="Z13" s="1325"/>
      <c r="AA13" s="1325"/>
      <c r="AB13" s="1325"/>
      <c r="AC13" s="1325"/>
      <c r="AD13" s="1325"/>
      <c r="AE13" s="1325"/>
      <c r="AF13" s="1325"/>
      <c r="AG13" s="1325"/>
      <c r="AH13" s="1325"/>
      <c r="AI13" s="1325"/>
      <c r="AJ13" s="1325"/>
      <c r="AK13" s="1325"/>
      <c r="AM13" s="501"/>
      <c r="AN13" s="501" t="str">
        <f>IF(T13="","",T13)</f>
        <v>Добавить территорию для дифференциации</v>
      </c>
      <c r="AO13" s="501"/>
      <c r="AP13" s="501"/>
      <c r="AQ13" s="512">
        <v>0</v>
      </c>
    </row>
    <row customHeight="1" ht="14.25" hidden="1">
      <c r="AB14" s="328"/>
      <c r="AI14" s="328"/>
      <c r="AQ14" s="1156">
        <v>0</v>
      </c>
    </row>
    <row customHeight="1" ht="14.25" hidden="1">
      <c r="AC15" s="1361"/>
      <c r="AD15" s="1361"/>
      <c r="AE15" s="1362"/>
      <c r="AF15" s="2268"/>
      <c r="AG15" s="2269" t="s">
        <v>65</v>
      </c>
      <c r="AH15" s="2268"/>
      <c r="AI15" s="2269" t="s">
        <v>65</v>
      </c>
      <c r="AQ15" s="1156">
        <v>0</v>
      </c>
    </row>
    <row customHeight="1" ht="14.25" hidden="1">
      <c r="AC16" s="1361"/>
      <c r="AD16" s="1361"/>
      <c r="AE16" s="329" t="str">
        <f>AF15&amp;"-"&amp;AH15</f>
        <v>-</v>
      </c>
      <c r="AF16" s="2269"/>
      <c r="AG16" s="2269"/>
      <c r="AH16" s="2269"/>
      <c r="AI16" s="2269"/>
      <c r="AQ16" s="1156">
        <v>0</v>
      </c>
    </row>
    <row customHeight="1" ht="14.25" hidden="1">
      <c r="AI17" s="328"/>
      <c r="AQ17" s="1156">
        <v>0</v>
      </c>
    </row>
    <row s="1367" customFormat="1" customHeight="1" ht="22.5" hidden="1">
      <c r="L18" s="1422"/>
      <c r="M18" s="1363"/>
      <c r="N18" s="1363"/>
      <c r="O18" s="1368" t="s">
        <v>544</v>
      </c>
      <c r="P18" s="1363"/>
      <c r="Q18" s="1372"/>
      <c r="R18" s="1372"/>
      <c r="S18" s="730"/>
      <c r="Y18" s="1368"/>
      <c r="AA18" s="1368"/>
      <c r="AB18" s="1367"/>
      <c r="AF18" s="1368"/>
      <c r="AH18" s="1368"/>
      <c r="AI18" s="1367"/>
      <c r="AL18" s="512"/>
      <c r="AM18" s="512"/>
      <c r="AN18" s="512"/>
      <c r="AO18" s="512"/>
      <c r="AP18" s="512"/>
      <c r="AQ18" s="1161">
        <v>0</v>
      </c>
    </row>
    <row s="1367" customFormat="1" customHeight="1" ht="14.25" hidden="1">
      <c r="L19" s="1422"/>
      <c r="M19" s="1363"/>
      <c r="N19" s="1363"/>
      <c r="O19" s="1363"/>
      <c r="P19" s="1363"/>
      <c r="Q19" s="1372"/>
      <c r="R19" s="1372"/>
      <c r="S19" s="730"/>
      <c r="AB19" s="1367"/>
      <c r="AI19" s="1367"/>
      <c r="AL19" s="512"/>
      <c r="AM19" s="512"/>
      <c r="AN19" s="512"/>
      <c r="AO19" s="512"/>
      <c r="AP19" s="512"/>
      <c r="AQ19" s="1161">
        <v>0</v>
      </c>
    </row>
    <row s="1367" customFormat="1" customHeight="1" ht="12" hidden="1">
      <c r="L20" s="1422"/>
      <c r="M20" s="1363"/>
      <c r="N20" s="1363"/>
      <c r="O20" s="1365" t="s">
        <v>545</v>
      </c>
      <c r="P20" s="1363"/>
      <c r="Q20" s="1443"/>
      <c r="R20" s="1443"/>
      <c r="S20" s="730"/>
      <c r="T20" s="1161" t="s">
        <v>546</v>
      </c>
      <c r="Z20" s="187" t="s">
        <v>547</v>
      </c>
      <c r="AB20" s="187" t="s">
        <v>548</v>
      </c>
      <c r="AC20" s="1161" t="s">
        <v>546</v>
      </c>
      <c r="AG20" s="187" t="s">
        <v>549</v>
      </c>
      <c r="AI20" s="187" t="s">
        <v>548</v>
      </c>
      <c r="AQ20" s="1161">
        <v>0</v>
      </c>
    </row>
    <row customHeight="1" ht="14.25" hidden="1">
      <c r="O21" s="1365"/>
      <c r="AQ21" s="1156">
        <v>0</v>
      </c>
    </row>
    <row customHeight="1" ht="14.25" hidden="1">
      <c r="O22" s="1365"/>
      <c r="AQ22" s="1156">
        <v>0</v>
      </c>
    </row>
    <row customHeight="1" ht="14.699999999999998">
      <c r="Q23" s="377"/>
      <c r="R23" s="377"/>
      <c r="S23" s="1276"/>
      <c r="T23" s="364"/>
      <c r="U23" s="364"/>
      <c r="V23" s="510"/>
      <c r="W23" s="510"/>
      <c r="X23" s="510"/>
      <c r="Y23" s="510"/>
      <c r="Z23" s="510"/>
      <c r="AA23" s="510"/>
      <c r="AB23" s="510"/>
      <c r="AC23" s="510"/>
      <c r="AD23" s="510"/>
      <c r="AE23" s="510"/>
      <c r="AF23" s="510"/>
      <c r="AG23" s="510"/>
      <c r="AH23" s="510"/>
      <c r="AI23" s="510"/>
      <c r="AQ23" s="1156">
        <v>14</v>
      </c>
    </row>
    <row customHeight="1" ht="14.699999999999998">
      <c r="Q24" s="377"/>
      <c r="R24" s="377"/>
      <c r="S24" s="2249" t="str">
        <f>IF(TEMPLATE_GROUP="P",PT_P_FORM_COLDVSNA_4_NAME_FORM,PT_R_FORM_COLDVSNA_16_NAME_FORM)</f>
        <v>Форма 2. Информация
о тарифах в сфере холодного водоснабжения на товары (услуги) организации холодного водоснабжения, подлежащих регулированию</v>
      </c>
      <c r="T24" s="2249"/>
      <c r="U24" s="2249"/>
      <c r="V24" s="2249"/>
      <c r="W24" s="2249"/>
      <c r="X24" s="2249"/>
      <c r="Y24" s="2249"/>
      <c r="Z24" s="2249"/>
      <c r="AA24" s="2249"/>
      <c r="AB24" s="2249"/>
      <c r="AC24" s="2249"/>
      <c r="AD24" s="2249"/>
      <c r="AE24" s="2249"/>
      <c r="AF24" s="2249"/>
      <c r="AG24" s="2249"/>
      <c r="AH24" s="2249"/>
      <c r="AI24" s="1244"/>
      <c r="AQ24" s="1156">
        <v>14</v>
      </c>
    </row>
    <row customHeight="1" ht="14.699999999999998">
      <c r="Q25" s="377"/>
      <c r="R25" s="377"/>
      <c r="S25" s="2250" t="str">
        <f>IF(org=0,"Не определено",org)</f>
        <v>ПАО "ТГК-1" (филиал "Кольский")</v>
      </c>
      <c r="T25" s="2250"/>
      <c r="U25" s="2250"/>
      <c r="V25" s="2250"/>
      <c r="W25" s="2250"/>
      <c r="X25" s="2250"/>
      <c r="Y25" s="2250"/>
      <c r="Z25" s="2250"/>
      <c r="AA25" s="2250"/>
      <c r="AB25" s="2250"/>
      <c r="AC25" s="2250"/>
      <c r="AD25" s="2250"/>
      <c r="AE25" s="2250"/>
      <c r="AF25" s="2250"/>
      <c r="AG25" s="2250"/>
      <c r="AH25" s="2250"/>
      <c r="AI25" s="1244"/>
      <c r="AQ25" s="1156">
        <v>14</v>
      </c>
    </row>
    <row customHeight="1" ht="14.25">
      <c r="Q26" s="377"/>
      <c r="R26" s="377"/>
      <c r="S26" s="1276"/>
      <c r="T26" s="364"/>
      <c r="U26" s="364"/>
      <c r="V26" s="323"/>
      <c r="W26" s="323"/>
      <c r="X26" s="323"/>
      <c r="Y26" s="323"/>
      <c r="Z26" s="323"/>
      <c r="AA26" s="323"/>
      <c r="AB26" s="323"/>
      <c r="AC26" s="323"/>
      <c r="AD26" s="323"/>
      <c r="AE26" s="323"/>
      <c r="AF26" s="323"/>
      <c r="AG26" s="323"/>
      <c r="AH26" s="323"/>
      <c r="AI26" s="323"/>
      <c r="AJ26" s="510"/>
      <c r="AQ26" s="1156">
        <v>0</v>
      </c>
    </row>
    <row s="1854" customFormat="1" customHeight="1" ht="25.5">
      <c r="A27" s="1369"/>
      <c r="B27" s="1369"/>
      <c r="C27" s="1369"/>
      <c r="D27" s="1369"/>
      <c r="E27" s="1369"/>
      <c r="F27" s="1369"/>
      <c r="G27" s="1369"/>
      <c r="H27" s="1369"/>
      <c r="I27" s="1369"/>
      <c r="J27" s="1369"/>
      <c r="K27" s="1369"/>
      <c r="L27" s="1370"/>
      <c r="M27" s="1369"/>
      <c r="N27" s="1369"/>
      <c r="O27" s="1369"/>
      <c r="S27" s="2251" t="s">
        <v>42</v>
      </c>
      <c r="T27" s="2251"/>
      <c r="U27" s="1373"/>
      <c r="V27" s="2252" t="str">
        <f>IF(TITLE_NAME_OR_PR_CHANGE="",IF(TITLE_NAME_OR_PR="","",TITLE_NAME_OR_PR),TITLE_NAME_OR_PR_CHANGE)</f>
        <v>Комитет по тарифному регулированию Мурманской области</v>
      </c>
      <c r="W27" s="2252"/>
      <c r="X27" s="2252"/>
      <c r="Y27" s="2252"/>
      <c r="Z27" s="2252"/>
      <c r="AA27" s="2252"/>
      <c r="AB27" s="327"/>
      <c r="AC27" s="2252" t="str">
        <f>IF(TITLE_NAME_OR_PR_CHANGE="",IF(TITLE_NAME_OR_PR="","",TITLE_NAME_OR_PR),TITLE_NAME_OR_PR_CHANGE)</f>
        <v>Комитет по тарифному регулированию Мурманской области</v>
      </c>
      <c r="AD27" s="2252"/>
      <c r="AE27" s="2252"/>
      <c r="AF27" s="2252"/>
      <c r="AG27" s="2252"/>
      <c r="AH27" s="2252"/>
      <c r="AI27" s="327"/>
      <c r="AJ27" s="327"/>
      <c r="AK27" s="281"/>
      <c r="AL27" s="369"/>
      <c r="AM27" s="369"/>
      <c r="AN27" s="369"/>
      <c r="AO27" s="369"/>
      <c r="AP27" s="369"/>
      <c r="AQ27" s="419">
        <v>0</v>
      </c>
    </row>
    <row s="1854" customFormat="1" customHeight="1" ht="18.75">
      <c r="A28" s="1369"/>
      <c r="B28" s="1369"/>
      <c r="C28" s="1369"/>
      <c r="D28" s="1369"/>
      <c r="E28" s="1369"/>
      <c r="F28" s="1369"/>
      <c r="G28" s="1369"/>
      <c r="H28" s="1369"/>
      <c r="I28" s="1369"/>
      <c r="J28" s="1369"/>
      <c r="K28" s="1369"/>
      <c r="L28" s="1370"/>
      <c r="M28" s="1369"/>
      <c r="N28" s="1369"/>
      <c r="O28" s="1369"/>
      <c r="S28" s="2251" t="s">
        <v>550</v>
      </c>
      <c r="T28" s="2251"/>
      <c r="U28" s="1373"/>
      <c r="V28" s="2265" t="str">
        <f>IF(TITLE_DATE_PR_CHANGE="",IF(TITLE_DATE_PR="","",TITLE_DATE_PR),TITLE_DATE_PR_CHANGE)</f>
        <v>46010</v>
      </c>
      <c r="W28" s="2265"/>
      <c r="X28" s="2265"/>
      <c r="Y28" s="2265"/>
      <c r="Z28" s="2265"/>
      <c r="AA28" s="2265"/>
      <c r="AB28" s="327"/>
      <c r="AC28" s="2265" t="str">
        <f>IF(TITLE_DATE_PR_CHANGE="",IF(TITLE_DATE_PR="","",TITLE_DATE_PR),TITLE_DATE_PR_CHANGE)</f>
        <v>46010</v>
      </c>
      <c r="AD28" s="2265"/>
      <c r="AE28" s="2265"/>
      <c r="AF28" s="2265"/>
      <c r="AG28" s="2265"/>
      <c r="AH28" s="2265"/>
      <c r="AI28" s="327"/>
      <c r="AJ28" s="327"/>
      <c r="AK28" s="281"/>
      <c r="AL28" s="369"/>
      <c r="AM28" s="369"/>
      <c r="AN28" s="369"/>
      <c r="AO28" s="369"/>
      <c r="AP28" s="369"/>
      <c r="AQ28" s="419">
        <v>0</v>
      </c>
    </row>
    <row s="1854" customFormat="1" customHeight="1" ht="18.75">
      <c r="A29" s="1369"/>
      <c r="B29" s="1369"/>
      <c r="C29" s="1369"/>
      <c r="D29" s="1369"/>
      <c r="E29" s="1369"/>
      <c r="F29" s="1369"/>
      <c r="G29" s="1369"/>
      <c r="H29" s="1369"/>
      <c r="I29" s="1369"/>
      <c r="J29" s="1369"/>
      <c r="K29" s="1369"/>
      <c r="L29" s="1370"/>
      <c r="M29" s="1369"/>
      <c r="N29" s="1369"/>
      <c r="O29" s="1369"/>
      <c r="S29" s="2251" t="s">
        <v>551</v>
      </c>
      <c r="T29" s="2251"/>
      <c r="U29" s="1373"/>
      <c r="V29" s="2252" t="str">
        <f>IF(TITLE_NUMBER_PR_CHANGE="",IF(TITLE_NUMBER_PR="","",TITLE_NUMBER_PR),TITLE_NUMBER_PR_CHANGE)</f>
        <v>53/77; 53/49</v>
      </c>
      <c r="W29" s="2252"/>
      <c r="X29" s="2252"/>
      <c r="Y29" s="2252"/>
      <c r="Z29" s="2252"/>
      <c r="AA29" s="2252"/>
      <c r="AB29" s="327"/>
      <c r="AC29" s="2252" t="str">
        <f>IF(TITLE_NUMBER_PR_CHANGE="",IF(TITLE_NUMBER_PR="","",TITLE_NUMBER_PR),TITLE_NUMBER_PR_CHANGE)</f>
        <v>53/77; 53/49</v>
      </c>
      <c r="AD29" s="2252"/>
      <c r="AE29" s="2252"/>
      <c r="AF29" s="2252"/>
      <c r="AG29" s="2252"/>
      <c r="AH29" s="2252"/>
      <c r="AI29" s="327"/>
      <c r="AJ29" s="327"/>
      <c r="AK29" s="281"/>
      <c r="AL29" s="369"/>
      <c r="AM29" s="369"/>
      <c r="AN29" s="369"/>
      <c r="AO29" s="369"/>
      <c r="AP29" s="369"/>
      <c r="AQ29" s="419">
        <v>0</v>
      </c>
    </row>
    <row s="1854" customFormat="1" customHeight="1" ht="18.75">
      <c r="A30" s="1369"/>
      <c r="B30" s="1369"/>
      <c r="C30" s="1369"/>
      <c r="D30" s="1369"/>
      <c r="E30" s="1369"/>
      <c r="F30" s="1369"/>
      <c r="G30" s="1369"/>
      <c r="H30" s="1369"/>
      <c r="I30" s="1369"/>
      <c r="J30" s="1369"/>
      <c r="K30" s="1369"/>
      <c r="L30" s="1370"/>
      <c r="M30" s="1369"/>
      <c r="N30" s="1369"/>
      <c r="O30" s="1369"/>
      <c r="S30" s="2251" t="s">
        <v>44</v>
      </c>
      <c r="T30" s="2251"/>
      <c r="U30" s="1373"/>
      <c r="V30" s="2252" t="str">
        <f>IF(TITLE_IST_PUB_CHANGE="",IF(TITLE_IST_PUB="","",TITLE_IST_PUB),TITLE_IST_PUB_CHANGE)</f>
        <v>Официальный электронный бюллетень Правительства Мурманской области</v>
      </c>
      <c r="W30" s="2252"/>
      <c r="X30" s="2252"/>
      <c r="Y30" s="2252"/>
      <c r="Z30" s="2252"/>
      <c r="AA30" s="2252"/>
      <c r="AB30" s="327"/>
      <c r="AC30" s="2252" t="str">
        <f>IF(TITLE_IST_PUB_CHANGE="",IF(TITLE_IST_PUB="","",TITLE_IST_PUB),TITLE_IST_PUB_CHANGE)</f>
        <v>Официальный электронный бюллетень Правительства Мурманской области</v>
      </c>
      <c r="AD30" s="2252"/>
      <c r="AE30" s="2252"/>
      <c r="AF30" s="2252"/>
      <c r="AG30" s="2252"/>
      <c r="AH30" s="2252"/>
      <c r="AI30" s="327"/>
      <c r="AJ30" s="327"/>
      <c r="AK30" s="281"/>
      <c r="AL30" s="369"/>
      <c r="AM30" s="369"/>
      <c r="AN30" s="369"/>
      <c r="AO30" s="369"/>
      <c r="AP30" s="369"/>
      <c r="AQ30" s="419">
        <v>0</v>
      </c>
    </row>
    <row customHeight="1" ht="14.25" hidden="1">
      <c r="Q31" s="377"/>
      <c r="R31" s="377"/>
      <c r="S31" s="1276"/>
      <c r="T31" s="364"/>
      <c r="U31" s="364"/>
      <c r="V31" s="323"/>
      <c r="W31" s="323"/>
      <c r="X31" s="323"/>
      <c r="Y31" s="323"/>
      <c r="Z31" s="323"/>
      <c r="AA31" s="323"/>
      <c r="AB31" s="323"/>
      <c r="AC31" s="323"/>
      <c r="AD31" s="323"/>
      <c r="AE31" s="323"/>
      <c r="AF31" s="323"/>
      <c r="AG31" s="323"/>
      <c r="AH31" s="323"/>
      <c r="AI31" s="323"/>
      <c r="AJ31" s="510"/>
      <c r="AQ31" s="1156">
        <v>0</v>
      </c>
    </row>
    <row s="1854" customFormat="1" customHeight="1" ht="18.75" hidden="1">
      <c r="A32" s="1369"/>
      <c r="B32" s="1369"/>
      <c r="C32" s="1369"/>
      <c r="D32" s="1369"/>
      <c r="E32" s="1369"/>
      <c r="F32" s="1369"/>
      <c r="G32" s="1369"/>
      <c r="H32" s="1369"/>
      <c r="I32" s="1369"/>
      <c r="J32" s="1369"/>
      <c r="K32" s="1369"/>
      <c r="L32" s="1370"/>
      <c r="M32" s="1369"/>
      <c r="N32" s="1369"/>
      <c r="O32" s="1369"/>
      <c r="S32" s="2251" t="s">
        <v>552</v>
      </c>
      <c r="T32" s="2251"/>
      <c r="U32" s="1373"/>
      <c r="V32" s="2265" t="str">
        <f>IF(TITLE_DATE_PR_CHANGE="",IF(TITLE_DATE_PR="","",TITLE_DATE_PR),TITLE_DATE_PR_CHANGE)</f>
        <v>46010</v>
      </c>
      <c r="W32" s="2265"/>
      <c r="X32" s="2265"/>
      <c r="Y32" s="2265"/>
      <c r="Z32" s="2265"/>
      <c r="AA32" s="2265"/>
      <c r="AB32" s="327"/>
      <c r="AC32" s="2265" t="str">
        <f>IF(TITLE_DATE_PR_CHANGE="",IF(TITLE_DATE_PR="","",TITLE_DATE_PR),TITLE_DATE_PR_CHANGE)</f>
        <v>46010</v>
      </c>
      <c r="AD32" s="2265"/>
      <c r="AE32" s="2265"/>
      <c r="AF32" s="2265"/>
      <c r="AG32" s="2265"/>
      <c r="AH32" s="2265"/>
      <c r="AI32" s="327"/>
      <c r="AJ32" s="327"/>
      <c r="AK32" s="281"/>
      <c r="AL32" s="369"/>
      <c r="AM32" s="369"/>
      <c r="AN32" s="369"/>
      <c r="AO32" s="369"/>
      <c r="AP32" s="369"/>
      <c r="AQ32" s="419">
        <v>0</v>
      </c>
    </row>
    <row s="1854" customFormat="1" customHeight="1" ht="18.75" hidden="1">
      <c r="A33" s="1369"/>
      <c r="B33" s="1369"/>
      <c r="C33" s="1369"/>
      <c r="D33" s="1369"/>
      <c r="E33" s="1369"/>
      <c r="F33" s="1369"/>
      <c r="G33" s="1369"/>
      <c r="H33" s="1369"/>
      <c r="I33" s="1369"/>
      <c r="J33" s="1369"/>
      <c r="K33" s="1369"/>
      <c r="L33" s="1370"/>
      <c r="M33" s="1369"/>
      <c r="N33" s="1369"/>
      <c r="O33" s="1369"/>
      <c r="S33" s="2251" t="s">
        <v>553</v>
      </c>
      <c r="T33" s="2251"/>
      <c r="U33" s="1373"/>
      <c r="V33" s="2252" t="str">
        <f>IF(TITLE_NUMBER_PR_CHANGE="",IF(TITLE_NUMBER_PR="","",TITLE_NUMBER_PR),TITLE_NUMBER_PR_CHANGE)</f>
        <v>53/77; 53/49</v>
      </c>
      <c r="W33" s="2252"/>
      <c r="X33" s="2252"/>
      <c r="Y33" s="2252"/>
      <c r="Z33" s="2252"/>
      <c r="AA33" s="2252"/>
      <c r="AB33" s="327"/>
      <c r="AC33" s="2252" t="str">
        <f>IF(TITLE_NUMBER_PR_CHANGE="",IF(TITLE_NUMBER_PR="","",TITLE_NUMBER_PR),TITLE_NUMBER_PR_CHANGE)</f>
        <v>53/77; 53/49</v>
      </c>
      <c r="AD33" s="2252"/>
      <c r="AE33" s="2252"/>
      <c r="AF33" s="2252"/>
      <c r="AG33" s="2252"/>
      <c r="AH33" s="2252"/>
      <c r="AI33" s="327"/>
      <c r="AJ33" s="327"/>
      <c r="AK33" s="281"/>
      <c r="AL33" s="369"/>
      <c r="AM33" s="369"/>
      <c r="AN33" s="369"/>
      <c r="AO33" s="369"/>
      <c r="AP33" s="369"/>
      <c r="AQ33" s="419">
        <v>0</v>
      </c>
    </row>
    <row s="1854" customFormat="1" customHeight="1" ht="1.05">
      <c r="A34" s="1369"/>
      <c r="B34" s="1369"/>
      <c r="C34" s="1369"/>
      <c r="D34" s="1369"/>
      <c r="E34" s="1369"/>
      <c r="F34" s="1369"/>
      <c r="G34" s="1369"/>
      <c r="H34" s="1369"/>
      <c r="I34" s="1369"/>
      <c r="J34" s="1369"/>
      <c r="K34" s="1369"/>
      <c r="L34" s="1370"/>
      <c r="M34" s="1369"/>
      <c r="N34" s="1369"/>
      <c r="O34" s="1369"/>
      <c r="S34" s="324"/>
      <c r="T34" s="324"/>
      <c r="U34" s="1356"/>
      <c r="V34" s="327"/>
      <c r="W34" s="327"/>
      <c r="X34" s="327"/>
      <c r="Y34" s="327"/>
      <c r="Z34" s="327"/>
      <c r="AA34" s="327"/>
      <c r="AB34" s="279" t="s">
        <v>554</v>
      </c>
      <c r="AC34" s="327"/>
      <c r="AD34" s="327"/>
      <c r="AE34" s="327"/>
      <c r="AF34" s="327"/>
      <c r="AG34" s="327"/>
      <c r="AH34" s="327"/>
      <c r="AI34" s="279" t="s">
        <v>554</v>
      </c>
      <c r="AL34" s="369"/>
      <c r="AM34" s="369"/>
      <c r="AN34" s="369"/>
      <c r="AO34" s="369"/>
      <c r="AP34" s="369"/>
      <c r="AQ34" s="419">
        <v>1</v>
      </c>
    </row>
    <row customHeight="1" ht="14.699999999999998">
      <c r="Q35" s="377"/>
      <c r="R35" s="377"/>
      <c r="S35" s="1276"/>
      <c r="T35" s="364"/>
      <c r="U35" s="1245"/>
      <c r="V35" s="2253"/>
      <c r="W35" s="2253"/>
      <c r="X35" s="2253"/>
      <c r="Y35" s="2253"/>
      <c r="Z35" s="2253"/>
      <c r="AA35" s="2253"/>
      <c r="AB35" s="2253"/>
      <c r="AC35" s="2253"/>
      <c r="AD35" s="2253"/>
      <c r="AE35" s="2253"/>
      <c r="AF35" s="2253"/>
      <c r="AG35" s="2253"/>
      <c r="AH35" s="2253"/>
      <c r="AI35" s="2253"/>
      <c r="AQ35" s="1156">
        <v>14</v>
      </c>
    </row>
    <row customHeight="1" ht="14.699999999999998">
      <c r="Q36" s="377"/>
      <c r="R36" s="377"/>
      <c r="S36" s="2128" t="s">
        <v>430</v>
      </c>
      <c r="T36" s="2128"/>
      <c r="U36" s="2128"/>
      <c r="V36" s="2128"/>
      <c r="W36" s="2128"/>
      <c r="X36" s="2128"/>
      <c r="Y36" s="2128"/>
      <c r="Z36" s="2128"/>
      <c r="AA36" s="2128"/>
      <c r="AB36" s="2128"/>
      <c r="AC36" s="2128"/>
      <c r="AD36" s="2128"/>
      <c r="AE36" s="2128"/>
      <c r="AF36" s="2128"/>
      <c r="AG36" s="2128"/>
      <c r="AH36" s="2128"/>
      <c r="AI36" s="2128"/>
      <c r="AJ36" s="2128"/>
      <c r="AK36" s="2128" t="s">
        <v>431</v>
      </c>
      <c r="AQ36" s="1156">
        <v>14</v>
      </c>
    </row>
    <row customHeight="1" ht="14.699999999999998">
      <c r="Q37" s="377"/>
      <c r="R37" s="377"/>
      <c r="S37" s="2274" t="s">
        <v>92</v>
      </c>
      <c r="T37" s="2210" t="s">
        <v>555</v>
      </c>
      <c r="U37" s="302"/>
      <c r="V37" s="2275" t="s">
        <v>556</v>
      </c>
      <c r="W37" s="2276"/>
      <c r="X37" s="2276"/>
      <c r="Y37" s="2276"/>
      <c r="Z37" s="2276"/>
      <c r="AA37" s="2277"/>
      <c r="AB37" s="2278" t="s">
        <v>557</v>
      </c>
      <c r="AC37" s="2275" t="s">
        <v>556</v>
      </c>
      <c r="AD37" s="2276"/>
      <c r="AE37" s="2276"/>
      <c r="AF37" s="2276"/>
      <c r="AG37" s="2276"/>
      <c r="AH37" s="2277"/>
      <c r="AI37" s="2278" t="s">
        <v>558</v>
      </c>
      <c r="AJ37" s="2281" t="s">
        <v>559</v>
      </c>
      <c r="AK37" s="2128"/>
      <c r="AQ37" s="1156">
        <v>14</v>
      </c>
    </row>
    <row customHeight="1" ht="35.699999999999996">
      <c r="Q38" s="377"/>
      <c r="R38" s="377"/>
      <c r="S38" s="2274"/>
      <c r="T38" s="2210"/>
      <c r="U38" s="1032"/>
      <c r="V38" s="1353" t="s">
        <v>620</v>
      </c>
      <c r="W38" s="2263" t="s">
        <v>562</v>
      </c>
      <c r="X38" s="2264"/>
      <c r="Y38" s="2263" t="s">
        <v>563</v>
      </c>
      <c r="Z38" s="2270"/>
      <c r="AA38" s="2264"/>
      <c r="AB38" s="2279"/>
      <c r="AC38" s="1353" t="s">
        <v>620</v>
      </c>
      <c r="AD38" s="2263" t="s">
        <v>562</v>
      </c>
      <c r="AE38" s="2264"/>
      <c r="AF38" s="2263" t="s">
        <v>563</v>
      </c>
      <c r="AG38" s="2270"/>
      <c r="AH38" s="2264"/>
      <c r="AI38" s="2279"/>
      <c r="AJ38" s="2282"/>
      <c r="AK38" s="2128"/>
      <c r="AQ38" s="1156">
        <v>34</v>
      </c>
    </row>
    <row customHeight="1" ht="35.699999999999996">
      <c r="A39" s="1371"/>
      <c r="B39" s="1371" t="s">
        <v>148</v>
      </c>
      <c r="C39" s="1371" t="s">
        <v>149</v>
      </c>
      <c r="D39" s="1371" t="s">
        <v>150</v>
      </c>
      <c r="E39" s="1365" t="s">
        <v>564</v>
      </c>
      <c r="F39" s="1365" t="s">
        <v>565</v>
      </c>
      <c r="G39" s="1365" t="s">
        <v>566</v>
      </c>
      <c r="H39" s="1365"/>
      <c r="I39" s="1365" t="s">
        <v>621</v>
      </c>
      <c r="J39" s="1365" t="s">
        <v>569</v>
      </c>
      <c r="K39" s="1365" t="s">
        <v>622</v>
      </c>
      <c r="L39" s="1365" t="s">
        <v>545</v>
      </c>
      <c r="Q39" s="377"/>
      <c r="R39" s="377"/>
      <c r="S39" s="2274"/>
      <c r="T39" s="2210"/>
      <c r="U39" s="303"/>
      <c r="V39" s="1353" t="s">
        <v>623</v>
      </c>
      <c r="W39" s="1223" t="s">
        <v>624</v>
      </c>
      <c r="X39" s="1223" t="s">
        <v>625</v>
      </c>
      <c r="Y39" s="1358" t="s">
        <v>573</v>
      </c>
      <c r="Z39" s="2271" t="s">
        <v>574</v>
      </c>
      <c r="AA39" s="2272"/>
      <c r="AB39" s="2280"/>
      <c r="AC39" s="1353" t="s">
        <v>623</v>
      </c>
      <c r="AD39" s="1223" t="s">
        <v>624</v>
      </c>
      <c r="AE39" s="1223" t="s">
        <v>625</v>
      </c>
      <c r="AF39" s="1358" t="s">
        <v>573</v>
      </c>
      <c r="AG39" s="2271" t="s">
        <v>574</v>
      </c>
      <c r="AH39" s="2272"/>
      <c r="AI39" s="2280"/>
      <c r="AJ39" s="2283"/>
      <c r="AK39" s="2128"/>
      <c r="AQ39" s="1156">
        <v>34</v>
      </c>
    </row>
    <row s="1642" customFormat="1" customHeight="1" ht="11.25" hidden="1">
      <c r="A40" s="1371"/>
      <c r="B40" s="1371"/>
      <c r="C40" s="1371"/>
      <c r="D40" s="1371"/>
      <c r="E40" s="1371"/>
      <c r="F40" s="1371"/>
      <c r="G40" s="1371"/>
      <c r="H40" s="1371"/>
      <c r="I40" s="1371"/>
      <c r="J40" s="1371"/>
      <c r="K40" s="1371"/>
      <c r="L40" s="1365"/>
      <c r="M40" s="1363"/>
      <c r="N40" s="1363"/>
      <c r="O40" s="1363"/>
      <c r="P40" s="1247"/>
      <c r="Q40" s="1248"/>
      <c r="R40" s="1255">
        <v>1</v>
      </c>
      <c r="S40" s="1278" t="s">
        <v>123</v>
      </c>
      <c r="T40" s="1256" t="s">
        <v>107</v>
      </c>
      <c r="U40" s="1246" t="str">
        <f>OFFSET(U40,0,-1)</f>
        <v>2</v>
      </c>
      <c r="V40" s="1354">
        <f>OFFSET(V40,0,-1)+1</f>
        <v>3</v>
      </c>
      <c r="W40" s="1354">
        <f>OFFSET(W40,0,-1)+1</f>
        <v>4</v>
      </c>
      <c r="X40" s="1354">
        <f>OFFSET(X40,0,-1)+1</f>
        <v>5</v>
      </c>
      <c r="Y40" s="1354">
        <f>OFFSET(Y40,0,-1)+1</f>
        <v>6</v>
      </c>
      <c r="Z40" s="2273">
        <f>OFFSET(Z40,0,-1)+1</f>
        <v>7</v>
      </c>
      <c r="AA40" s="2273"/>
      <c r="AB40" s="1354">
        <f>OFFSET(AB40,0,-2)+1</f>
        <v>8</v>
      </c>
      <c r="AC40" s="1354">
        <f>OFFSET(AC40,0,-1)+1</f>
        <v>9</v>
      </c>
      <c r="AD40" s="1354">
        <f>OFFSET(AD40,0,-1)+1</f>
        <v>10</v>
      </c>
      <c r="AE40" s="1354">
        <f>OFFSET(AE40,0,-1)+1</f>
        <v>11</v>
      </c>
      <c r="AF40" s="1354">
        <f>OFFSET(AF40,0,-1)+1</f>
        <v>12</v>
      </c>
      <c r="AG40" s="2273">
        <f>OFFSET(AG40,0,-1)+1</f>
        <v>13</v>
      </c>
      <c r="AH40" s="2273"/>
      <c r="AI40" s="1354">
        <f>OFFSET(AI40,0,-2)+1</f>
        <v>14</v>
      </c>
      <c r="AJ40" s="1246">
        <f>OFFSET(AJ40,0,-1)</f>
        <v>14</v>
      </c>
      <c r="AK40" s="1354">
        <f>OFFSET(AK40,0,-1)+1</f>
        <v>15</v>
      </c>
      <c r="AL40" s="512"/>
      <c r="AM40" s="512"/>
      <c r="AN40" s="512"/>
      <c r="AO40" s="512"/>
      <c r="AP40" s="512"/>
      <c r="AQ40" s="497">
        <v>0</v>
      </c>
    </row>
    <row customHeight="1" ht="24">
      <c r="A41" s="1364" t="s">
        <v>356</v>
      </c>
      <c r="B41" s="1364"/>
      <c r="C41" s="1364"/>
      <c r="D41" s="1364"/>
      <c r="E41" s="2259">
        <v>1</v>
      </c>
      <c r="F41" s="1364"/>
      <c r="G41" s="1364"/>
      <c r="H41" s="1364"/>
      <c r="I41" s="1364"/>
      <c r="J41" s="1364"/>
      <c r="K41" s="1364"/>
      <c r="L41" s="1365"/>
      <c r="M41" s="1366"/>
      <c r="N41" s="1366"/>
      <c r="O41" s="1366"/>
      <c r="P41" s="362"/>
      <c r="Q41" s="361"/>
      <c r="R41" s="356"/>
      <c r="S41" s="1359">
        <f>INDEX(PT_DIFFERENTIATION_NUM_NTAR,MATCH(A41,PT_DIFFERENTIATION_NTAR_ID,0))</f>
        <v>0</v>
      </c>
      <c r="T41" s="299" t="s">
        <v>136</v>
      </c>
      <c r="U41" s="301"/>
      <c r="V41" s="2243"/>
      <c r="W41" s="2244"/>
      <c r="X41" s="2244"/>
      <c r="Y41" s="2244"/>
      <c r="Z41" s="2244"/>
      <c r="AA41" s="2244"/>
      <c r="AB41" s="2245"/>
      <c r="AC41" s="2243" t="str">
        <f>INDEX(PT_DIFFERENTIATION_NTAR,MATCH(A41,PT_DIFFERENTIATION_NTAR_ID,0))</f>
        <v/>
      </c>
      <c r="AD41" s="2244"/>
      <c r="AE41" s="2244"/>
      <c r="AF41" s="2244"/>
      <c r="AG41" s="2244"/>
      <c r="AH41" s="2244"/>
      <c r="AI41" s="2244"/>
      <c r="AJ41" s="2245"/>
      <c r="AK41" s="125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AM41" s="501"/>
      <c r="AN41" s="501" t="str">
        <f>IF(T41="","",T41)</f>
        <v>Наименование тарифа</v>
      </c>
      <c r="AO41" s="501"/>
      <c r="AP41" s="501"/>
      <c r="AQ41" s="1156">
        <v>23</v>
      </c>
    </row>
    <row customHeight="1" ht="24">
      <c r="A42" s="1364" t="s">
        <v>356</v>
      </c>
      <c r="B42" s="1364" t="s">
        <v>357</v>
      </c>
      <c r="C42" s="1364"/>
      <c r="D42" s="1364"/>
      <c r="E42" s="2260"/>
      <c r="F42" s="2259">
        <v>1</v>
      </c>
      <c r="G42" s="1364"/>
      <c r="H42" s="1364"/>
      <c r="I42" s="1364"/>
      <c r="J42" s="1364"/>
      <c r="K42" s="1364"/>
      <c r="L42" s="1365"/>
      <c r="M42" s="1366"/>
      <c r="N42" s="1366"/>
      <c r="O42" s="1366"/>
      <c r="P42" s="1357"/>
      <c r="Q42" s="353"/>
      <c r="R42" s="354"/>
      <c r="S42" s="1359" t="str">
        <f>INDEX(PT_DIFFERENTIATION_NUM_TER,MATCH(B42,PT_DIFFERENTIATION_TER_ID,0))</f>
        <v>.</v>
      </c>
      <c r="T42" s="309" t="s">
        <v>527</v>
      </c>
      <c r="U42" s="301"/>
      <c r="V42" s="2243"/>
      <c r="W42" s="2244"/>
      <c r="X42" s="2244"/>
      <c r="Y42" s="2244"/>
      <c r="Z42" s="2244"/>
      <c r="AA42" s="2244"/>
      <c r="AB42" s="2245"/>
      <c r="AC42" s="2243" t="str">
        <f>INDEX(PT_DIFFERENTIATION_TER,MATCH(B42,PT_DIFFERENTIATION_TER_ID,0))</f>
        <v/>
      </c>
      <c r="AD42" s="2244"/>
      <c r="AE42" s="2244"/>
      <c r="AF42" s="2244"/>
      <c r="AG42" s="2244"/>
      <c r="AH42" s="2244"/>
      <c r="AI42" s="2244"/>
      <c r="AJ42" s="2245"/>
      <c r="AK42" s="1259" t="s">
        <v>528</v>
      </c>
      <c r="AM42" s="501"/>
      <c r="AN42" s="501" t="str">
        <f>IF(T42="","",T42)</f>
        <v>Территория действия тарифа</v>
      </c>
      <c r="AO42" s="501"/>
      <c r="AP42" s="501"/>
      <c r="AQ42" s="1156">
        <v>23</v>
      </c>
    </row>
    <row customHeight="1" ht="24">
      <c r="A43" s="1364" t="s">
        <v>356</v>
      </c>
      <c r="B43" s="1364" t="s">
        <v>357</v>
      </c>
      <c r="C43" s="1364" t="s">
        <v>358</v>
      </c>
      <c r="D43" s="1364"/>
      <c r="E43" s="2260"/>
      <c r="F43" s="2260"/>
      <c r="G43" s="2259">
        <v>1</v>
      </c>
      <c r="H43" s="1364"/>
      <c r="I43" s="1364"/>
      <c r="J43" s="1364"/>
      <c r="K43" s="1364"/>
      <c r="L43" s="1365"/>
      <c r="M43" s="1366"/>
      <c r="N43" s="1366"/>
      <c r="O43" s="1366"/>
      <c r="P43" s="355"/>
      <c r="Q43" s="353"/>
      <c r="R43" s="354"/>
      <c r="S43" s="1359" t="str">
        <f>INDEX(PT_DIFFERENTIATION_NUM_CS,MATCH(C43,PT_DIFFERENTIATION_CS_ID,0))</f>
        <v>..</v>
      </c>
      <c r="T43" s="310" t="s">
        <v>612</v>
      </c>
      <c r="U43" s="301"/>
      <c r="V43" s="2243"/>
      <c r="W43" s="2244"/>
      <c r="X43" s="2244"/>
      <c r="Y43" s="2244"/>
      <c r="Z43" s="2244"/>
      <c r="AA43" s="2244"/>
      <c r="AB43" s="2245"/>
      <c r="AC43" s="2243" t="str">
        <f>INDEX(PT_DIFFERENTIATION_CS,MATCH(C43,PT_DIFFERENTIATION_CS_ID,0))</f>
        <v/>
      </c>
      <c r="AD43" s="2244"/>
      <c r="AE43" s="2244"/>
      <c r="AF43" s="2244"/>
      <c r="AG43" s="2244"/>
      <c r="AH43" s="2244"/>
      <c r="AI43" s="2244"/>
      <c r="AJ43" s="2245"/>
      <c r="AK43" s="1259" t="s">
        <v>613</v>
      </c>
      <c r="AM43" s="501"/>
      <c r="AN43" s="501" t="str">
        <f>IF(T43="","",T43)</f>
        <v>Наименование централизованной системы холодного водоснабжения</v>
      </c>
      <c r="AO43" s="501"/>
      <c r="AP43" s="501"/>
      <c r="AQ43" s="1156">
        <v>23</v>
      </c>
    </row>
    <row customHeight="1" ht="24">
      <c r="A44" s="1364" t="s">
        <v>356</v>
      </c>
      <c r="B44" s="1364" t="s">
        <v>357</v>
      </c>
      <c r="C44" s="1364" t="s">
        <v>358</v>
      </c>
      <c r="D44" s="1364" t="s">
        <v>626</v>
      </c>
      <c r="E44" s="2260"/>
      <c r="F44" s="2260"/>
      <c r="G44" s="2260"/>
      <c r="H44" s="2260"/>
      <c r="I44" s="2257" t="str">
        <f>S43&amp;".1"</f>
        <v>...1</v>
      </c>
      <c r="J44" s="1364"/>
      <c r="K44" s="1364"/>
      <c r="L44" s="1365"/>
      <c r="P44" s="2258">
        <v>1</v>
      </c>
      <c r="Q44" s="1355"/>
      <c r="R44" s="357"/>
      <c r="S44" s="1359" t="str">
        <f>$I44</f>
        <v>...1</v>
      </c>
      <c r="T44" s="286" t="s">
        <v>614</v>
      </c>
      <c r="U44" s="301"/>
      <c r="V44" s="2351"/>
      <c r="W44" s="2352"/>
      <c r="X44" s="2352"/>
      <c r="Y44" s="2352"/>
      <c r="Z44" s="2352"/>
      <c r="AA44" s="2352"/>
      <c r="AB44" s="2353"/>
      <c r="AC44" s="2354"/>
      <c r="AD44" s="2355"/>
      <c r="AE44" s="2355"/>
      <c r="AF44" s="2355"/>
      <c r="AG44" s="2355"/>
      <c r="AH44" s="2355"/>
      <c r="AI44" s="2355"/>
      <c r="AJ44" s="2356"/>
      <c r="AK44" s="1259" t="s">
        <v>615</v>
      </c>
      <c r="AM44" s="501"/>
      <c r="AN44" s="501" t="str">
        <f>IF(T44="","",T44)</f>
        <v>Наименование признака дифференциации</v>
      </c>
      <c r="AO44" s="501"/>
      <c r="AP44" s="501"/>
      <c r="AQ44" s="1156">
        <v>23</v>
      </c>
    </row>
    <row customHeight="1" ht="24">
      <c r="A45" s="1364" t="s">
        <v>356</v>
      </c>
      <c r="B45" s="1364" t="s">
        <v>357</v>
      </c>
      <c r="C45" s="1364" t="s">
        <v>358</v>
      </c>
      <c r="D45" s="1364" t="s">
        <v>626</v>
      </c>
      <c r="E45" s="2260"/>
      <c r="F45" s="2260"/>
      <c r="G45" s="2260"/>
      <c r="H45" s="2260"/>
      <c r="I45" s="2287"/>
      <c r="J45" s="2257" t="str">
        <f>I44&amp;".1"</f>
        <v>...1.1</v>
      </c>
      <c r="K45" s="1364"/>
      <c r="L45" s="1365" t="s">
        <v>536</v>
      </c>
      <c r="P45" s="2258"/>
      <c r="Q45" s="2258">
        <v>1</v>
      </c>
      <c r="R45" s="358"/>
      <c r="S45" s="1359" t="str">
        <f>$J45</f>
        <v>...1.1</v>
      </c>
      <c r="T45" s="287" t="s">
        <v>537</v>
      </c>
      <c r="U45" s="301"/>
      <c r="V45" s="2246"/>
      <c r="W45" s="2247"/>
      <c r="X45" s="2247"/>
      <c r="Y45" s="2247"/>
      <c r="Z45" s="2247"/>
      <c r="AA45" s="2247"/>
      <c r="AB45" s="2248"/>
      <c r="AC45" s="2246"/>
      <c r="AD45" s="2247"/>
      <c r="AE45" s="2247"/>
      <c r="AF45" s="2247"/>
      <c r="AG45" s="2247"/>
      <c r="AH45" s="2247"/>
      <c r="AI45" s="2247"/>
      <c r="AJ45" s="2248"/>
      <c r="AK45" s="1308" t="s">
        <v>616</v>
      </c>
      <c r="AM45" s="501"/>
      <c r="AN45" s="501" t="str">
        <f>IF(T45="","",T45)</f>
        <v>Группа потребителей</v>
      </c>
      <c r="AO45" s="501"/>
      <c r="AP45" s="501"/>
      <c r="AQ45" s="1156">
        <v>23</v>
      </c>
    </row>
    <row customHeight="1" ht="24">
      <c r="A46" s="1364" t="s">
        <v>356</v>
      </c>
      <c r="B46" s="1364" t="s">
        <v>357</v>
      </c>
      <c r="C46" s="1364" t="s">
        <v>358</v>
      </c>
      <c r="D46" s="1364" t="s">
        <v>626</v>
      </c>
      <c r="E46" s="2260"/>
      <c r="F46" s="2260"/>
      <c r="G46" s="2260"/>
      <c r="H46" s="2260"/>
      <c r="I46" s="2287"/>
      <c r="J46" s="2287"/>
      <c r="K46" s="2257" t="str">
        <f>J45&amp;".1"</f>
        <v>...1.1.1</v>
      </c>
      <c r="L46" s="1365"/>
      <c r="P46" s="2258"/>
      <c r="Q46" s="2258"/>
      <c r="R46" s="358">
        <v>1</v>
      </c>
      <c r="S46" s="1359" t="str">
        <f>$K46</f>
        <v>...1.1.1</v>
      </c>
      <c r="T46" s="1438"/>
      <c r="U46" s="301"/>
      <c r="V46" s="1361"/>
      <c r="W46" s="1361"/>
      <c r="X46" s="1362"/>
      <c r="Y46" s="2268"/>
      <c r="Z46" s="2269" t="s">
        <v>65</v>
      </c>
      <c r="AA46" s="2268"/>
      <c r="AB46" s="2269" t="s">
        <v>65</v>
      </c>
      <c r="AC46" s="752"/>
      <c r="AD46" s="752"/>
      <c r="AE46" s="1258"/>
      <c r="AF46" s="2266"/>
      <c r="AG46" s="2108" t="s">
        <v>65</v>
      </c>
      <c r="AH46" s="2288"/>
      <c r="AI46" s="2108" t="s">
        <v>19</v>
      </c>
      <c r="AJ46" s="1439"/>
      <c r="AK46" s="2350"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2">
        <f>STRCHECKDATE(V47:AJ47)</f>
      </c>
      <c r="AM46" s="501"/>
      <c r="AN46" s="501" t="str">
        <f>IF(T46="","",T46)</f>
        <v/>
      </c>
      <c r="AO46" s="501"/>
      <c r="AP46" s="501"/>
      <c r="AQ46" s="1156">
        <v>23</v>
      </c>
    </row>
    <row customHeight="1" ht="0">
      <c r="A47" s="1364" t="s">
        <v>356</v>
      </c>
      <c r="B47" s="1364" t="s">
        <v>357</v>
      </c>
      <c r="C47" s="1364" t="s">
        <v>358</v>
      </c>
      <c r="D47" s="1364" t="s">
        <v>626</v>
      </c>
      <c r="E47" s="2260"/>
      <c r="F47" s="2260"/>
      <c r="G47" s="2260"/>
      <c r="H47" s="2260"/>
      <c r="I47" s="2287"/>
      <c r="J47" s="2287"/>
      <c r="K47" s="2257"/>
      <c r="L47" s="1365"/>
      <c r="P47" s="2258"/>
      <c r="Q47" s="2258"/>
      <c r="R47" s="358"/>
      <c r="S47" s="1360"/>
      <c r="T47" s="301"/>
      <c r="U47" s="301"/>
      <c r="V47" s="1361"/>
      <c r="W47" s="1361"/>
      <c r="X47" s="329" t="str">
        <f>Y46&amp;"-"&amp;AA46</f>
        <v>-</v>
      </c>
      <c r="Y47" s="2269"/>
      <c r="Z47" s="2269"/>
      <c r="AA47" s="2269"/>
      <c r="AB47" s="2269"/>
      <c r="AC47" s="326"/>
      <c r="AD47" s="326"/>
      <c r="AE47" s="329" t="str">
        <f>AF46&amp;"-"&amp;AH46</f>
        <v>-</v>
      </c>
      <c r="AF47" s="2267"/>
      <c r="AG47" s="2108"/>
      <c r="AH47" s="2289"/>
      <c r="AI47" s="2108"/>
      <c r="AJ47" s="1440"/>
      <c r="AK47" s="2350"/>
      <c r="AM47" s="501"/>
      <c r="AN47" s="501" t="str">
        <f>IF(T47="","",T47)</f>
        <v/>
      </c>
      <c r="AO47" s="501"/>
      <c r="AP47" s="501"/>
      <c r="AQ47" s="1156">
        <v>0</v>
      </c>
    </row>
    <row customHeight="1" ht="21">
      <c r="A48" s="1364" t="s">
        <v>356</v>
      </c>
      <c r="B48" s="1364" t="s">
        <v>357</v>
      </c>
      <c r="C48" s="1364" t="s">
        <v>358</v>
      </c>
      <c r="D48" s="1364" t="s">
        <v>626</v>
      </c>
      <c r="E48" s="2260"/>
      <c r="F48" s="2260"/>
      <c r="G48" s="2260"/>
      <c r="H48" s="2260"/>
      <c r="I48" s="2287"/>
      <c r="J48" s="2257"/>
      <c r="K48" s="1364"/>
      <c r="L48" s="1365"/>
      <c r="P48" s="2258"/>
      <c r="Q48" s="2258"/>
      <c r="R48" s="357"/>
      <c r="S48" s="1279"/>
      <c r="T48" s="288" t="s">
        <v>617</v>
      </c>
      <c r="U48" s="368"/>
      <c r="V48" s="368"/>
      <c r="W48" s="368"/>
      <c r="X48" s="368"/>
      <c r="Y48" s="368"/>
      <c r="Z48" s="368"/>
      <c r="AA48" s="368"/>
      <c r="AB48" s="368"/>
      <c r="AC48" s="368"/>
      <c r="AD48" s="368"/>
      <c r="AE48" s="368"/>
      <c r="AF48" s="368"/>
      <c r="AG48" s="368"/>
      <c r="AH48" s="368"/>
      <c r="AI48" s="368"/>
      <c r="AJ48" s="368"/>
      <c r="AK48" s="1259" t="s">
        <v>618</v>
      </c>
      <c r="AM48" s="501"/>
      <c r="AN48" s="501" t="str">
        <f>IF(T48="","",T48)</f>
        <v>Добавить значение признака дифференциации</v>
      </c>
      <c r="AO48" s="501"/>
      <c r="AP48" s="501"/>
      <c r="AQ48" s="1156">
        <v>20</v>
      </c>
    </row>
    <row customHeight="1" ht="22.049999999999997">
      <c r="A49" s="1364" t="s">
        <v>356</v>
      </c>
      <c r="B49" s="1364" t="s">
        <v>357</v>
      </c>
      <c r="C49" s="1364" t="s">
        <v>358</v>
      </c>
      <c r="D49" s="1364" t="s">
        <v>626</v>
      </c>
      <c r="E49" s="2260"/>
      <c r="F49" s="2260"/>
      <c r="G49" s="2260"/>
      <c r="H49" s="2260"/>
      <c r="I49" s="2257"/>
      <c r="J49" s="1364"/>
      <c r="K49" s="1364"/>
      <c r="L49" s="1365"/>
      <c r="P49" s="2258"/>
      <c r="Q49" s="1355"/>
      <c r="R49" s="357"/>
      <c r="S49" s="1279"/>
      <c r="T49" s="366" t="s">
        <v>542</v>
      </c>
      <c r="U49" s="368"/>
      <c r="V49" s="368"/>
      <c r="W49" s="368"/>
      <c r="X49" s="368"/>
      <c r="Y49" s="368"/>
      <c r="Z49" s="368"/>
      <c r="AA49" s="368"/>
      <c r="AB49" s="367"/>
      <c r="AC49" s="368"/>
      <c r="AD49" s="368"/>
      <c r="AE49" s="368"/>
      <c r="AF49" s="368"/>
      <c r="AG49" s="368"/>
      <c r="AH49" s="368"/>
      <c r="AI49" s="367"/>
      <c r="AJ49" s="368"/>
      <c r="AK49" s="1441"/>
      <c r="AM49" s="501"/>
      <c r="AN49" s="501" t="str">
        <f>IF(T49="","",T49)</f>
        <v>Добавить группу потребителей</v>
      </c>
      <c r="AO49" s="501"/>
      <c r="AP49" s="501"/>
      <c r="AQ49" s="1156">
        <v>21</v>
      </c>
    </row>
    <row customHeight="1" ht="22.049999999999997">
      <c r="A50" s="1364" t="s">
        <v>356</v>
      </c>
      <c r="B50" s="1364" t="s">
        <v>357</v>
      </c>
      <c r="C50" s="1364" t="s">
        <v>358</v>
      </c>
      <c r="D50" s="1364" t="s">
        <v>626</v>
      </c>
      <c r="E50" s="2260"/>
      <c r="F50" s="2260"/>
      <c r="G50" s="2260"/>
      <c r="H50" s="2259"/>
      <c r="I50" s="1364"/>
      <c r="J50" s="1364"/>
      <c r="K50" s="1364"/>
      <c r="L50" s="1365"/>
      <c r="M50" s="1366"/>
      <c r="N50" s="1366"/>
      <c r="O50" s="538"/>
      <c r="P50" s="361"/>
      <c r="Q50" s="376"/>
      <c r="R50" s="356"/>
      <c r="S50" s="1279"/>
      <c r="T50" s="373" t="s">
        <v>619</v>
      </c>
      <c r="U50" s="368"/>
      <c r="V50" s="368"/>
      <c r="W50" s="368"/>
      <c r="X50" s="368"/>
      <c r="Y50" s="368"/>
      <c r="Z50" s="368"/>
      <c r="AA50" s="368"/>
      <c r="AB50" s="367"/>
      <c r="AC50" s="368"/>
      <c r="AD50" s="368"/>
      <c r="AE50" s="368"/>
      <c r="AF50" s="368"/>
      <c r="AG50" s="368"/>
      <c r="AH50" s="368"/>
      <c r="AI50" s="367"/>
      <c r="AJ50" s="368"/>
      <c r="AK50" s="304"/>
      <c r="AM50" s="501"/>
      <c r="AN50" s="501" t="str">
        <f>IF(T50="","",T50)</f>
        <v>Добавить наименование признака дифференциации</v>
      </c>
      <c r="AO50" s="501"/>
      <c r="AP50" s="501"/>
      <c r="AQ50" s="1156">
        <v>21</v>
      </c>
    </row>
    <row s="1643" customFormat="1" customHeight="1" ht="0">
      <c r="A51" s="1344" t="s">
        <v>356</v>
      </c>
      <c r="B51" s="1344" t="s">
        <v>357</v>
      </c>
      <c r="C51" s="1315"/>
      <c r="D51" s="1315"/>
      <c r="E51" s="2260"/>
      <c r="F51" s="2259"/>
      <c r="G51" s="1315"/>
      <c r="H51" s="1315"/>
      <c r="I51" s="1315"/>
      <c r="J51" s="1315"/>
      <c r="K51" s="1315"/>
      <c r="L51" s="1427"/>
      <c r="M51" s="1322"/>
      <c r="N51" s="1322"/>
      <c r="P51" s="1317"/>
      <c r="Q51" s="1318"/>
      <c r="R51" s="1317"/>
      <c r="S51" s="1323"/>
      <c r="T51" s="1326" t="s">
        <v>178</v>
      </c>
      <c r="U51" s="1325"/>
      <c r="V51" s="1325"/>
      <c r="W51" s="1325"/>
      <c r="X51" s="1325"/>
      <c r="Y51" s="1325"/>
      <c r="Z51" s="1325"/>
      <c r="AA51" s="1325"/>
      <c r="AB51" s="1325"/>
      <c r="AC51" s="1325"/>
      <c r="AD51" s="1325"/>
      <c r="AE51" s="1325"/>
      <c r="AF51" s="1325"/>
      <c r="AG51" s="1325"/>
      <c r="AH51" s="1325"/>
      <c r="AI51" s="1325"/>
      <c r="AJ51" s="1325"/>
      <c r="AK51" s="1325"/>
      <c r="AM51" s="790"/>
      <c r="AN51" s="790" t="str">
        <f>IF(T51="","",T51)</f>
        <v>Добавить централизованную систему для дифференциации</v>
      </c>
      <c r="AO51" s="790"/>
      <c r="AP51" s="790"/>
      <c r="AQ51" s="519">
        <v>0</v>
      </c>
    </row>
    <row s="1643" customFormat="1" customHeight="1" ht="0">
      <c r="A52" s="1344" t="s">
        <v>356</v>
      </c>
      <c r="B52" s="1344"/>
      <c r="C52" s="1344"/>
      <c r="D52" s="1344"/>
      <c r="E52" s="2259"/>
      <c r="F52" s="1344"/>
      <c r="G52" s="1344"/>
      <c r="H52" s="1344"/>
      <c r="I52" s="1344"/>
      <c r="J52" s="1344"/>
      <c r="K52" s="1344"/>
      <c r="L52" s="1347"/>
      <c r="M52" s="1322"/>
      <c r="N52" s="1322"/>
      <c r="O52" s="519"/>
      <c r="P52" s="381"/>
      <c r="Q52" s="1345"/>
      <c r="R52" s="381"/>
      <c r="S52" s="1323"/>
      <c r="T52" s="1326" t="s">
        <v>183</v>
      </c>
      <c r="U52" s="1325"/>
      <c r="V52" s="1325"/>
      <c r="W52" s="1325"/>
      <c r="X52" s="1325"/>
      <c r="Y52" s="1325"/>
      <c r="Z52" s="1325"/>
      <c r="AA52" s="1325"/>
      <c r="AB52" s="1325"/>
      <c r="AC52" s="1325"/>
      <c r="AD52" s="1325"/>
      <c r="AE52" s="1325"/>
      <c r="AF52" s="1325"/>
      <c r="AG52" s="1325"/>
      <c r="AH52" s="1325"/>
      <c r="AI52" s="1325"/>
      <c r="AJ52" s="1325"/>
      <c r="AK52" s="1325"/>
      <c r="AM52" s="501"/>
      <c r="AN52" s="501" t="str">
        <f>IF(T52="","",T52)</f>
        <v>Добавить территорию для дифференциации</v>
      </c>
      <c r="AO52" s="501"/>
      <c r="AP52" s="501"/>
      <c r="AQ52" s="512">
        <v>0</v>
      </c>
    </row>
    <row s="1643" customFormat="1" customHeight="1" ht="0">
      <c r="A53" s="1315"/>
      <c r="B53" s="1315"/>
      <c r="C53" s="1315"/>
      <c r="D53" s="1315"/>
      <c r="E53" s="1344"/>
      <c r="F53" s="1315"/>
      <c r="G53" s="1315"/>
      <c r="H53" s="1315"/>
      <c r="I53" s="1315"/>
      <c r="J53" s="1315"/>
      <c r="K53" s="1315"/>
      <c r="L53" s="1427"/>
      <c r="M53" s="1322"/>
      <c r="N53" s="1322"/>
      <c r="P53" s="1317"/>
      <c r="Q53" s="1318"/>
      <c r="R53" s="1317"/>
      <c r="S53" s="1323"/>
      <c r="T53" s="1326" t="s">
        <v>222</v>
      </c>
      <c r="U53" s="1325"/>
      <c r="V53" s="1325"/>
      <c r="W53" s="1325"/>
      <c r="X53" s="1325"/>
      <c r="Y53" s="1325"/>
      <c r="Z53" s="1325"/>
      <c r="AA53" s="1325"/>
      <c r="AB53" s="1325"/>
      <c r="AC53" s="1325"/>
      <c r="AD53" s="1325"/>
      <c r="AE53" s="1325"/>
      <c r="AF53" s="1325"/>
      <c r="AG53" s="1325"/>
      <c r="AH53" s="1325"/>
      <c r="AI53" s="1325"/>
      <c r="AJ53" s="1325"/>
      <c r="AK53" s="1325"/>
      <c r="AM53" s="790"/>
      <c r="AN53" s="790" t="str">
        <f>IF(T53="","",T53)</f>
        <v>Добавить наименование тарифа</v>
      </c>
      <c r="AO53" s="790"/>
      <c r="AP53" s="790"/>
      <c r="AQ53" s="519">
        <v>0</v>
      </c>
    </row>
    <row customHeight="1" ht="11.549999999999999">
      <c r="M54" s="1161"/>
      <c r="N54" s="1161"/>
      <c r="O54" s="538"/>
      <c r="P54" s="1156"/>
      <c r="Q54" s="1156"/>
      <c r="R54" s="1156"/>
      <c r="S54" s="1156"/>
      <c r="AL54" s="1156"/>
      <c r="AM54" s="1156"/>
      <c r="AN54" s="1156"/>
      <c r="AO54" s="1156"/>
      <c r="AP54" s="1156"/>
      <c r="AQ54" s="1156">
        <v>11</v>
      </c>
    </row>
    <row customHeight="1" ht="14.699999999999998">
      <c r="O55" s="538"/>
      <c r="S55" s="1254"/>
      <c r="T55" s="2286"/>
      <c r="U55" s="2286"/>
      <c r="V55" s="2286"/>
      <c r="W55" s="2286"/>
      <c r="X55" s="2286"/>
      <c r="Y55" s="2286"/>
      <c r="Z55" s="2286"/>
      <c r="AA55" s="2286"/>
      <c r="AB55" s="2286"/>
      <c r="AC55" s="2286"/>
      <c r="AD55" s="2286"/>
      <c r="AE55" s="2286"/>
      <c r="AF55" s="2286"/>
      <c r="AG55" s="2286"/>
      <c r="AH55" s="2286"/>
      <c r="AI55" s="2286"/>
      <c r="AJ55" s="2286"/>
      <c r="AK55" s="2286"/>
      <c r="AQ55" s="1156">
        <v>14</v>
      </c>
    </row>
    <row customHeight="1" ht="14.699999999999998">
      <c r="O56" s="538"/>
      <c r="AQ56" s="1156">
        <v>14</v>
      </c>
    </row>
    <row customHeight="1" ht="14.699999999999998">
      <c r="O57" s="538"/>
      <c r="S57" s="1254"/>
      <c r="T57" s="2286"/>
      <c r="U57" s="2286"/>
      <c r="V57" s="2286"/>
      <c r="W57" s="2286"/>
      <c r="X57" s="2286"/>
      <c r="Y57" s="2286"/>
      <c r="Z57" s="2286"/>
      <c r="AA57" s="2286"/>
      <c r="AB57" s="2286"/>
      <c r="AC57" s="2286"/>
      <c r="AD57" s="2286"/>
      <c r="AE57" s="2286"/>
      <c r="AF57" s="2286"/>
      <c r="AG57" s="2286"/>
      <c r="AH57" s="2286"/>
      <c r="AI57" s="2286"/>
      <c r="AJ57" s="2286"/>
      <c r="AK57" s="2286"/>
      <c r="AQ57" s="1156">
        <v>14</v>
      </c>
    </row>
    <row customHeight="1" ht="22.5" hidden="1">
      <c r="A58" s="1161" t="s">
        <v>86</v>
      </c>
      <c r="B58" s="1161">
        <v>0</v>
      </c>
      <c r="C58" s="1161">
        <v>0</v>
      </c>
      <c r="D58" s="1161">
        <v>0</v>
      </c>
      <c r="E58" s="1161">
        <v>0</v>
      </c>
      <c r="F58" s="1161">
        <v>0</v>
      </c>
      <c r="G58" s="1161">
        <v>0</v>
      </c>
      <c r="H58" s="1161">
        <v>0</v>
      </c>
      <c r="I58" s="1161">
        <v>0</v>
      </c>
      <c r="J58" s="1161">
        <v>0</v>
      </c>
      <c r="K58" s="1161">
        <v>0</v>
      </c>
      <c r="L58" s="1422">
        <v>0</v>
      </c>
      <c r="M58" s="1363">
        <v>0</v>
      </c>
      <c r="N58" s="1363">
        <v>0</v>
      </c>
      <c r="O58" s="1363">
        <v>0</v>
      </c>
      <c r="P58" s="1352">
        <v>3</v>
      </c>
      <c r="Q58" s="345">
        <v>3</v>
      </c>
      <c r="R58" s="345">
        <v>3</v>
      </c>
      <c r="S58" s="582">
        <v>12</v>
      </c>
      <c r="T58" s="1156">
        <v>35</v>
      </c>
      <c r="U58" s="1156">
        <v>0</v>
      </c>
      <c r="V58" s="1156">
        <v>0</v>
      </c>
      <c r="W58" s="1156">
        <v>0</v>
      </c>
      <c r="X58" s="1156">
        <v>0</v>
      </c>
      <c r="Y58" s="1156">
        <v>0</v>
      </c>
      <c r="Z58" s="1156">
        <v>0</v>
      </c>
      <c r="AA58" s="1156">
        <v>0</v>
      </c>
      <c r="AB58" s="1156">
        <v>0</v>
      </c>
      <c r="AC58" s="1156">
        <v>24</v>
      </c>
      <c r="AD58" s="1156">
        <v>24</v>
      </c>
      <c r="AE58" s="1156">
        <v>24</v>
      </c>
      <c r="AF58" s="1156">
        <v>11</v>
      </c>
      <c r="AG58" s="1156">
        <v>3</v>
      </c>
      <c r="AH58" s="1156">
        <v>11</v>
      </c>
      <c r="AI58" s="1156">
        <v>0</v>
      </c>
      <c r="AJ58" s="1156">
        <v>4</v>
      </c>
      <c r="AK58" s="1156">
        <v>115</v>
      </c>
      <c r="AL58" s="512">
        <v>10</v>
      </c>
      <c r="AM58" s="512">
        <v>10</v>
      </c>
      <c r="AN58" s="512">
        <v>10</v>
      </c>
      <c r="AO58" s="512">
        <v>10</v>
      </c>
      <c r="AP58" s="512">
        <v>10</v>
      </c>
      <c r="AQ58" s="1156">
        <v>23</v>
      </c>
    </row>
  </sheetData>
  <sheetProtection formatColumns="0" formatRows="0" autoFilter="0" sort="0" insertRows="0" insertColumns="1" deleteRows="0" deleteColumns="0"/>
  <mergeCells count="101">
    <mergeCell ref="E2:E13"/>
    <mergeCell ref="V2:AB2"/>
    <mergeCell ref="AC2:AJ2"/>
    <mergeCell ref="F3:F12"/>
    <mergeCell ref="V3:AB3"/>
    <mergeCell ref="AC3:AJ3"/>
    <mergeCell ref="G4:G11"/>
    <mergeCell ref="V4:AB4"/>
    <mergeCell ref="AC4:AJ4"/>
    <mergeCell ref="H5:H11"/>
    <mergeCell ref="AI7:AI8"/>
    <mergeCell ref="K7:K8"/>
    <mergeCell ref="Y7:Y8"/>
    <mergeCell ref="Z7:Z8"/>
    <mergeCell ref="AA7:AA8"/>
    <mergeCell ref="AB7:AB8"/>
    <mergeCell ref="I5:I10"/>
    <mergeCell ref="P5:P10"/>
    <mergeCell ref="V5:AB5"/>
    <mergeCell ref="AC5:AJ5"/>
    <mergeCell ref="J6:J9"/>
    <mergeCell ref="Q6:Q9"/>
    <mergeCell ref="V6:AB6"/>
    <mergeCell ref="AC6:AJ6"/>
    <mergeCell ref="AK7:AK8"/>
    <mergeCell ref="S24:AH24"/>
    <mergeCell ref="S25:AH25"/>
    <mergeCell ref="S27:T27"/>
    <mergeCell ref="V27:AA27"/>
    <mergeCell ref="AC27:AH27"/>
    <mergeCell ref="S28:T28"/>
    <mergeCell ref="V28:AA28"/>
    <mergeCell ref="AC28:AH28"/>
    <mergeCell ref="AG7:AG8"/>
    <mergeCell ref="AH7:AH8"/>
    <mergeCell ref="AF15:AF16"/>
    <mergeCell ref="AG15:AG16"/>
    <mergeCell ref="AH15:AH16"/>
    <mergeCell ref="AI15:AI16"/>
    <mergeCell ref="AF7:AF8"/>
    <mergeCell ref="AC29:AH29"/>
    <mergeCell ref="S30:T30"/>
    <mergeCell ref="V30:AA30"/>
    <mergeCell ref="AC30:AH30"/>
    <mergeCell ref="V35:AB35"/>
    <mergeCell ref="AC35:AI35"/>
    <mergeCell ref="S36:AJ36"/>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S29:T29"/>
    <mergeCell ref="V29:AA29"/>
    <mergeCell ref="AJ37:AJ39"/>
    <mergeCell ref="W38:X38"/>
    <mergeCell ref="E41:E52"/>
    <mergeCell ref="V41:AB41"/>
    <mergeCell ref="AC41:AJ41"/>
    <mergeCell ref="F42:F51"/>
    <mergeCell ref="V42:AB42"/>
    <mergeCell ref="AC42:AJ42"/>
    <mergeCell ref="G43:G50"/>
    <mergeCell ref="Y38:AA38"/>
    <mergeCell ref="AD38:AE38"/>
    <mergeCell ref="AF38:AH38"/>
    <mergeCell ref="Z39:AA39"/>
    <mergeCell ref="H44:H50"/>
    <mergeCell ref="I44:I49"/>
    <mergeCell ref="P44:P49"/>
    <mergeCell ref="V44:AB44"/>
    <mergeCell ref="AC44:AJ44"/>
    <mergeCell ref="J45:J48"/>
    <mergeCell ref="AG39:AH39"/>
    <mergeCell ref="Z40:AA40"/>
    <mergeCell ref="AG40:AH40"/>
    <mergeCell ref="K46:K47"/>
    <mergeCell ref="Y46:Y47"/>
    <mergeCell ref="V43:AB43"/>
    <mergeCell ref="AC43:AJ43"/>
    <mergeCell ref="T55:AK55"/>
    <mergeCell ref="T57:AK57"/>
    <mergeCell ref="Q45:Q48"/>
    <mergeCell ref="V45:AB45"/>
    <mergeCell ref="AC45:AJ45"/>
    <mergeCell ref="Z46:Z47"/>
    <mergeCell ref="AA46:AA47"/>
    <mergeCell ref="AB46:AB47"/>
    <mergeCell ref="AF46:AF47"/>
    <mergeCell ref="AG46:AG47"/>
    <mergeCell ref="AK46:AK47"/>
    <mergeCell ref="AH46:AH47"/>
    <mergeCell ref="AI46:AI47"/>
  </mergeCells>
  <dataValidations count="8">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524330 AI196650 AI589866 AI655402 AI15 AI720938 AI786474 AI852010 AI917546 AI983082 AI65578 AI131114 AI458794 AI262186 AI7 AG46 AI327722 AG15 AG7 Z7 AB7 AI393258 AI46 Z46 AB46"/>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AH7 AF7 Y7 AA7 Y46 AA46"/>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5:AJ5 AC44:AJ44">
      <formula1>900</formula1>
    </dataValidation>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AE47 AE8 X8 X47"/>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2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102DE43-CD95-382D-B758-BB66492D8EDE}" mc:Ignorable="x14ac xr xr2 xr3">
  <sheetPr>
    <tabColor theme="6" tint="0.4"/>
  </sheetPr>
  <dimension ref="A1:AQ58"/>
  <sheetViews>
    <sheetView showGridLines="0" zoomScale="90" workbookViewId="0">
      <pane xSplit="28" ySplit="40" topLeftCell="AC41" activePane="bottomRight" state="frozen"/>
      <selection pane="bottomLeft" activeCell="A41" sqref="A41"/>
      <selection pane="topRight" activeCell="AC1" sqref="AC1"/>
      <selection pane="bottomRight" activeCell="A1" sqref="A1"/>
    </sheetView>
  </sheetViews>
  <sheetFormatPr defaultColWidth="10.57421875" customHeight="1" defaultRowHeight="14.25"/>
  <cols>
    <col min="1" max="1" style="1367" width="10.57421875" hidden="1"/>
    <col min="2" max="2" style="1367" width="11.00390625" hidden="1" customWidth="1"/>
    <col min="3" max="3" style="1367" width="10.57421875" hidden="1"/>
    <col min="4" max="4" style="1367" width="11.8515625" hidden="1" customWidth="1"/>
    <col min="5" max="5" style="1367" width="10.00390625" hidden="1" customWidth="1"/>
    <col min="6" max="6" style="1367" width="8.7109375" hidden="1" customWidth="1"/>
    <col min="7" max="7" style="1367" width="7.57421875" hidden="1" customWidth="1"/>
    <col min="8" max="8" style="1367" width="11.421875" hidden="1" customWidth="1"/>
    <col min="9" max="9" style="1367" width="14.140625" hidden="1" customWidth="1"/>
    <col min="10" max="10" style="1367" width="9.8515625" hidden="1" customWidth="1"/>
    <col min="11" max="11" style="1367" width="14.7109375" hidden="1" customWidth="1"/>
    <col min="12" max="12" style="2608" width="19.140625" hidden="1" customWidth="1"/>
    <col min="13" max="14" style="1777" width="12.28125" hidden="1" customWidth="1"/>
    <col min="15" max="15" style="1777" width="23.421875" hidden="1" customWidth="1"/>
    <col min="16" max="16" style="2398" width="3.00390625" customWidth="1"/>
    <col min="17" max="18" style="345" width="3.00390625" customWidth="1"/>
    <col min="19" max="19" style="2408" width="12.00390625" customWidth="1"/>
    <col min="20" max="20" style="1636" width="35.00390625" customWidth="1"/>
    <col min="21" max="21" style="1636" width="0.140625" customWidth="1"/>
    <col min="22" max="24" style="1636" width="24.7109375" hidden="1" customWidth="1"/>
    <col min="25" max="25" style="1636" width="11.7109375" hidden="1" customWidth="1"/>
    <col min="26" max="26" style="1636" width="3.7109375" hidden="1" customWidth="1"/>
    <col min="27" max="27" style="1636" width="11.7109375" hidden="1" customWidth="1"/>
    <col min="28" max="28" style="1636" width="8.57421875" hidden="1" customWidth="1"/>
    <col min="29" max="29" style="1636" width="24.7109375" customWidth="1"/>
    <col min="30" max="31" style="1636" width="24.00390625" customWidth="1"/>
    <col min="32" max="32" style="1636" width="11.00390625" customWidth="1"/>
    <col min="33" max="33" style="1636" width="3.7109375" customWidth="1"/>
    <col min="34" max="34" style="1636" width="11.00390625" customWidth="1"/>
    <col min="35" max="35" style="1636" width="8.57421875" hidden="1" customWidth="1"/>
    <col min="36" max="36" style="1636" width="4.00390625" customWidth="1"/>
    <col min="37" max="37" style="1636" width="115.00390625" customWidth="1"/>
    <col min="38" max="42" style="1643" width="10.00390625" customWidth="1"/>
    <col min="43" max="43" style="1636" width="10.57421875" hidden="1"/>
  </cols>
  <sheetData>
    <row customHeight="1" ht="22.5" hidden="1">
      <c r="X1" s="328"/>
      <c r="Y1" s="328"/>
      <c r="AE1" s="328"/>
      <c r="AF1" s="328"/>
      <c r="AQ1" s="1156" t="s">
        <v>14</v>
      </c>
    </row>
    <row customHeight="1" ht="23.25" hidden="1">
      <c r="A2" s="1364"/>
      <c r="B2" s="1364"/>
      <c r="C2" s="1364"/>
      <c r="D2" s="1364"/>
      <c r="E2" s="2259">
        <v>1</v>
      </c>
      <c r="F2" s="1364"/>
      <c r="G2" s="1364"/>
      <c r="H2" s="1364"/>
      <c r="I2" s="1364"/>
      <c r="J2" s="1364"/>
      <c r="K2" s="1364"/>
      <c r="L2" s="1365"/>
      <c r="M2" s="1366"/>
      <c r="N2" s="1366"/>
      <c r="O2" s="1366"/>
      <c r="P2" s="362"/>
      <c r="Q2" s="361"/>
      <c r="R2" s="356"/>
      <c r="S2" s="1458">
        <f>INDEX(PT_DIFFERENTIATION_NUM_NTAR,MATCH(A2,PT_DIFFERENTIATION_NTAR_ID,0))</f>
      </c>
      <c r="T2" s="299" t="s">
        <v>136</v>
      </c>
      <c r="U2" s="301"/>
      <c r="V2" s="2243"/>
      <c r="W2" s="2244"/>
      <c r="X2" s="2244"/>
      <c r="Y2" s="2244"/>
      <c r="Z2" s="2244"/>
      <c r="AA2" s="2244"/>
      <c r="AB2" s="2245"/>
      <c r="AC2" s="2243">
        <f>INDEX(PT_DIFFERENTIATION_NTAR,MATCH(A2,PT_DIFFERENTIATION_NTAR_ID,0))</f>
      </c>
      <c r="AD2" s="2244"/>
      <c r="AE2" s="2244"/>
      <c r="AF2" s="2244"/>
      <c r="AG2" s="2244"/>
      <c r="AH2" s="2244"/>
      <c r="AI2" s="2244"/>
      <c r="AJ2" s="2245"/>
      <c r="AK2" s="125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AM2" s="501"/>
      <c r="AN2" s="501" t="str">
        <f>IF(T2="","",T2)</f>
        <v>Наименование тарифа</v>
      </c>
      <c r="AO2" s="501"/>
      <c r="AP2" s="501"/>
      <c r="AQ2" s="1156">
        <v>0</v>
      </c>
    </row>
    <row customHeight="1" ht="23.25" hidden="1">
      <c r="A3" s="1364"/>
      <c r="B3" s="1364"/>
      <c r="C3" s="1364"/>
      <c r="D3" s="1364"/>
      <c r="E3" s="2260"/>
      <c r="F3" s="2259">
        <v>1</v>
      </c>
      <c r="G3" s="1364"/>
      <c r="H3" s="1364"/>
      <c r="I3" s="1364"/>
      <c r="J3" s="1364"/>
      <c r="K3" s="1364"/>
      <c r="L3" s="1365"/>
      <c r="M3" s="1366"/>
      <c r="N3" s="1366"/>
      <c r="O3" s="1366"/>
      <c r="P3" s="1454"/>
      <c r="Q3" s="353"/>
      <c r="R3" s="354"/>
      <c r="S3" s="1458">
        <f>INDEX(PT_DIFFERENTIATION_NUM_TER,MATCH(B3,PT_DIFFERENTIATION_TER_ID,0))</f>
      </c>
      <c r="T3" s="309" t="s">
        <v>527</v>
      </c>
      <c r="U3" s="301"/>
      <c r="V3" s="2243"/>
      <c r="W3" s="2244"/>
      <c r="X3" s="2244"/>
      <c r="Y3" s="2244"/>
      <c r="Z3" s="2244"/>
      <c r="AA3" s="2244"/>
      <c r="AB3" s="2245"/>
      <c r="AC3" s="2243">
        <f>INDEX(PT_DIFFERENTIATION_TER,MATCH(B3,PT_DIFFERENTIATION_TER_ID,0))</f>
      </c>
      <c r="AD3" s="2244"/>
      <c r="AE3" s="2244"/>
      <c r="AF3" s="2244"/>
      <c r="AG3" s="2244"/>
      <c r="AH3" s="2244"/>
      <c r="AI3" s="2244"/>
      <c r="AJ3" s="2245"/>
      <c r="AK3" s="1259" t="s">
        <v>528</v>
      </c>
      <c r="AM3" s="501"/>
      <c r="AN3" s="501" t="str">
        <f>IF(T3="","",T3)</f>
        <v>Территория действия тарифа</v>
      </c>
      <c r="AO3" s="501"/>
      <c r="AP3" s="501"/>
      <c r="AQ3" s="1156">
        <v>0</v>
      </c>
    </row>
    <row customHeight="1" ht="23.25" hidden="1">
      <c r="A4" s="1364"/>
      <c r="B4" s="1364"/>
      <c r="C4" s="1364"/>
      <c r="D4" s="1364"/>
      <c r="E4" s="2260"/>
      <c r="F4" s="2260"/>
      <c r="G4" s="2259">
        <v>1</v>
      </c>
      <c r="H4" s="1364"/>
      <c r="I4" s="1364"/>
      <c r="J4" s="1364"/>
      <c r="K4" s="1364"/>
      <c r="L4" s="1365"/>
      <c r="M4" s="1366"/>
      <c r="N4" s="1366"/>
      <c r="O4" s="1366"/>
      <c r="P4" s="355"/>
      <c r="Q4" s="353"/>
      <c r="R4" s="354"/>
      <c r="S4" s="1458">
        <f>INDEX(PT_DIFFERENTIATION_NUM_CS,MATCH(C4,PT_DIFFERENTIATION_CS_ID,0))</f>
      </c>
      <c r="T4" s="310" t="s">
        <v>612</v>
      </c>
      <c r="U4" s="301"/>
      <c r="V4" s="2243"/>
      <c r="W4" s="2244"/>
      <c r="X4" s="2244"/>
      <c r="Y4" s="2244"/>
      <c r="Z4" s="2244"/>
      <c r="AA4" s="2244"/>
      <c r="AB4" s="2245"/>
      <c r="AC4" s="2243">
        <f>INDEX(PT_DIFFERENTIATION_CS,MATCH(C4,PT_DIFFERENTIATION_CS_ID,0))</f>
      </c>
      <c r="AD4" s="2244"/>
      <c r="AE4" s="2244"/>
      <c r="AF4" s="2244"/>
      <c r="AG4" s="2244"/>
      <c r="AH4" s="2244"/>
      <c r="AI4" s="2244"/>
      <c r="AJ4" s="2245"/>
      <c r="AK4" s="1259" t="s">
        <v>613</v>
      </c>
      <c r="AM4" s="501"/>
      <c r="AN4" s="501" t="str">
        <f>IF(T4="","",T4)</f>
        <v>Наименование централизованной системы холодного водоснабжения</v>
      </c>
      <c r="AO4" s="501"/>
      <c r="AP4" s="501"/>
      <c r="AQ4" s="1156">
        <v>0</v>
      </c>
    </row>
    <row customHeight="1" ht="23.25" hidden="1">
      <c r="A5" s="1364"/>
      <c r="B5" s="1364"/>
      <c r="C5" s="1364"/>
      <c r="D5" s="1364"/>
      <c r="E5" s="2260"/>
      <c r="F5" s="2260"/>
      <c r="G5" s="2260"/>
      <c r="H5" s="2260"/>
      <c r="I5" s="2257">
        <f>S4&amp;".1"</f>
      </c>
      <c r="J5" s="1364"/>
      <c r="K5" s="1364"/>
      <c r="L5" s="1365"/>
      <c r="P5" s="2258">
        <v>1</v>
      </c>
      <c r="Q5" s="1451"/>
      <c r="R5" s="357"/>
      <c r="S5" s="1458">
        <f>$I5</f>
      </c>
      <c r="T5" s="286" t="s">
        <v>614</v>
      </c>
      <c r="U5" s="301"/>
      <c r="V5" s="2351"/>
      <c r="W5" s="2352"/>
      <c r="X5" s="2352"/>
      <c r="Y5" s="2352"/>
      <c r="Z5" s="2352"/>
      <c r="AA5" s="2352"/>
      <c r="AB5" s="2353"/>
      <c r="AC5" s="2354"/>
      <c r="AD5" s="2355"/>
      <c r="AE5" s="2355"/>
      <c r="AF5" s="2355"/>
      <c r="AG5" s="2355"/>
      <c r="AH5" s="2355"/>
      <c r="AI5" s="2355"/>
      <c r="AJ5" s="2356"/>
      <c r="AK5" s="1259" t="s">
        <v>615</v>
      </c>
      <c r="AM5" s="501"/>
      <c r="AN5" s="501" t="str">
        <f>IF(T5="","",T5)</f>
        <v>Наименование признака дифференциации</v>
      </c>
      <c r="AO5" s="501"/>
      <c r="AP5" s="501"/>
      <c r="AQ5" s="1156">
        <v>0</v>
      </c>
    </row>
    <row customHeight="1" ht="23.25" hidden="1">
      <c r="A6" s="1364"/>
      <c r="B6" s="1364"/>
      <c r="C6" s="1364"/>
      <c r="D6" s="1364"/>
      <c r="E6" s="2260"/>
      <c r="F6" s="2260"/>
      <c r="G6" s="2260"/>
      <c r="H6" s="2260"/>
      <c r="I6" s="2287"/>
      <c r="J6" s="2257">
        <f>I5&amp;".1"</f>
      </c>
      <c r="K6" s="1364"/>
      <c r="L6" s="1365" t="s">
        <v>536</v>
      </c>
      <c r="P6" s="2258"/>
      <c r="Q6" s="2258">
        <v>1</v>
      </c>
      <c r="R6" s="358"/>
      <c r="S6" s="1458">
        <f>$J6</f>
      </c>
      <c r="T6" s="287" t="s">
        <v>537</v>
      </c>
      <c r="U6" s="301"/>
      <c r="V6" s="2246"/>
      <c r="W6" s="2247"/>
      <c r="X6" s="2247"/>
      <c r="Y6" s="2247"/>
      <c r="Z6" s="2247"/>
      <c r="AA6" s="2247"/>
      <c r="AB6" s="2248"/>
      <c r="AC6" s="2246"/>
      <c r="AD6" s="2247"/>
      <c r="AE6" s="2247"/>
      <c r="AF6" s="2247"/>
      <c r="AG6" s="2247"/>
      <c r="AH6" s="2247"/>
      <c r="AI6" s="2247"/>
      <c r="AJ6" s="2248"/>
      <c r="AK6" s="1308" t="s">
        <v>616</v>
      </c>
      <c r="AM6" s="501"/>
      <c r="AN6" s="501" t="str">
        <f>IF(T6="","",T6)</f>
        <v>Группа потребителей</v>
      </c>
      <c r="AO6" s="501"/>
      <c r="AP6" s="501"/>
      <c r="AQ6" s="1156">
        <v>0</v>
      </c>
    </row>
    <row customHeight="1" ht="23.25" hidden="1">
      <c r="A7" s="1364"/>
      <c r="B7" s="1364"/>
      <c r="C7" s="1364"/>
      <c r="D7" s="1364"/>
      <c r="E7" s="2260"/>
      <c r="F7" s="2260"/>
      <c r="G7" s="2260"/>
      <c r="H7" s="2260"/>
      <c r="I7" s="2287"/>
      <c r="J7" s="2287"/>
      <c r="K7" s="2257">
        <f>J6&amp;".1"</f>
      </c>
      <c r="L7" s="1365"/>
      <c r="P7" s="2258"/>
      <c r="Q7" s="2258"/>
      <c r="R7" s="358">
        <v>1</v>
      </c>
      <c r="S7" s="1458">
        <f>$K7</f>
      </c>
      <c r="T7" s="1438"/>
      <c r="U7" s="301"/>
      <c r="V7" s="752"/>
      <c r="W7" s="752"/>
      <c r="X7" s="1258"/>
      <c r="Y7" s="2266"/>
      <c r="Z7" s="2108" t="s">
        <v>65</v>
      </c>
      <c r="AA7" s="2266"/>
      <c r="AB7" s="2108" t="s">
        <v>65</v>
      </c>
      <c r="AC7" s="752"/>
      <c r="AD7" s="752"/>
      <c r="AE7" s="1258"/>
      <c r="AF7" s="2266"/>
      <c r="AG7" s="2108" t="s">
        <v>65</v>
      </c>
      <c r="AH7" s="2288"/>
      <c r="AI7" s="2108" t="s">
        <v>65</v>
      </c>
      <c r="AJ7" s="1439"/>
      <c r="AK7" s="2350"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2">
        <f>STRCHECKDATE(V8:AJ8)</f>
      </c>
      <c r="AM7" s="501"/>
      <c r="AN7" s="501" t="str">
        <f>IF(T7="","",T7)</f>
        <v/>
      </c>
      <c r="AO7" s="501"/>
      <c r="AP7" s="501"/>
      <c r="AQ7" s="1156">
        <v>0</v>
      </c>
    </row>
    <row customHeight="1" ht="14.25" hidden="1">
      <c r="A8" s="1364"/>
      <c r="B8" s="1364"/>
      <c r="C8" s="1364"/>
      <c r="D8" s="1364"/>
      <c r="E8" s="2260"/>
      <c r="F8" s="2260"/>
      <c r="G8" s="2260"/>
      <c r="H8" s="2260"/>
      <c r="I8" s="2287"/>
      <c r="J8" s="2287"/>
      <c r="K8" s="2257"/>
      <c r="L8" s="1365"/>
      <c r="P8" s="2258"/>
      <c r="Q8" s="2258"/>
      <c r="R8" s="358"/>
      <c r="S8" s="1457"/>
      <c r="T8" s="301"/>
      <c r="U8" s="301"/>
      <c r="V8" s="326"/>
      <c r="W8" s="326"/>
      <c r="X8" s="329" t="str">
        <f>Y7&amp;"-"&amp;AA7</f>
        <v>-</v>
      </c>
      <c r="Y8" s="2267"/>
      <c r="Z8" s="2108"/>
      <c r="AA8" s="2267"/>
      <c r="AB8" s="2108"/>
      <c r="AC8" s="326"/>
      <c r="AD8" s="326"/>
      <c r="AE8" s="329" t="str">
        <f>AF7&amp;"-"&amp;AH7</f>
        <v>-</v>
      </c>
      <c r="AF8" s="2267"/>
      <c r="AG8" s="2108"/>
      <c r="AH8" s="2289"/>
      <c r="AI8" s="2108"/>
      <c r="AJ8" s="1440"/>
      <c r="AK8" s="2350"/>
      <c r="AM8" s="501"/>
      <c r="AN8" s="501" t="str">
        <f>IF(T8="","",T8)</f>
        <v/>
      </c>
      <c r="AO8" s="501"/>
      <c r="AP8" s="501"/>
      <c r="AQ8" s="1156">
        <v>0</v>
      </c>
    </row>
    <row customHeight="1" ht="21" hidden="1">
      <c r="A9" s="1364"/>
      <c r="B9" s="1364"/>
      <c r="C9" s="1364"/>
      <c r="D9" s="1364"/>
      <c r="E9" s="2260"/>
      <c r="F9" s="2260"/>
      <c r="G9" s="2260"/>
      <c r="H9" s="2260"/>
      <c r="I9" s="2287"/>
      <c r="J9" s="2257"/>
      <c r="K9" s="1364"/>
      <c r="L9" s="1365"/>
      <c r="P9" s="2258"/>
      <c r="Q9" s="2258"/>
      <c r="R9" s="357"/>
      <c r="S9" s="1279"/>
      <c r="T9" s="288" t="s">
        <v>617</v>
      </c>
      <c r="U9" s="368"/>
      <c r="V9" s="368"/>
      <c r="W9" s="368"/>
      <c r="X9" s="368"/>
      <c r="Y9" s="368"/>
      <c r="Z9" s="368"/>
      <c r="AA9" s="368"/>
      <c r="AB9" s="368"/>
      <c r="AC9" s="368"/>
      <c r="AD9" s="368"/>
      <c r="AE9" s="368"/>
      <c r="AF9" s="368"/>
      <c r="AG9" s="368"/>
      <c r="AH9" s="368"/>
      <c r="AI9" s="368"/>
      <c r="AJ9" s="368"/>
      <c r="AK9" s="1259" t="s">
        <v>618</v>
      </c>
      <c r="AM9" s="501"/>
      <c r="AN9" s="501" t="str">
        <f>IF(T9="","",T9)</f>
        <v>Добавить значение признака дифференциации</v>
      </c>
      <c r="AO9" s="501"/>
      <c r="AP9" s="501"/>
      <c r="AQ9" s="1156">
        <v>0</v>
      </c>
    </row>
    <row customHeight="1" ht="21" hidden="1">
      <c r="A10" s="1364"/>
      <c r="B10" s="1364"/>
      <c r="C10" s="1364"/>
      <c r="D10" s="1364"/>
      <c r="E10" s="2260"/>
      <c r="F10" s="2260"/>
      <c r="G10" s="2260"/>
      <c r="H10" s="2260"/>
      <c r="I10" s="2257"/>
      <c r="J10" s="1364"/>
      <c r="K10" s="1364"/>
      <c r="L10" s="1365"/>
      <c r="P10" s="2258"/>
      <c r="Q10" s="1451"/>
      <c r="R10" s="357"/>
      <c r="S10" s="1279"/>
      <c r="T10" s="366" t="s">
        <v>542</v>
      </c>
      <c r="U10" s="368"/>
      <c r="V10" s="368"/>
      <c r="W10" s="368"/>
      <c r="X10" s="368"/>
      <c r="Y10" s="368"/>
      <c r="Z10" s="368"/>
      <c r="AA10" s="368"/>
      <c r="AB10" s="367"/>
      <c r="AC10" s="368"/>
      <c r="AD10" s="368"/>
      <c r="AE10" s="368"/>
      <c r="AF10" s="368"/>
      <c r="AG10" s="368"/>
      <c r="AH10" s="368"/>
      <c r="AI10" s="367"/>
      <c r="AJ10" s="368"/>
      <c r="AK10" s="1441"/>
      <c r="AM10" s="501"/>
      <c r="AN10" s="501" t="str">
        <f>IF(T10="","",T10)</f>
        <v>Добавить группу потребителей</v>
      </c>
      <c r="AO10" s="501"/>
      <c r="AP10" s="501"/>
      <c r="AQ10" s="1156">
        <v>0</v>
      </c>
    </row>
    <row customHeight="1" ht="21" hidden="1">
      <c r="A11" s="1364"/>
      <c r="B11" s="1364"/>
      <c r="C11" s="1364"/>
      <c r="D11" s="1364"/>
      <c r="E11" s="2260"/>
      <c r="F11" s="2260"/>
      <c r="G11" s="2260"/>
      <c r="H11" s="2259"/>
      <c r="I11" s="1364"/>
      <c r="J11" s="1364"/>
      <c r="K11" s="1364"/>
      <c r="L11" s="1365"/>
      <c r="M11" s="1366"/>
      <c r="N11" s="1366"/>
      <c r="O11" s="538"/>
      <c r="P11" s="361"/>
      <c r="Q11" s="376"/>
      <c r="R11" s="356"/>
      <c r="S11" s="1279"/>
      <c r="T11" s="373" t="s">
        <v>619</v>
      </c>
      <c r="U11" s="368"/>
      <c r="V11" s="368"/>
      <c r="W11" s="368"/>
      <c r="X11" s="368"/>
      <c r="Y11" s="368"/>
      <c r="Z11" s="368"/>
      <c r="AA11" s="368"/>
      <c r="AB11" s="367"/>
      <c r="AC11" s="368"/>
      <c r="AD11" s="368"/>
      <c r="AE11" s="368"/>
      <c r="AF11" s="368"/>
      <c r="AG11" s="368"/>
      <c r="AH11" s="368"/>
      <c r="AI11" s="367"/>
      <c r="AJ11" s="368"/>
      <c r="AK11" s="304"/>
      <c r="AM11" s="501"/>
      <c r="AN11" s="501" t="str">
        <f>IF(T11="","",T11)</f>
        <v>Добавить наименование признака дифференциации</v>
      </c>
      <c r="AO11" s="501"/>
      <c r="AP11" s="501"/>
      <c r="AQ11" s="1156">
        <v>0</v>
      </c>
    </row>
    <row s="1643" customFormat="1" customHeight="1" ht="14.25" hidden="1">
      <c r="A12" s="1344"/>
      <c r="B12" s="1344"/>
      <c r="C12" s="1315"/>
      <c r="D12" s="1315"/>
      <c r="E12" s="2260"/>
      <c r="F12" s="2259"/>
      <c r="G12" s="1315"/>
      <c r="H12" s="1315"/>
      <c r="I12" s="1315"/>
      <c r="J12" s="1315"/>
      <c r="K12" s="1315"/>
      <c r="L12" s="1459"/>
      <c r="M12" s="1322"/>
      <c r="N12" s="1322"/>
      <c r="P12" s="1317"/>
      <c r="Q12" s="1318"/>
      <c r="R12" s="1317"/>
      <c r="S12" s="1323"/>
      <c r="T12" s="1326" t="s">
        <v>178</v>
      </c>
      <c r="U12" s="1325"/>
      <c r="V12" s="1325"/>
      <c r="W12" s="1325"/>
      <c r="X12" s="1325"/>
      <c r="Y12" s="1325"/>
      <c r="Z12" s="1325"/>
      <c r="AA12" s="1325"/>
      <c r="AB12" s="1325"/>
      <c r="AC12" s="1325"/>
      <c r="AD12" s="1325"/>
      <c r="AE12" s="1325"/>
      <c r="AF12" s="1325"/>
      <c r="AG12" s="1325"/>
      <c r="AH12" s="1325"/>
      <c r="AI12" s="1325"/>
      <c r="AJ12" s="1325"/>
      <c r="AK12" s="1325"/>
      <c r="AM12" s="790"/>
      <c r="AN12" s="790" t="str">
        <f>IF(T12="","",T12)</f>
        <v>Добавить централизованную систему для дифференциации</v>
      </c>
      <c r="AO12" s="790"/>
      <c r="AP12" s="790"/>
      <c r="AQ12" s="519">
        <v>0</v>
      </c>
    </row>
    <row s="1643" customFormat="1" customHeight="1" ht="14.25" hidden="1">
      <c r="A13" s="1344"/>
      <c r="B13" s="1344"/>
      <c r="C13" s="1344"/>
      <c r="D13" s="1344"/>
      <c r="E13" s="2259"/>
      <c r="F13" s="1344"/>
      <c r="G13" s="1344"/>
      <c r="H13" s="1344"/>
      <c r="I13" s="1344"/>
      <c r="J13" s="1344"/>
      <c r="K13" s="1344"/>
      <c r="L13" s="1347"/>
      <c r="M13" s="1322"/>
      <c r="N13" s="1322"/>
      <c r="O13" s="519"/>
      <c r="P13" s="381"/>
      <c r="Q13" s="1345"/>
      <c r="R13" s="381"/>
      <c r="S13" s="1323"/>
      <c r="T13" s="1326" t="s">
        <v>183</v>
      </c>
      <c r="U13" s="1325"/>
      <c r="V13" s="1325"/>
      <c r="W13" s="1325"/>
      <c r="X13" s="1325"/>
      <c r="Y13" s="1325"/>
      <c r="Z13" s="1325"/>
      <c r="AA13" s="1325"/>
      <c r="AB13" s="1325"/>
      <c r="AC13" s="1325"/>
      <c r="AD13" s="1325"/>
      <c r="AE13" s="1325"/>
      <c r="AF13" s="1325"/>
      <c r="AG13" s="1325"/>
      <c r="AH13" s="1325"/>
      <c r="AI13" s="1325"/>
      <c r="AJ13" s="1325"/>
      <c r="AK13" s="1325"/>
      <c r="AM13" s="501"/>
      <c r="AN13" s="501" t="str">
        <f>IF(T13="","",T13)</f>
        <v>Добавить территорию для дифференциации</v>
      </c>
      <c r="AO13" s="501"/>
      <c r="AP13" s="501"/>
      <c r="AQ13" s="512">
        <v>0</v>
      </c>
    </row>
    <row customHeight="1" ht="14.25" hidden="1">
      <c r="AB14" s="328"/>
      <c r="AI14" s="328"/>
      <c r="AQ14" s="1156">
        <v>0</v>
      </c>
    </row>
    <row customHeight="1" ht="14.25" hidden="1">
      <c r="AC15" s="1361"/>
      <c r="AD15" s="1361"/>
      <c r="AE15" s="1362"/>
      <c r="AF15" s="2268"/>
      <c r="AG15" s="2269" t="s">
        <v>65</v>
      </c>
      <c r="AH15" s="2268"/>
      <c r="AI15" s="2269" t="s">
        <v>65</v>
      </c>
      <c r="AQ15" s="1156">
        <v>0</v>
      </c>
    </row>
    <row customHeight="1" ht="14.25" hidden="1">
      <c r="AC16" s="1361"/>
      <c r="AD16" s="1361"/>
      <c r="AE16" s="329" t="str">
        <f>AF15&amp;"-"&amp;AH15</f>
        <v>-</v>
      </c>
      <c r="AF16" s="2269"/>
      <c r="AG16" s="2269"/>
      <c r="AH16" s="2269"/>
      <c r="AI16" s="2269"/>
      <c r="AQ16" s="1156">
        <v>0</v>
      </c>
    </row>
    <row customHeight="1" ht="14.25" hidden="1">
      <c r="AI17" s="328"/>
      <c r="AQ17" s="1156">
        <v>0</v>
      </c>
    </row>
    <row s="1367" customFormat="1" customHeight="1" ht="22.5" hidden="1">
      <c r="L18" s="1448"/>
      <c r="M18" s="1363"/>
      <c r="N18" s="1363"/>
      <c r="O18" s="1368" t="s">
        <v>544</v>
      </c>
      <c r="P18" s="1363"/>
      <c r="Q18" s="1372"/>
      <c r="R18" s="1372"/>
      <c r="S18" s="730"/>
      <c r="Y18" s="1368"/>
      <c r="AA18" s="1368"/>
      <c r="AB18" s="1367"/>
      <c r="AF18" s="1368"/>
      <c r="AH18" s="1368"/>
      <c r="AI18" s="1367"/>
      <c r="AL18" s="512"/>
      <c r="AM18" s="512"/>
      <c r="AN18" s="512"/>
      <c r="AO18" s="512"/>
      <c r="AP18" s="512"/>
      <c r="AQ18" s="1161">
        <v>0</v>
      </c>
    </row>
    <row s="1367" customFormat="1" customHeight="1" ht="14.25" hidden="1">
      <c r="L19" s="1448"/>
      <c r="M19" s="1363"/>
      <c r="N19" s="1363"/>
      <c r="O19" s="1363"/>
      <c r="P19" s="1363"/>
      <c r="Q19" s="1372"/>
      <c r="R19" s="1372"/>
      <c r="S19" s="730"/>
      <c r="AB19" s="1367"/>
      <c r="AI19" s="1367"/>
      <c r="AL19" s="512"/>
      <c r="AM19" s="512"/>
      <c r="AN19" s="512"/>
      <c r="AO19" s="512"/>
      <c r="AP19" s="512"/>
      <c r="AQ19" s="1161">
        <v>0</v>
      </c>
    </row>
    <row s="1367" customFormat="1" customHeight="1" ht="12" hidden="1">
      <c r="L20" s="1448"/>
      <c r="M20" s="1363"/>
      <c r="N20" s="1363"/>
      <c r="O20" s="1365" t="s">
        <v>545</v>
      </c>
      <c r="P20" s="1363"/>
      <c r="Q20" s="1443"/>
      <c r="R20" s="1443"/>
      <c r="S20" s="730"/>
      <c r="T20" s="1161" t="s">
        <v>546</v>
      </c>
      <c r="Z20" s="187" t="s">
        <v>547</v>
      </c>
      <c r="AB20" s="187" t="s">
        <v>548</v>
      </c>
      <c r="AC20" s="1161" t="s">
        <v>546</v>
      </c>
      <c r="AG20" s="187" t="s">
        <v>549</v>
      </c>
      <c r="AI20" s="187" t="s">
        <v>548</v>
      </c>
      <c r="AQ20" s="1161">
        <v>0</v>
      </c>
    </row>
    <row customHeight="1" ht="14.25" hidden="1">
      <c r="O21" s="1365"/>
      <c r="AQ21" s="1156">
        <v>0</v>
      </c>
    </row>
    <row customHeight="1" ht="14.25" hidden="1">
      <c r="O22" s="1365"/>
      <c r="AQ22" s="1156">
        <v>0</v>
      </c>
    </row>
    <row customHeight="1" ht="14.699999999999998">
      <c r="Q23" s="377"/>
      <c r="R23" s="377"/>
      <c r="S23" s="1276"/>
      <c r="T23" s="364"/>
      <c r="U23" s="364"/>
      <c r="V23" s="510"/>
      <c r="W23" s="510"/>
      <c r="X23" s="510"/>
      <c r="Y23" s="510"/>
      <c r="Z23" s="510"/>
      <c r="AA23" s="510"/>
      <c r="AB23" s="510"/>
      <c r="AC23" s="510"/>
      <c r="AD23" s="510"/>
      <c r="AE23" s="510"/>
      <c r="AF23" s="510"/>
      <c r="AG23" s="510"/>
      <c r="AH23" s="510"/>
      <c r="AI23" s="510"/>
      <c r="AQ23" s="1156">
        <v>14</v>
      </c>
    </row>
    <row customHeight="1" ht="14.699999999999998">
      <c r="Q24" s="377"/>
      <c r="R24" s="377"/>
      <c r="S24" s="2249" t="str">
        <f>IF(TEMPLATE_GROUP="P",PT_P_FORM_COLDVSNA_4_NAME_FORM,PT_R_FORM_COLDVSNA_16_NAME_FORM)</f>
        <v>Форма 2. Информация
о тарифах в сфере холодного водоснабжения на товары (услуги) организации холодного водоснабжения, подлежащих регулированию</v>
      </c>
      <c r="T24" s="2249"/>
      <c r="U24" s="2249"/>
      <c r="V24" s="2249"/>
      <c r="W24" s="2249"/>
      <c r="X24" s="2249"/>
      <c r="Y24" s="2249"/>
      <c r="Z24" s="2249"/>
      <c r="AA24" s="2249"/>
      <c r="AB24" s="2249"/>
      <c r="AC24" s="2249"/>
      <c r="AD24" s="2249"/>
      <c r="AE24" s="2249"/>
      <c r="AF24" s="2249"/>
      <c r="AG24" s="2249"/>
      <c r="AH24" s="2249"/>
      <c r="AI24" s="1244"/>
      <c r="AQ24" s="1156">
        <v>14</v>
      </c>
    </row>
    <row customHeight="1" ht="14.699999999999998">
      <c r="Q25" s="377"/>
      <c r="R25" s="377"/>
      <c r="S25" s="2250" t="str">
        <f>IF(org=0,"Не определено",org)</f>
        <v>ПАО "ТГК-1" (филиал "Кольский")</v>
      </c>
      <c r="T25" s="2250"/>
      <c r="U25" s="2250"/>
      <c r="V25" s="2250"/>
      <c r="W25" s="2250"/>
      <c r="X25" s="2250"/>
      <c r="Y25" s="2250"/>
      <c r="Z25" s="2250"/>
      <c r="AA25" s="2250"/>
      <c r="AB25" s="2250"/>
      <c r="AC25" s="2250"/>
      <c r="AD25" s="2250"/>
      <c r="AE25" s="2250"/>
      <c r="AF25" s="2250"/>
      <c r="AG25" s="2250"/>
      <c r="AH25" s="2250"/>
      <c r="AI25" s="1244"/>
      <c r="AQ25" s="1156">
        <v>14</v>
      </c>
    </row>
    <row customHeight="1" ht="14.25">
      <c r="Q26" s="377"/>
      <c r="R26" s="377"/>
      <c r="S26" s="1276"/>
      <c r="T26" s="364"/>
      <c r="U26" s="364"/>
      <c r="V26" s="323"/>
      <c r="W26" s="323"/>
      <c r="X26" s="323"/>
      <c r="Y26" s="323"/>
      <c r="Z26" s="323"/>
      <c r="AA26" s="323"/>
      <c r="AB26" s="323"/>
      <c r="AC26" s="323"/>
      <c r="AD26" s="323"/>
      <c r="AE26" s="323"/>
      <c r="AF26" s="323"/>
      <c r="AG26" s="323"/>
      <c r="AH26" s="323"/>
      <c r="AI26" s="323"/>
      <c r="AJ26" s="510"/>
      <c r="AQ26" s="1156">
        <v>0</v>
      </c>
    </row>
    <row s="1854" customFormat="1" customHeight="1" ht="25.5">
      <c r="A27" s="1369"/>
      <c r="B27" s="1369"/>
      <c r="C27" s="1369"/>
      <c r="D27" s="1369"/>
      <c r="E27" s="1369"/>
      <c r="F27" s="1369"/>
      <c r="G27" s="1369"/>
      <c r="H27" s="1369"/>
      <c r="I27" s="1369"/>
      <c r="J27" s="1369"/>
      <c r="K27" s="1369"/>
      <c r="L27" s="1370"/>
      <c r="M27" s="1369"/>
      <c r="N27" s="1369"/>
      <c r="O27" s="1369"/>
      <c r="S27" s="2251" t="s">
        <v>42</v>
      </c>
      <c r="T27" s="2251"/>
      <c r="U27" s="1373"/>
      <c r="V27" s="2252" t="str">
        <f>IF(TITLE_NAME_OR_PR_CHANGE="",IF(TITLE_NAME_OR_PR="","",TITLE_NAME_OR_PR),TITLE_NAME_OR_PR_CHANGE)</f>
        <v>Комитет по тарифному регулированию Мурманской области</v>
      </c>
      <c r="W27" s="2252"/>
      <c r="X27" s="2252"/>
      <c r="Y27" s="2252"/>
      <c r="Z27" s="2252"/>
      <c r="AA27" s="2252"/>
      <c r="AB27" s="327"/>
      <c r="AC27" s="2252" t="str">
        <f>IF(TITLE_NAME_OR_PR_CHANGE="",IF(TITLE_NAME_OR_PR="","",TITLE_NAME_OR_PR),TITLE_NAME_OR_PR_CHANGE)</f>
        <v>Комитет по тарифному регулированию Мурманской области</v>
      </c>
      <c r="AD27" s="2252"/>
      <c r="AE27" s="2252"/>
      <c r="AF27" s="2252"/>
      <c r="AG27" s="2252"/>
      <c r="AH27" s="2252"/>
      <c r="AI27" s="327"/>
      <c r="AJ27" s="327"/>
      <c r="AK27" s="281"/>
      <c r="AL27" s="369"/>
      <c r="AM27" s="369"/>
      <c r="AN27" s="369"/>
      <c r="AO27" s="369"/>
      <c r="AP27" s="369"/>
      <c r="AQ27" s="419">
        <v>0</v>
      </c>
    </row>
    <row s="1854" customFormat="1" customHeight="1" ht="18.75">
      <c r="A28" s="1369"/>
      <c r="B28" s="1369"/>
      <c r="C28" s="1369"/>
      <c r="D28" s="1369"/>
      <c r="E28" s="1369"/>
      <c r="F28" s="1369"/>
      <c r="G28" s="1369"/>
      <c r="H28" s="1369"/>
      <c r="I28" s="1369"/>
      <c r="J28" s="1369"/>
      <c r="K28" s="1369"/>
      <c r="L28" s="1370"/>
      <c r="M28" s="1369"/>
      <c r="N28" s="1369"/>
      <c r="O28" s="1369"/>
      <c r="S28" s="2251" t="s">
        <v>550</v>
      </c>
      <c r="T28" s="2251"/>
      <c r="U28" s="1373"/>
      <c r="V28" s="2265" t="str">
        <f>IF(TITLE_DATE_PR_CHANGE="",IF(TITLE_DATE_PR="","",TITLE_DATE_PR),TITLE_DATE_PR_CHANGE)</f>
        <v>46010</v>
      </c>
      <c r="W28" s="2265"/>
      <c r="X28" s="2265"/>
      <c r="Y28" s="2265"/>
      <c r="Z28" s="2265"/>
      <c r="AA28" s="2265"/>
      <c r="AB28" s="327"/>
      <c r="AC28" s="2265" t="str">
        <f>IF(TITLE_DATE_PR_CHANGE="",IF(TITLE_DATE_PR="","",TITLE_DATE_PR),TITLE_DATE_PR_CHANGE)</f>
        <v>46010</v>
      </c>
      <c r="AD28" s="2265"/>
      <c r="AE28" s="2265"/>
      <c r="AF28" s="2265"/>
      <c r="AG28" s="2265"/>
      <c r="AH28" s="2265"/>
      <c r="AI28" s="327"/>
      <c r="AJ28" s="327"/>
      <c r="AK28" s="281"/>
      <c r="AL28" s="369"/>
      <c r="AM28" s="369"/>
      <c r="AN28" s="369"/>
      <c r="AO28" s="369"/>
      <c r="AP28" s="369"/>
      <c r="AQ28" s="419">
        <v>0</v>
      </c>
    </row>
    <row s="1854" customFormat="1" customHeight="1" ht="18.75">
      <c r="A29" s="1369"/>
      <c r="B29" s="1369"/>
      <c r="C29" s="1369"/>
      <c r="D29" s="1369"/>
      <c r="E29" s="1369"/>
      <c r="F29" s="1369"/>
      <c r="G29" s="1369"/>
      <c r="H29" s="1369"/>
      <c r="I29" s="1369"/>
      <c r="J29" s="1369"/>
      <c r="K29" s="1369"/>
      <c r="L29" s="1370"/>
      <c r="M29" s="1369"/>
      <c r="N29" s="1369"/>
      <c r="O29" s="1369"/>
      <c r="S29" s="2251" t="s">
        <v>551</v>
      </c>
      <c r="T29" s="2251"/>
      <c r="U29" s="1373"/>
      <c r="V29" s="2252" t="str">
        <f>IF(TITLE_NUMBER_PR_CHANGE="",IF(TITLE_NUMBER_PR="","",TITLE_NUMBER_PR),TITLE_NUMBER_PR_CHANGE)</f>
        <v>53/77; 53/49</v>
      </c>
      <c r="W29" s="2252"/>
      <c r="X29" s="2252"/>
      <c r="Y29" s="2252"/>
      <c r="Z29" s="2252"/>
      <c r="AA29" s="2252"/>
      <c r="AB29" s="327"/>
      <c r="AC29" s="2252" t="str">
        <f>IF(TITLE_NUMBER_PR_CHANGE="",IF(TITLE_NUMBER_PR="","",TITLE_NUMBER_PR),TITLE_NUMBER_PR_CHANGE)</f>
        <v>53/77; 53/49</v>
      </c>
      <c r="AD29" s="2252"/>
      <c r="AE29" s="2252"/>
      <c r="AF29" s="2252"/>
      <c r="AG29" s="2252"/>
      <c r="AH29" s="2252"/>
      <c r="AI29" s="327"/>
      <c r="AJ29" s="327"/>
      <c r="AK29" s="281"/>
      <c r="AL29" s="369"/>
      <c r="AM29" s="369"/>
      <c r="AN29" s="369"/>
      <c r="AO29" s="369"/>
      <c r="AP29" s="369"/>
      <c r="AQ29" s="419">
        <v>0</v>
      </c>
    </row>
    <row s="1854" customFormat="1" customHeight="1" ht="18.75">
      <c r="A30" s="1369"/>
      <c r="B30" s="1369"/>
      <c r="C30" s="1369"/>
      <c r="D30" s="1369"/>
      <c r="E30" s="1369"/>
      <c r="F30" s="1369"/>
      <c r="G30" s="1369"/>
      <c r="H30" s="1369"/>
      <c r="I30" s="1369"/>
      <c r="J30" s="1369"/>
      <c r="K30" s="1369"/>
      <c r="L30" s="1370"/>
      <c r="M30" s="1369"/>
      <c r="N30" s="1369"/>
      <c r="O30" s="1369"/>
      <c r="S30" s="2251" t="s">
        <v>44</v>
      </c>
      <c r="T30" s="2251"/>
      <c r="U30" s="1373"/>
      <c r="V30" s="2252" t="str">
        <f>IF(TITLE_IST_PUB_CHANGE="",IF(TITLE_IST_PUB="","",TITLE_IST_PUB),TITLE_IST_PUB_CHANGE)</f>
        <v>Официальный электронный бюллетень Правительства Мурманской области</v>
      </c>
      <c r="W30" s="2252"/>
      <c r="X30" s="2252"/>
      <c r="Y30" s="2252"/>
      <c r="Z30" s="2252"/>
      <c r="AA30" s="2252"/>
      <c r="AB30" s="327"/>
      <c r="AC30" s="2252" t="str">
        <f>IF(TITLE_IST_PUB_CHANGE="",IF(TITLE_IST_PUB="","",TITLE_IST_PUB),TITLE_IST_PUB_CHANGE)</f>
        <v>Официальный электронный бюллетень Правительства Мурманской области</v>
      </c>
      <c r="AD30" s="2252"/>
      <c r="AE30" s="2252"/>
      <c r="AF30" s="2252"/>
      <c r="AG30" s="2252"/>
      <c r="AH30" s="2252"/>
      <c r="AI30" s="327"/>
      <c r="AJ30" s="327"/>
      <c r="AK30" s="281"/>
      <c r="AL30" s="369"/>
      <c r="AM30" s="369"/>
      <c r="AN30" s="369"/>
      <c r="AO30" s="369"/>
      <c r="AP30" s="369"/>
      <c r="AQ30" s="419">
        <v>0</v>
      </c>
    </row>
    <row customHeight="1" ht="14.25" hidden="1">
      <c r="Q31" s="377"/>
      <c r="R31" s="377"/>
      <c r="S31" s="1276"/>
      <c r="T31" s="364"/>
      <c r="U31" s="364"/>
      <c r="V31" s="323"/>
      <c r="W31" s="323"/>
      <c r="X31" s="323"/>
      <c r="Y31" s="323"/>
      <c r="Z31" s="323"/>
      <c r="AA31" s="323"/>
      <c r="AB31" s="323"/>
      <c r="AC31" s="323"/>
      <c r="AD31" s="323"/>
      <c r="AE31" s="323"/>
      <c r="AF31" s="323"/>
      <c r="AG31" s="323"/>
      <c r="AH31" s="323"/>
      <c r="AI31" s="323"/>
      <c r="AJ31" s="510"/>
      <c r="AQ31" s="1156">
        <v>0</v>
      </c>
    </row>
    <row s="1854" customFormat="1" customHeight="1" ht="18.75" hidden="1">
      <c r="A32" s="1369"/>
      <c r="B32" s="1369"/>
      <c r="C32" s="1369"/>
      <c r="D32" s="1369"/>
      <c r="E32" s="1369"/>
      <c r="F32" s="1369"/>
      <c r="G32" s="1369"/>
      <c r="H32" s="1369"/>
      <c r="I32" s="1369"/>
      <c r="J32" s="1369"/>
      <c r="K32" s="1369"/>
      <c r="L32" s="1370"/>
      <c r="M32" s="1369"/>
      <c r="N32" s="1369"/>
      <c r="O32" s="1369"/>
      <c r="S32" s="2251" t="s">
        <v>552</v>
      </c>
      <c r="T32" s="2251"/>
      <c r="U32" s="1373"/>
      <c r="V32" s="2265" t="str">
        <f>IF(TITLE_DATE_PR_CHANGE="",IF(TITLE_DATE_PR="","",TITLE_DATE_PR),TITLE_DATE_PR_CHANGE)</f>
        <v>46010</v>
      </c>
      <c r="W32" s="2265"/>
      <c r="X32" s="2265"/>
      <c r="Y32" s="2265"/>
      <c r="Z32" s="2265"/>
      <c r="AA32" s="2265"/>
      <c r="AB32" s="327"/>
      <c r="AC32" s="2265" t="str">
        <f>IF(TITLE_DATE_PR_CHANGE="",IF(TITLE_DATE_PR="","",TITLE_DATE_PR),TITLE_DATE_PR_CHANGE)</f>
        <v>46010</v>
      </c>
      <c r="AD32" s="2265"/>
      <c r="AE32" s="2265"/>
      <c r="AF32" s="2265"/>
      <c r="AG32" s="2265"/>
      <c r="AH32" s="2265"/>
      <c r="AI32" s="327"/>
      <c r="AJ32" s="327"/>
      <c r="AK32" s="281"/>
      <c r="AL32" s="369"/>
      <c r="AM32" s="369"/>
      <c r="AN32" s="369"/>
      <c r="AO32" s="369"/>
      <c r="AP32" s="369"/>
      <c r="AQ32" s="419">
        <v>0</v>
      </c>
    </row>
    <row s="1854" customFormat="1" customHeight="1" ht="18.75" hidden="1">
      <c r="A33" s="1369"/>
      <c r="B33" s="1369"/>
      <c r="C33" s="1369"/>
      <c r="D33" s="1369"/>
      <c r="E33" s="1369"/>
      <c r="F33" s="1369"/>
      <c r="G33" s="1369"/>
      <c r="H33" s="1369"/>
      <c r="I33" s="1369"/>
      <c r="J33" s="1369"/>
      <c r="K33" s="1369"/>
      <c r="L33" s="1370"/>
      <c r="M33" s="1369"/>
      <c r="N33" s="1369"/>
      <c r="O33" s="1369"/>
      <c r="S33" s="2251" t="s">
        <v>553</v>
      </c>
      <c r="T33" s="2251"/>
      <c r="U33" s="1373"/>
      <c r="V33" s="2252" t="str">
        <f>IF(TITLE_NUMBER_PR_CHANGE="",IF(TITLE_NUMBER_PR="","",TITLE_NUMBER_PR),TITLE_NUMBER_PR_CHANGE)</f>
        <v>53/77; 53/49</v>
      </c>
      <c r="W33" s="2252"/>
      <c r="X33" s="2252"/>
      <c r="Y33" s="2252"/>
      <c r="Z33" s="2252"/>
      <c r="AA33" s="2252"/>
      <c r="AB33" s="327"/>
      <c r="AC33" s="2252" t="str">
        <f>IF(TITLE_NUMBER_PR_CHANGE="",IF(TITLE_NUMBER_PR="","",TITLE_NUMBER_PR),TITLE_NUMBER_PR_CHANGE)</f>
        <v>53/77; 53/49</v>
      </c>
      <c r="AD33" s="2252"/>
      <c r="AE33" s="2252"/>
      <c r="AF33" s="2252"/>
      <c r="AG33" s="2252"/>
      <c r="AH33" s="2252"/>
      <c r="AI33" s="327"/>
      <c r="AJ33" s="327"/>
      <c r="AK33" s="281"/>
      <c r="AL33" s="369"/>
      <c r="AM33" s="369"/>
      <c r="AN33" s="369"/>
      <c r="AO33" s="369"/>
      <c r="AP33" s="369"/>
      <c r="AQ33" s="419">
        <v>0</v>
      </c>
    </row>
    <row s="1854" customFormat="1" customHeight="1" ht="1.05">
      <c r="A34" s="1369"/>
      <c r="B34" s="1369"/>
      <c r="C34" s="1369"/>
      <c r="D34" s="1369"/>
      <c r="E34" s="1369"/>
      <c r="F34" s="1369"/>
      <c r="G34" s="1369"/>
      <c r="H34" s="1369"/>
      <c r="I34" s="1369"/>
      <c r="J34" s="1369"/>
      <c r="K34" s="1369"/>
      <c r="L34" s="1370"/>
      <c r="M34" s="1369"/>
      <c r="N34" s="1369"/>
      <c r="O34" s="1369"/>
      <c r="S34" s="324"/>
      <c r="T34" s="324"/>
      <c r="U34" s="1455"/>
      <c r="V34" s="327"/>
      <c r="W34" s="327"/>
      <c r="X34" s="327"/>
      <c r="Y34" s="327"/>
      <c r="Z34" s="327"/>
      <c r="AA34" s="327"/>
      <c r="AB34" s="279" t="s">
        <v>554</v>
      </c>
      <c r="AC34" s="327"/>
      <c r="AD34" s="327"/>
      <c r="AE34" s="327"/>
      <c r="AF34" s="327"/>
      <c r="AG34" s="327"/>
      <c r="AH34" s="327"/>
      <c r="AI34" s="279" t="s">
        <v>554</v>
      </c>
      <c r="AL34" s="369"/>
      <c r="AM34" s="369"/>
      <c r="AN34" s="369"/>
      <c r="AO34" s="369"/>
      <c r="AP34" s="369"/>
      <c r="AQ34" s="419">
        <v>1</v>
      </c>
    </row>
    <row customHeight="1" ht="14.699999999999998">
      <c r="Q35" s="377"/>
      <c r="R35" s="377"/>
      <c r="S35" s="1276"/>
      <c r="T35" s="364"/>
      <c r="U35" s="1245"/>
      <c r="V35" s="2253"/>
      <c r="W35" s="2253"/>
      <c r="X35" s="2253"/>
      <c r="Y35" s="2253"/>
      <c r="Z35" s="2253"/>
      <c r="AA35" s="2253"/>
      <c r="AB35" s="2253"/>
      <c r="AC35" s="2253"/>
      <c r="AD35" s="2253"/>
      <c r="AE35" s="2253"/>
      <c r="AF35" s="2253"/>
      <c r="AG35" s="2253"/>
      <c r="AH35" s="2253"/>
      <c r="AI35" s="2253"/>
      <c r="AQ35" s="1156">
        <v>14</v>
      </c>
    </row>
    <row customHeight="1" ht="14.699999999999998">
      <c r="Q36" s="377"/>
      <c r="R36" s="377"/>
      <c r="S36" s="2128" t="s">
        <v>430</v>
      </c>
      <c r="T36" s="2128"/>
      <c r="U36" s="2128"/>
      <c r="V36" s="2128"/>
      <c r="W36" s="2128"/>
      <c r="X36" s="2128"/>
      <c r="Y36" s="2128"/>
      <c r="Z36" s="2128"/>
      <c r="AA36" s="2128"/>
      <c r="AB36" s="2128"/>
      <c r="AC36" s="2128"/>
      <c r="AD36" s="2128"/>
      <c r="AE36" s="2128"/>
      <c r="AF36" s="2128"/>
      <c r="AG36" s="2128"/>
      <c r="AH36" s="2128"/>
      <c r="AI36" s="2128"/>
      <c r="AJ36" s="2128"/>
      <c r="AK36" s="2128" t="s">
        <v>431</v>
      </c>
      <c r="AQ36" s="1156">
        <v>14</v>
      </c>
    </row>
    <row customHeight="1" ht="14.699999999999998">
      <c r="Q37" s="377"/>
      <c r="R37" s="377"/>
      <c r="S37" s="2274" t="s">
        <v>92</v>
      </c>
      <c r="T37" s="2210" t="s">
        <v>555</v>
      </c>
      <c r="U37" s="302"/>
      <c r="V37" s="2275" t="s">
        <v>556</v>
      </c>
      <c r="W37" s="2276"/>
      <c r="X37" s="2276"/>
      <c r="Y37" s="2276"/>
      <c r="Z37" s="2276"/>
      <c r="AA37" s="2277"/>
      <c r="AB37" s="2278" t="s">
        <v>557</v>
      </c>
      <c r="AC37" s="2275" t="s">
        <v>556</v>
      </c>
      <c r="AD37" s="2276"/>
      <c r="AE37" s="2276"/>
      <c r="AF37" s="2276"/>
      <c r="AG37" s="2276"/>
      <c r="AH37" s="2277"/>
      <c r="AI37" s="2278" t="s">
        <v>558</v>
      </c>
      <c r="AJ37" s="2281" t="s">
        <v>559</v>
      </c>
      <c r="AK37" s="2128"/>
      <c r="AQ37" s="1156">
        <v>14</v>
      </c>
    </row>
    <row customHeight="1" ht="35.699999999999996">
      <c r="Q38" s="377"/>
      <c r="R38" s="377"/>
      <c r="S38" s="2274"/>
      <c r="T38" s="2210"/>
      <c r="U38" s="1032"/>
      <c r="V38" s="1453" t="s">
        <v>620</v>
      </c>
      <c r="W38" s="2263" t="s">
        <v>562</v>
      </c>
      <c r="X38" s="2264"/>
      <c r="Y38" s="2263" t="s">
        <v>563</v>
      </c>
      <c r="Z38" s="2270"/>
      <c r="AA38" s="2264"/>
      <c r="AB38" s="2279"/>
      <c r="AC38" s="1453" t="s">
        <v>620</v>
      </c>
      <c r="AD38" s="2263" t="s">
        <v>562</v>
      </c>
      <c r="AE38" s="2264"/>
      <c r="AF38" s="2263" t="s">
        <v>563</v>
      </c>
      <c r="AG38" s="2270"/>
      <c r="AH38" s="2264"/>
      <c r="AI38" s="2279"/>
      <c r="AJ38" s="2282"/>
      <c r="AK38" s="2128"/>
      <c r="AQ38" s="1156">
        <v>34</v>
      </c>
    </row>
    <row customHeight="1" ht="35.699999999999996">
      <c r="A39" s="1371"/>
      <c r="B39" s="1371" t="s">
        <v>148</v>
      </c>
      <c r="C39" s="1371" t="s">
        <v>149</v>
      </c>
      <c r="D39" s="1371" t="s">
        <v>150</v>
      </c>
      <c r="E39" s="1365" t="s">
        <v>564</v>
      </c>
      <c r="F39" s="1365" t="s">
        <v>565</v>
      </c>
      <c r="G39" s="1365" t="s">
        <v>566</v>
      </c>
      <c r="H39" s="1365"/>
      <c r="I39" s="1365" t="s">
        <v>621</v>
      </c>
      <c r="J39" s="1365" t="s">
        <v>569</v>
      </c>
      <c r="K39" s="1365" t="s">
        <v>622</v>
      </c>
      <c r="L39" s="1365" t="s">
        <v>545</v>
      </c>
      <c r="Q39" s="377"/>
      <c r="R39" s="377"/>
      <c r="S39" s="2274"/>
      <c r="T39" s="2210"/>
      <c r="U39" s="303"/>
      <c r="V39" s="1453" t="s">
        <v>623</v>
      </c>
      <c r="W39" s="1223" t="s">
        <v>624</v>
      </c>
      <c r="X39" s="1223" t="s">
        <v>625</v>
      </c>
      <c r="Y39" s="1456" t="s">
        <v>573</v>
      </c>
      <c r="Z39" s="2271" t="s">
        <v>574</v>
      </c>
      <c r="AA39" s="2272"/>
      <c r="AB39" s="2280"/>
      <c r="AC39" s="1453" t="s">
        <v>623</v>
      </c>
      <c r="AD39" s="1223" t="s">
        <v>624</v>
      </c>
      <c r="AE39" s="1223" t="s">
        <v>625</v>
      </c>
      <c r="AF39" s="1456" t="s">
        <v>573</v>
      </c>
      <c r="AG39" s="2271" t="s">
        <v>574</v>
      </c>
      <c r="AH39" s="2272"/>
      <c r="AI39" s="2280"/>
      <c r="AJ39" s="2283"/>
      <c r="AK39" s="2128"/>
      <c r="AQ39" s="1156">
        <v>34</v>
      </c>
    </row>
    <row s="1642" customFormat="1" customHeight="1" ht="0">
      <c r="A40" s="1371"/>
      <c r="B40" s="1371"/>
      <c r="C40" s="1371"/>
      <c r="D40" s="1371"/>
      <c r="E40" s="1371"/>
      <c r="F40" s="1371"/>
      <c r="G40" s="1371"/>
      <c r="H40" s="1371"/>
      <c r="I40" s="1371"/>
      <c r="J40" s="1371"/>
      <c r="K40" s="1371"/>
      <c r="L40" s="1365"/>
      <c r="M40" s="1363"/>
      <c r="N40" s="1363"/>
      <c r="O40" s="1363"/>
      <c r="P40" s="1247"/>
      <c r="Q40" s="1248"/>
      <c r="R40" s="1255">
        <v>1</v>
      </c>
      <c r="S40" s="1278" t="s">
        <v>123</v>
      </c>
      <c r="T40" s="1256" t="s">
        <v>107</v>
      </c>
      <c r="U40" s="1246" t="str">
        <f>OFFSET(U40,0,-1)</f>
        <v>2</v>
      </c>
      <c r="V40" s="1452">
        <f>OFFSET(V40,0,-1)+1</f>
        <v>3</v>
      </c>
      <c r="W40" s="1452">
        <f>OFFSET(W40,0,-1)+1</f>
        <v>4</v>
      </c>
      <c r="X40" s="1452">
        <f>OFFSET(X40,0,-1)+1</f>
        <v>5</v>
      </c>
      <c r="Y40" s="1452">
        <f>OFFSET(Y40,0,-1)+1</f>
        <v>6</v>
      </c>
      <c r="Z40" s="2273">
        <f>OFFSET(Z40,0,-1)+1</f>
        <v>7</v>
      </c>
      <c r="AA40" s="2273"/>
      <c r="AB40" s="1452">
        <f>OFFSET(AB40,0,-2)+1</f>
        <v>8</v>
      </c>
      <c r="AC40" s="1452">
        <f>OFFSET(AC40,0,-1)+1</f>
        <v>9</v>
      </c>
      <c r="AD40" s="1452">
        <f>OFFSET(AD40,0,-1)+1</f>
        <v>10</v>
      </c>
      <c r="AE40" s="1452">
        <f>OFFSET(AE40,0,-1)+1</f>
        <v>11</v>
      </c>
      <c r="AF40" s="1452">
        <f>OFFSET(AF40,0,-1)+1</f>
        <v>12</v>
      </c>
      <c r="AG40" s="2273">
        <f>OFFSET(AG40,0,-1)+1</f>
        <v>13</v>
      </c>
      <c r="AH40" s="2273"/>
      <c r="AI40" s="1452">
        <f>OFFSET(AI40,0,-2)+1</f>
        <v>14</v>
      </c>
      <c r="AJ40" s="1246">
        <f>OFFSET(AJ40,0,-1)</f>
        <v>14</v>
      </c>
      <c r="AK40" s="1452">
        <f>OFFSET(AK40,0,-1)+1</f>
        <v>15</v>
      </c>
      <c r="AL40" s="512"/>
      <c r="AM40" s="512"/>
      <c r="AN40" s="512"/>
      <c r="AO40" s="512"/>
      <c r="AP40" s="512"/>
      <c r="AQ40" s="497">
        <v>0</v>
      </c>
    </row>
    <row customHeight="1" ht="24">
      <c r="A41" s="1364" t="s">
        <v>361</v>
      </c>
      <c r="B41" s="1364"/>
      <c r="C41" s="1364"/>
      <c r="D41" s="1364"/>
      <c r="E41" s="2259">
        <v>1</v>
      </c>
      <c r="F41" s="1364"/>
      <c r="G41" s="1364"/>
      <c r="H41" s="1364"/>
      <c r="I41" s="1364"/>
      <c r="J41" s="1364"/>
      <c r="K41" s="1364"/>
      <c r="L41" s="1365"/>
      <c r="M41" s="1366"/>
      <c r="N41" s="1366"/>
      <c r="O41" s="1366"/>
      <c r="P41" s="362"/>
      <c r="Q41" s="361"/>
      <c r="R41" s="356"/>
      <c r="S41" s="1458">
        <f>INDEX(PT_DIFFERENTIATION_NUM_NTAR,MATCH(A41,PT_DIFFERENTIATION_NTAR_ID,0))</f>
        <v>0</v>
      </c>
      <c r="T41" s="299" t="s">
        <v>136</v>
      </c>
      <c r="U41" s="301"/>
      <c r="V41" s="2243"/>
      <c r="W41" s="2244"/>
      <c r="X41" s="2244"/>
      <c r="Y41" s="2244"/>
      <c r="Z41" s="2244"/>
      <c r="AA41" s="2244"/>
      <c r="AB41" s="2245"/>
      <c r="AC41" s="2243" t="str">
        <f>INDEX(PT_DIFFERENTIATION_NTAR,MATCH(A41,PT_DIFFERENTIATION_NTAR_ID,0))</f>
        <v/>
      </c>
      <c r="AD41" s="2244"/>
      <c r="AE41" s="2244"/>
      <c r="AF41" s="2244"/>
      <c r="AG41" s="2244"/>
      <c r="AH41" s="2244"/>
      <c r="AI41" s="2244"/>
      <c r="AJ41" s="2245"/>
      <c r="AK41" s="125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AM41" s="501"/>
      <c r="AN41" s="501" t="str">
        <f>IF(T41="","",T41)</f>
        <v>Наименование тарифа</v>
      </c>
      <c r="AO41" s="501"/>
      <c r="AP41" s="501"/>
      <c r="AQ41" s="1156">
        <v>23</v>
      </c>
    </row>
    <row customHeight="1" ht="24">
      <c r="A42" s="1364" t="s">
        <v>361</v>
      </c>
      <c r="B42" s="1364" t="s">
        <v>362</v>
      </c>
      <c r="C42" s="1364"/>
      <c r="D42" s="1364"/>
      <c r="E42" s="2260"/>
      <c r="F42" s="2259">
        <v>1</v>
      </c>
      <c r="G42" s="1364"/>
      <c r="H42" s="1364"/>
      <c r="I42" s="1364"/>
      <c r="J42" s="1364"/>
      <c r="K42" s="1364"/>
      <c r="L42" s="1365"/>
      <c r="M42" s="1366"/>
      <c r="N42" s="1366"/>
      <c r="O42" s="1366"/>
      <c r="P42" s="1454"/>
      <c r="Q42" s="353"/>
      <c r="R42" s="354"/>
      <c r="S42" s="1458" t="str">
        <f>INDEX(PT_DIFFERENTIATION_NUM_TER,MATCH(B42,PT_DIFFERENTIATION_TER_ID,0))</f>
        <v>.</v>
      </c>
      <c r="T42" s="309" t="s">
        <v>527</v>
      </c>
      <c r="U42" s="301"/>
      <c r="V42" s="2243"/>
      <c r="W42" s="2244"/>
      <c r="X42" s="2244"/>
      <c r="Y42" s="2244"/>
      <c r="Z42" s="2244"/>
      <c r="AA42" s="2244"/>
      <c r="AB42" s="2245"/>
      <c r="AC42" s="2243" t="str">
        <f>INDEX(PT_DIFFERENTIATION_TER,MATCH(B42,PT_DIFFERENTIATION_TER_ID,0))</f>
        <v/>
      </c>
      <c r="AD42" s="2244"/>
      <c r="AE42" s="2244"/>
      <c r="AF42" s="2244"/>
      <c r="AG42" s="2244"/>
      <c r="AH42" s="2244"/>
      <c r="AI42" s="2244"/>
      <c r="AJ42" s="2245"/>
      <c r="AK42" s="1259" t="s">
        <v>528</v>
      </c>
      <c r="AM42" s="501"/>
      <c r="AN42" s="501" t="str">
        <f>IF(T42="","",T42)</f>
        <v>Территория действия тарифа</v>
      </c>
      <c r="AO42" s="501"/>
      <c r="AP42" s="501"/>
      <c r="AQ42" s="1156">
        <v>23</v>
      </c>
    </row>
    <row customHeight="1" ht="24">
      <c r="A43" s="1364" t="s">
        <v>361</v>
      </c>
      <c r="B43" s="1364" t="s">
        <v>362</v>
      </c>
      <c r="C43" s="1364" t="s">
        <v>363</v>
      </c>
      <c r="D43" s="1364"/>
      <c r="E43" s="2260"/>
      <c r="F43" s="2260"/>
      <c r="G43" s="2259">
        <v>1</v>
      </c>
      <c r="H43" s="1364"/>
      <c r="I43" s="1364"/>
      <c r="J43" s="1364"/>
      <c r="K43" s="1364"/>
      <c r="L43" s="1365"/>
      <c r="M43" s="1366"/>
      <c r="N43" s="1366"/>
      <c r="O43" s="1366"/>
      <c r="P43" s="355"/>
      <c r="Q43" s="353"/>
      <c r="R43" s="354"/>
      <c r="S43" s="1458" t="str">
        <f>INDEX(PT_DIFFERENTIATION_NUM_CS,MATCH(C43,PT_DIFFERENTIATION_CS_ID,0))</f>
        <v>..</v>
      </c>
      <c r="T43" s="310" t="s">
        <v>612</v>
      </c>
      <c r="U43" s="301"/>
      <c r="V43" s="2243"/>
      <c r="W43" s="2244"/>
      <c r="X43" s="2244"/>
      <c r="Y43" s="2244"/>
      <c r="Z43" s="2244"/>
      <c r="AA43" s="2244"/>
      <c r="AB43" s="2245"/>
      <c r="AC43" s="2243" t="str">
        <f>INDEX(PT_DIFFERENTIATION_CS,MATCH(C43,PT_DIFFERENTIATION_CS_ID,0))</f>
        <v/>
      </c>
      <c r="AD43" s="2244"/>
      <c r="AE43" s="2244"/>
      <c r="AF43" s="2244"/>
      <c r="AG43" s="2244"/>
      <c r="AH43" s="2244"/>
      <c r="AI43" s="2244"/>
      <c r="AJ43" s="2245"/>
      <c r="AK43" s="1259" t="s">
        <v>613</v>
      </c>
      <c r="AM43" s="501"/>
      <c r="AN43" s="501" t="str">
        <f>IF(T43="","",T43)</f>
        <v>Наименование централизованной системы холодного водоснабжения</v>
      </c>
      <c r="AO43" s="501"/>
      <c r="AP43" s="501"/>
      <c r="AQ43" s="1156">
        <v>23</v>
      </c>
    </row>
    <row customHeight="1" ht="24">
      <c r="A44" s="1364" t="s">
        <v>361</v>
      </c>
      <c r="B44" s="1364" t="s">
        <v>362</v>
      </c>
      <c r="C44" s="1364" t="s">
        <v>363</v>
      </c>
      <c r="D44" s="1364" t="s">
        <v>627</v>
      </c>
      <c r="E44" s="2260"/>
      <c r="F44" s="2260"/>
      <c r="G44" s="2260"/>
      <c r="H44" s="2260"/>
      <c r="I44" s="2257" t="str">
        <f>S43&amp;".1"</f>
        <v>...1</v>
      </c>
      <c r="J44" s="1364"/>
      <c r="K44" s="1364"/>
      <c r="L44" s="1365"/>
      <c r="P44" s="2258">
        <v>1</v>
      </c>
      <c r="Q44" s="1451"/>
      <c r="R44" s="357"/>
      <c r="S44" s="1458" t="str">
        <f>$I44</f>
        <v>...1</v>
      </c>
      <c r="T44" s="286" t="s">
        <v>614</v>
      </c>
      <c r="U44" s="301"/>
      <c r="V44" s="2351"/>
      <c r="W44" s="2352"/>
      <c r="X44" s="2352"/>
      <c r="Y44" s="2352"/>
      <c r="Z44" s="2352"/>
      <c r="AA44" s="2352"/>
      <c r="AB44" s="2353"/>
      <c r="AC44" s="2354"/>
      <c r="AD44" s="2355"/>
      <c r="AE44" s="2355"/>
      <c r="AF44" s="2355"/>
      <c r="AG44" s="2355"/>
      <c r="AH44" s="2355"/>
      <c r="AI44" s="2355"/>
      <c r="AJ44" s="2356"/>
      <c r="AK44" s="1259" t="s">
        <v>615</v>
      </c>
      <c r="AM44" s="501"/>
      <c r="AN44" s="501" t="str">
        <f>IF(T44="","",T44)</f>
        <v>Наименование признака дифференциации</v>
      </c>
      <c r="AO44" s="501"/>
      <c r="AP44" s="501"/>
      <c r="AQ44" s="1156">
        <v>23</v>
      </c>
    </row>
    <row customHeight="1" ht="24">
      <c r="A45" s="1364" t="s">
        <v>361</v>
      </c>
      <c r="B45" s="1364" t="s">
        <v>362</v>
      </c>
      <c r="C45" s="1364" t="s">
        <v>363</v>
      </c>
      <c r="D45" s="1364" t="s">
        <v>627</v>
      </c>
      <c r="E45" s="2260"/>
      <c r="F45" s="2260"/>
      <c r="G45" s="2260"/>
      <c r="H45" s="2260"/>
      <c r="I45" s="2287"/>
      <c r="J45" s="2257" t="str">
        <f>I44&amp;".1"</f>
        <v>...1.1</v>
      </c>
      <c r="K45" s="1364"/>
      <c r="L45" s="1365" t="s">
        <v>536</v>
      </c>
      <c r="P45" s="2258"/>
      <c r="Q45" s="2258">
        <v>1</v>
      </c>
      <c r="R45" s="358"/>
      <c r="S45" s="1458" t="str">
        <f>$J45</f>
        <v>...1.1</v>
      </c>
      <c r="T45" s="287" t="s">
        <v>537</v>
      </c>
      <c r="U45" s="301"/>
      <c r="V45" s="2246"/>
      <c r="W45" s="2247"/>
      <c r="X45" s="2247"/>
      <c r="Y45" s="2247"/>
      <c r="Z45" s="2247"/>
      <c r="AA45" s="2247"/>
      <c r="AB45" s="2248"/>
      <c r="AC45" s="2246"/>
      <c r="AD45" s="2247"/>
      <c r="AE45" s="2247"/>
      <c r="AF45" s="2247"/>
      <c r="AG45" s="2247"/>
      <c r="AH45" s="2247"/>
      <c r="AI45" s="2247"/>
      <c r="AJ45" s="2248"/>
      <c r="AK45" s="1308" t="s">
        <v>616</v>
      </c>
      <c r="AM45" s="501"/>
      <c r="AN45" s="501" t="str">
        <f>IF(T45="","",T45)</f>
        <v>Группа потребителей</v>
      </c>
      <c r="AO45" s="501"/>
      <c r="AP45" s="501"/>
      <c r="AQ45" s="1156">
        <v>23</v>
      </c>
    </row>
    <row customHeight="1" ht="24">
      <c r="A46" s="1364" t="s">
        <v>361</v>
      </c>
      <c r="B46" s="1364" t="s">
        <v>362</v>
      </c>
      <c r="C46" s="1364" t="s">
        <v>363</v>
      </c>
      <c r="D46" s="1364" t="s">
        <v>627</v>
      </c>
      <c r="E46" s="2260"/>
      <c r="F46" s="2260"/>
      <c r="G46" s="2260"/>
      <c r="H46" s="2260"/>
      <c r="I46" s="2287"/>
      <c r="J46" s="2287"/>
      <c r="K46" s="2257" t="str">
        <f>J45&amp;".1"</f>
        <v>...1.1.1</v>
      </c>
      <c r="L46" s="1365"/>
      <c r="P46" s="2258"/>
      <c r="Q46" s="2258"/>
      <c r="R46" s="358">
        <v>1</v>
      </c>
      <c r="S46" s="1458" t="str">
        <f>$K46</f>
        <v>...1.1.1</v>
      </c>
      <c r="T46" s="1438"/>
      <c r="U46" s="301"/>
      <c r="V46" s="752"/>
      <c r="W46" s="752"/>
      <c r="X46" s="1258"/>
      <c r="Y46" s="2266"/>
      <c r="Z46" s="2108" t="s">
        <v>65</v>
      </c>
      <c r="AA46" s="2266"/>
      <c r="AB46" s="2108" t="s">
        <v>65</v>
      </c>
      <c r="AC46" s="752"/>
      <c r="AD46" s="752"/>
      <c r="AE46" s="1258"/>
      <c r="AF46" s="2266"/>
      <c r="AG46" s="2108" t="s">
        <v>65</v>
      </c>
      <c r="AH46" s="2288"/>
      <c r="AI46" s="2108" t="s">
        <v>65</v>
      </c>
      <c r="AJ46" s="1439"/>
      <c r="AK46" s="2350"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2">
        <f>STRCHECKDATE(V47:AJ47)</f>
      </c>
      <c r="AM46" s="501"/>
      <c r="AN46" s="501" t="str">
        <f>IF(T46="","",T46)</f>
        <v/>
      </c>
      <c r="AO46" s="501"/>
      <c r="AP46" s="501"/>
      <c r="AQ46" s="1156">
        <v>23</v>
      </c>
    </row>
    <row customHeight="1" ht="0">
      <c r="A47" s="1364" t="s">
        <v>361</v>
      </c>
      <c r="B47" s="1364" t="s">
        <v>362</v>
      </c>
      <c r="C47" s="1364" t="s">
        <v>363</v>
      </c>
      <c r="D47" s="1364" t="s">
        <v>627</v>
      </c>
      <c r="E47" s="2260"/>
      <c r="F47" s="2260"/>
      <c r="G47" s="2260"/>
      <c r="H47" s="2260"/>
      <c r="I47" s="2287"/>
      <c r="J47" s="2287"/>
      <c r="K47" s="2257"/>
      <c r="L47" s="1365"/>
      <c r="P47" s="2258"/>
      <c r="Q47" s="2258"/>
      <c r="R47" s="358"/>
      <c r="S47" s="1457"/>
      <c r="T47" s="301"/>
      <c r="U47" s="301"/>
      <c r="V47" s="326"/>
      <c r="W47" s="326"/>
      <c r="X47" s="329" t="str">
        <f>Y46&amp;"-"&amp;AA46</f>
        <v>-</v>
      </c>
      <c r="Y47" s="2267"/>
      <c r="Z47" s="2108"/>
      <c r="AA47" s="2267"/>
      <c r="AB47" s="2108"/>
      <c r="AC47" s="326"/>
      <c r="AD47" s="326"/>
      <c r="AE47" s="329" t="str">
        <f>AF46&amp;"-"&amp;AH46</f>
        <v>-</v>
      </c>
      <c r="AF47" s="2267"/>
      <c r="AG47" s="2108"/>
      <c r="AH47" s="2289"/>
      <c r="AI47" s="2108"/>
      <c r="AJ47" s="1440"/>
      <c r="AK47" s="2350"/>
      <c r="AM47" s="501"/>
      <c r="AN47" s="501" t="str">
        <f>IF(T47="","",T47)</f>
        <v/>
      </c>
      <c r="AO47" s="501"/>
      <c r="AP47" s="501"/>
      <c r="AQ47" s="1156">
        <v>0</v>
      </c>
    </row>
    <row customHeight="1" ht="21">
      <c r="A48" s="1364" t="s">
        <v>361</v>
      </c>
      <c r="B48" s="1364" t="s">
        <v>362</v>
      </c>
      <c r="C48" s="1364" t="s">
        <v>363</v>
      </c>
      <c r="D48" s="1364" t="s">
        <v>627</v>
      </c>
      <c r="E48" s="2260"/>
      <c r="F48" s="2260"/>
      <c r="G48" s="2260"/>
      <c r="H48" s="2260"/>
      <c r="I48" s="2287"/>
      <c r="J48" s="2257"/>
      <c r="K48" s="1364"/>
      <c r="L48" s="1365"/>
      <c r="P48" s="2258"/>
      <c r="Q48" s="2258"/>
      <c r="R48" s="357"/>
      <c r="S48" s="1279"/>
      <c r="T48" s="288" t="s">
        <v>617</v>
      </c>
      <c r="U48" s="368"/>
      <c r="V48" s="368"/>
      <c r="W48" s="368"/>
      <c r="X48" s="368"/>
      <c r="Y48" s="368"/>
      <c r="Z48" s="368"/>
      <c r="AA48" s="368"/>
      <c r="AB48" s="368"/>
      <c r="AC48" s="368"/>
      <c r="AD48" s="368"/>
      <c r="AE48" s="368"/>
      <c r="AF48" s="368"/>
      <c r="AG48" s="368"/>
      <c r="AH48" s="368"/>
      <c r="AI48" s="368"/>
      <c r="AJ48" s="368"/>
      <c r="AK48" s="1259" t="s">
        <v>618</v>
      </c>
      <c r="AM48" s="501"/>
      <c r="AN48" s="501" t="str">
        <f>IF(T48="","",T48)</f>
        <v>Добавить значение признака дифференциации</v>
      </c>
      <c r="AO48" s="501"/>
      <c r="AP48" s="501"/>
      <c r="AQ48" s="1156">
        <v>20</v>
      </c>
    </row>
    <row customHeight="1" ht="22.049999999999997">
      <c r="A49" s="1364" t="s">
        <v>361</v>
      </c>
      <c r="B49" s="1364" t="s">
        <v>362</v>
      </c>
      <c r="C49" s="1364" t="s">
        <v>363</v>
      </c>
      <c r="D49" s="1364" t="s">
        <v>627</v>
      </c>
      <c r="E49" s="2260"/>
      <c r="F49" s="2260"/>
      <c r="G49" s="2260"/>
      <c r="H49" s="2260"/>
      <c r="I49" s="2257"/>
      <c r="J49" s="1364"/>
      <c r="K49" s="1364"/>
      <c r="L49" s="1365"/>
      <c r="P49" s="2258"/>
      <c r="Q49" s="1451"/>
      <c r="R49" s="357"/>
      <c r="S49" s="1279"/>
      <c r="T49" s="366" t="s">
        <v>542</v>
      </c>
      <c r="U49" s="368"/>
      <c r="V49" s="368"/>
      <c r="W49" s="368"/>
      <c r="X49" s="368"/>
      <c r="Y49" s="368"/>
      <c r="Z49" s="368"/>
      <c r="AA49" s="368"/>
      <c r="AB49" s="367"/>
      <c r="AC49" s="368"/>
      <c r="AD49" s="368"/>
      <c r="AE49" s="368"/>
      <c r="AF49" s="368"/>
      <c r="AG49" s="368"/>
      <c r="AH49" s="368"/>
      <c r="AI49" s="367"/>
      <c r="AJ49" s="368"/>
      <c r="AK49" s="1441"/>
      <c r="AM49" s="501"/>
      <c r="AN49" s="501" t="str">
        <f>IF(T49="","",T49)</f>
        <v>Добавить группу потребителей</v>
      </c>
      <c r="AO49" s="501"/>
      <c r="AP49" s="501"/>
      <c r="AQ49" s="1156">
        <v>21</v>
      </c>
    </row>
    <row customHeight="1" ht="22.049999999999997">
      <c r="A50" s="1364" t="s">
        <v>361</v>
      </c>
      <c r="B50" s="1364" t="s">
        <v>362</v>
      </c>
      <c r="C50" s="1364" t="s">
        <v>363</v>
      </c>
      <c r="D50" s="1364" t="s">
        <v>627</v>
      </c>
      <c r="E50" s="2260"/>
      <c r="F50" s="2260"/>
      <c r="G50" s="2260"/>
      <c r="H50" s="2259"/>
      <c r="I50" s="1364"/>
      <c r="J50" s="1364"/>
      <c r="K50" s="1364"/>
      <c r="L50" s="1365"/>
      <c r="M50" s="1366"/>
      <c r="N50" s="1366"/>
      <c r="O50" s="538"/>
      <c r="P50" s="361"/>
      <c r="Q50" s="376"/>
      <c r="R50" s="356"/>
      <c r="S50" s="1279"/>
      <c r="T50" s="373" t="s">
        <v>619</v>
      </c>
      <c r="U50" s="368"/>
      <c r="V50" s="368"/>
      <c r="W50" s="368"/>
      <c r="X50" s="368"/>
      <c r="Y50" s="368"/>
      <c r="Z50" s="368"/>
      <c r="AA50" s="368"/>
      <c r="AB50" s="367"/>
      <c r="AC50" s="368"/>
      <c r="AD50" s="368"/>
      <c r="AE50" s="368"/>
      <c r="AF50" s="368"/>
      <c r="AG50" s="368"/>
      <c r="AH50" s="368"/>
      <c r="AI50" s="367"/>
      <c r="AJ50" s="368"/>
      <c r="AK50" s="304"/>
      <c r="AM50" s="501"/>
      <c r="AN50" s="501" t="str">
        <f>IF(T50="","",T50)</f>
        <v>Добавить наименование признака дифференциации</v>
      </c>
      <c r="AO50" s="501"/>
      <c r="AP50" s="501"/>
      <c r="AQ50" s="1156">
        <v>21</v>
      </c>
    </row>
    <row s="1643" customFormat="1" customHeight="1" ht="0">
      <c r="A51" s="1344" t="s">
        <v>361</v>
      </c>
      <c r="B51" s="1344" t="s">
        <v>362</v>
      </c>
      <c r="C51" s="1315"/>
      <c r="D51" s="1315"/>
      <c r="E51" s="2260"/>
      <c r="F51" s="2259"/>
      <c r="G51" s="1315"/>
      <c r="H51" s="1315"/>
      <c r="I51" s="1315"/>
      <c r="J51" s="1315"/>
      <c r="K51" s="1315"/>
      <c r="L51" s="1459"/>
      <c r="M51" s="1322"/>
      <c r="N51" s="1322"/>
      <c r="P51" s="1317"/>
      <c r="Q51" s="1318"/>
      <c r="R51" s="1317"/>
      <c r="S51" s="1323"/>
      <c r="T51" s="1326" t="s">
        <v>178</v>
      </c>
      <c r="U51" s="1325"/>
      <c r="V51" s="1325"/>
      <c r="W51" s="1325"/>
      <c r="X51" s="1325"/>
      <c r="Y51" s="1325"/>
      <c r="Z51" s="1325"/>
      <c r="AA51" s="1325"/>
      <c r="AB51" s="1325"/>
      <c r="AC51" s="1325"/>
      <c r="AD51" s="1325"/>
      <c r="AE51" s="1325"/>
      <c r="AF51" s="1325"/>
      <c r="AG51" s="1325"/>
      <c r="AH51" s="1325"/>
      <c r="AI51" s="1325"/>
      <c r="AJ51" s="1325"/>
      <c r="AK51" s="1325"/>
      <c r="AM51" s="790"/>
      <c r="AN51" s="790" t="str">
        <f>IF(T51="","",T51)</f>
        <v>Добавить централизованную систему для дифференциации</v>
      </c>
      <c r="AO51" s="790"/>
      <c r="AP51" s="790"/>
      <c r="AQ51" s="519">
        <v>0</v>
      </c>
    </row>
    <row s="1643" customFormat="1" customHeight="1" ht="0">
      <c r="A52" s="1344" t="s">
        <v>361</v>
      </c>
      <c r="B52" s="1344"/>
      <c r="C52" s="1344"/>
      <c r="D52" s="1344"/>
      <c r="E52" s="2259"/>
      <c r="F52" s="1344"/>
      <c r="G52" s="1344"/>
      <c r="H52" s="1344"/>
      <c r="I52" s="1344"/>
      <c r="J52" s="1344"/>
      <c r="K52" s="1344"/>
      <c r="L52" s="1347"/>
      <c r="M52" s="1322"/>
      <c r="N52" s="1322"/>
      <c r="O52" s="519"/>
      <c r="P52" s="381"/>
      <c r="Q52" s="1345"/>
      <c r="R52" s="381"/>
      <c r="S52" s="1323"/>
      <c r="T52" s="1326" t="s">
        <v>183</v>
      </c>
      <c r="U52" s="1325"/>
      <c r="V52" s="1325"/>
      <c r="W52" s="1325"/>
      <c r="X52" s="1325"/>
      <c r="Y52" s="1325"/>
      <c r="Z52" s="1325"/>
      <c r="AA52" s="1325"/>
      <c r="AB52" s="1325"/>
      <c r="AC52" s="1325"/>
      <c r="AD52" s="1325"/>
      <c r="AE52" s="1325"/>
      <c r="AF52" s="1325"/>
      <c r="AG52" s="1325"/>
      <c r="AH52" s="1325"/>
      <c r="AI52" s="1325"/>
      <c r="AJ52" s="1325"/>
      <c r="AK52" s="1325"/>
      <c r="AM52" s="501"/>
      <c r="AN52" s="501" t="str">
        <f>IF(T52="","",T52)</f>
        <v>Добавить территорию для дифференциации</v>
      </c>
      <c r="AO52" s="501"/>
      <c r="AP52" s="501"/>
      <c r="AQ52" s="512">
        <v>0</v>
      </c>
    </row>
    <row s="1643" customFormat="1" customHeight="1" ht="0">
      <c r="A53" s="1315"/>
      <c r="B53" s="1315"/>
      <c r="C53" s="1315"/>
      <c r="D53" s="1315"/>
      <c r="E53" s="1344"/>
      <c r="F53" s="1315"/>
      <c r="G53" s="1315"/>
      <c r="H53" s="1315"/>
      <c r="I53" s="1315"/>
      <c r="J53" s="1315"/>
      <c r="K53" s="1315"/>
      <c r="L53" s="1459"/>
      <c r="M53" s="1322"/>
      <c r="N53" s="1322"/>
      <c r="P53" s="1317"/>
      <c r="Q53" s="1318"/>
      <c r="R53" s="1317"/>
      <c r="S53" s="1323"/>
      <c r="T53" s="1326" t="s">
        <v>222</v>
      </c>
      <c r="U53" s="1325"/>
      <c r="V53" s="1325"/>
      <c r="W53" s="1325"/>
      <c r="X53" s="1325"/>
      <c r="Y53" s="1325"/>
      <c r="Z53" s="1325"/>
      <c r="AA53" s="1325"/>
      <c r="AB53" s="1325"/>
      <c r="AC53" s="1325"/>
      <c r="AD53" s="1325"/>
      <c r="AE53" s="1325"/>
      <c r="AF53" s="1325"/>
      <c r="AG53" s="1325"/>
      <c r="AH53" s="1325"/>
      <c r="AI53" s="1325"/>
      <c r="AJ53" s="1325"/>
      <c r="AK53" s="1325"/>
      <c r="AM53" s="790"/>
      <c r="AN53" s="790" t="str">
        <f>IF(T53="","",T53)</f>
        <v>Добавить наименование тарифа</v>
      </c>
      <c r="AO53" s="790"/>
      <c r="AP53" s="790"/>
      <c r="AQ53" s="519">
        <v>0</v>
      </c>
    </row>
    <row customHeight="1" ht="11.549999999999999">
      <c r="M54" s="1161"/>
      <c r="N54" s="1161"/>
      <c r="O54" s="538"/>
      <c r="P54" s="1156"/>
      <c r="Q54" s="1156"/>
      <c r="R54" s="1156"/>
      <c r="S54" s="1156"/>
      <c r="AL54" s="1156"/>
      <c r="AM54" s="1156"/>
      <c r="AN54" s="1156"/>
      <c r="AO54" s="1156"/>
      <c r="AP54" s="1156"/>
      <c r="AQ54" s="1156">
        <v>11</v>
      </c>
    </row>
    <row customHeight="1" ht="14.699999999999998">
      <c r="O55" s="538"/>
      <c r="S55" s="1254"/>
      <c r="T55" s="2286"/>
      <c r="U55" s="2286"/>
      <c r="V55" s="2286"/>
      <c r="W55" s="2286"/>
      <c r="X55" s="2286"/>
      <c r="Y55" s="2286"/>
      <c r="Z55" s="2286"/>
      <c r="AA55" s="2286"/>
      <c r="AB55" s="2286"/>
      <c r="AC55" s="2286"/>
      <c r="AD55" s="2286"/>
      <c r="AE55" s="2286"/>
      <c r="AF55" s="2286"/>
      <c r="AG55" s="2286"/>
      <c r="AH55" s="2286"/>
      <c r="AI55" s="2286"/>
      <c r="AJ55" s="2286"/>
      <c r="AK55" s="2286"/>
      <c r="AQ55" s="1156">
        <v>14</v>
      </c>
    </row>
    <row customHeight="1" ht="14.699999999999998">
      <c r="O56" s="538"/>
      <c r="AQ56" s="1156">
        <v>14</v>
      </c>
    </row>
    <row customHeight="1" ht="14.699999999999998">
      <c r="O57" s="538"/>
      <c r="S57" s="1254"/>
      <c r="T57" s="2286"/>
      <c r="U57" s="2286"/>
      <c r="V57" s="2286"/>
      <c r="W57" s="2286"/>
      <c r="X57" s="2286"/>
      <c r="Y57" s="2286"/>
      <c r="Z57" s="2286"/>
      <c r="AA57" s="2286"/>
      <c r="AB57" s="2286"/>
      <c r="AC57" s="2286"/>
      <c r="AD57" s="2286"/>
      <c r="AE57" s="2286"/>
      <c r="AF57" s="2286"/>
      <c r="AG57" s="2286"/>
      <c r="AH57" s="2286"/>
      <c r="AI57" s="2286"/>
      <c r="AJ57" s="2286"/>
      <c r="AK57" s="2286"/>
      <c r="AQ57" s="1156">
        <v>14</v>
      </c>
    </row>
    <row customHeight="1" ht="22.5" hidden="1">
      <c r="A58" s="1161" t="s">
        <v>86</v>
      </c>
      <c r="B58" s="1161">
        <v>0</v>
      </c>
      <c r="C58" s="1161">
        <v>0</v>
      </c>
      <c r="D58" s="1161">
        <v>0</v>
      </c>
      <c r="E58" s="1161">
        <v>0</v>
      </c>
      <c r="F58" s="1161">
        <v>0</v>
      </c>
      <c r="G58" s="1161">
        <v>0</v>
      </c>
      <c r="H58" s="1161">
        <v>0</v>
      </c>
      <c r="I58" s="1161">
        <v>0</v>
      </c>
      <c r="J58" s="1161">
        <v>0</v>
      </c>
      <c r="K58" s="1161">
        <v>0</v>
      </c>
      <c r="L58" s="1448">
        <v>0</v>
      </c>
      <c r="M58" s="1363">
        <v>0</v>
      </c>
      <c r="N58" s="1363">
        <v>0</v>
      </c>
      <c r="O58" s="1363">
        <v>0</v>
      </c>
      <c r="P58" s="1447">
        <v>3</v>
      </c>
      <c r="Q58" s="345">
        <v>3</v>
      </c>
      <c r="R58" s="345">
        <v>3</v>
      </c>
      <c r="S58" s="582">
        <v>12</v>
      </c>
      <c r="T58" s="1156">
        <v>35</v>
      </c>
      <c r="U58" s="1156">
        <v>0</v>
      </c>
      <c r="V58" s="1156">
        <v>0</v>
      </c>
      <c r="W58" s="1156">
        <v>0</v>
      </c>
      <c r="X58" s="1156">
        <v>0</v>
      </c>
      <c r="Y58" s="1156">
        <v>0</v>
      </c>
      <c r="Z58" s="1156">
        <v>0</v>
      </c>
      <c r="AA58" s="1156">
        <v>0</v>
      </c>
      <c r="AB58" s="1156">
        <v>0</v>
      </c>
      <c r="AC58" s="1156">
        <v>24</v>
      </c>
      <c r="AD58" s="1156">
        <v>24</v>
      </c>
      <c r="AE58" s="1156">
        <v>24</v>
      </c>
      <c r="AF58" s="1156">
        <v>11</v>
      </c>
      <c r="AG58" s="1156">
        <v>3</v>
      </c>
      <c r="AH58" s="1156">
        <v>11</v>
      </c>
      <c r="AI58" s="1156">
        <v>0</v>
      </c>
      <c r="AJ58" s="1156">
        <v>4</v>
      </c>
      <c r="AK58" s="1156">
        <v>115</v>
      </c>
      <c r="AL58" s="512">
        <v>10</v>
      </c>
      <c r="AM58" s="512">
        <v>10</v>
      </c>
      <c r="AN58" s="512">
        <v>10</v>
      </c>
      <c r="AO58" s="512">
        <v>10</v>
      </c>
      <c r="AP58" s="512">
        <v>10</v>
      </c>
      <c r="AQ58" s="1156">
        <v>23</v>
      </c>
    </row>
  </sheetData>
  <sheetProtection formatColumns="0" formatRows="0" autoFilter="0" sort="0" insertRows="0" insertColumns="1" deleteRows="0" deleteColumns="0"/>
  <mergeCells count="101">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K46:K47"/>
    <mergeCell ref="Y46:Y47"/>
    <mergeCell ref="E2:E13"/>
    <mergeCell ref="V2:AB2"/>
    <mergeCell ref="AC2:AJ2"/>
    <mergeCell ref="AI37:AI39"/>
    <mergeCell ref="V29:AA29"/>
    <mergeCell ref="AC29:AH29"/>
    <mergeCell ref="V30:AA30"/>
    <mergeCell ref="AC30:AH30"/>
    <mergeCell ref="Z39:AA39"/>
    <mergeCell ref="AG39:AH39"/>
    <mergeCell ref="AI7:AI8"/>
    <mergeCell ref="S30:T30"/>
    <mergeCell ref="S24:AH24"/>
    <mergeCell ref="S25:AH25"/>
    <mergeCell ref="S27:T27"/>
    <mergeCell ref="V27:AA27"/>
    <mergeCell ref="AC27:AH27"/>
    <mergeCell ref="S28:T28"/>
    <mergeCell ref="V28:AA28"/>
    <mergeCell ref="Y38:AA38"/>
    <mergeCell ref="AD38:AE38"/>
    <mergeCell ref="AF38:AH38"/>
    <mergeCell ref="AG7:AG8"/>
    <mergeCell ref="AH7:AH8"/>
    <mergeCell ref="AK7:AK8"/>
    <mergeCell ref="AF15:AF16"/>
    <mergeCell ref="AG15:AG16"/>
    <mergeCell ref="AH15:AH16"/>
    <mergeCell ref="AI15:AI16"/>
    <mergeCell ref="Z46:Z47"/>
    <mergeCell ref="AC45:AJ45"/>
    <mergeCell ref="AA46:AA47"/>
    <mergeCell ref="AB46:AB47"/>
    <mergeCell ref="AF46:AF47"/>
    <mergeCell ref="AK46:AK47"/>
    <mergeCell ref="S29:T29"/>
    <mergeCell ref="F3:F12"/>
    <mergeCell ref="V3:AB3"/>
    <mergeCell ref="AC3:AJ3"/>
    <mergeCell ref="G4:G11"/>
    <mergeCell ref="V4:AB4"/>
    <mergeCell ref="AC4:AJ4"/>
    <mergeCell ref="H5:H11"/>
    <mergeCell ref="I5:I10"/>
    <mergeCell ref="P5:P10"/>
    <mergeCell ref="V5:AB5"/>
    <mergeCell ref="AC5:AJ5"/>
    <mergeCell ref="J6:J9"/>
    <mergeCell ref="Q6:Q9"/>
    <mergeCell ref="K7:K8"/>
    <mergeCell ref="Y7:Y8"/>
    <mergeCell ref="V6:AB6"/>
    <mergeCell ref="AC6:AJ6"/>
    <mergeCell ref="AC28:AH28"/>
    <mergeCell ref="Z7:Z8"/>
    <mergeCell ref="AA7:AA8"/>
    <mergeCell ref="AB7:AB8"/>
    <mergeCell ref="AF7:AF8"/>
    <mergeCell ref="T55:AK55"/>
    <mergeCell ref="T57:AK57"/>
    <mergeCell ref="V35:AB35"/>
    <mergeCell ref="S32:T32"/>
    <mergeCell ref="V32:AA32"/>
    <mergeCell ref="AC32:AH32"/>
    <mergeCell ref="S33:T33"/>
    <mergeCell ref="V33:AA33"/>
    <mergeCell ref="AC33:AH33"/>
    <mergeCell ref="AC35:AI35"/>
    <mergeCell ref="Z40:AA40"/>
    <mergeCell ref="AG40:AH40"/>
    <mergeCell ref="S36:AJ36"/>
    <mergeCell ref="AK36:AK39"/>
    <mergeCell ref="S37:S39"/>
    <mergeCell ref="T37:T39"/>
    <mergeCell ref="V37:AA37"/>
    <mergeCell ref="AB37:AB39"/>
    <mergeCell ref="AG46:AG47"/>
    <mergeCell ref="AH46:AH47"/>
    <mergeCell ref="AI46:AI47"/>
    <mergeCell ref="AJ37:AJ39"/>
    <mergeCell ref="AC37:AH37"/>
    <mergeCell ref="W38:X38"/>
  </mergeCells>
  <dataValidations count="8">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46 AI524330 AI196650 AI589866 AI655402 AI15 AI720938 AI786474 AI852010 AI917546 AI983082 AI65578 AI131114 AI458794 AI262186 AG46 AI7 Z46 AB46 AG15 AG7 Z7 AB7 AI327722 AI393258"/>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Y46 AA46 AH7 AF7 Y7 AA7"/>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44:AJ44 AC5:AJ5">
      <formula1>900</formula1>
    </dataValidation>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X47 AE8 X8 AE47"/>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E173A78-32D8-4481-2527-2AD2C70949F9}" mc:Ignorable="x14ac xr xr2 xr3">
  <sheetPr>
    <tabColor theme="6" tint="0.4"/>
  </sheetPr>
  <dimension ref="A1:AQ58"/>
  <sheetViews>
    <sheetView showGridLines="0" zoomScale="90" workbookViewId="0">
      <pane xSplit="28" ySplit="40" topLeftCell="AC41" activePane="bottomRight" state="frozen"/>
      <selection pane="bottomLeft" activeCell="A41" sqref="A41"/>
      <selection pane="topRight" activeCell="AC1" sqref="AC1"/>
      <selection pane="bottomRight" activeCell="A1" sqref="A1"/>
    </sheetView>
  </sheetViews>
  <sheetFormatPr defaultColWidth="10.57421875" customHeight="1" defaultRowHeight="14.25"/>
  <cols>
    <col min="1" max="1" style="1367" width="10.57421875" hidden="1"/>
    <col min="2" max="2" style="1367" width="11.00390625" hidden="1" customWidth="1"/>
    <col min="3" max="3" style="1367" width="10.57421875" hidden="1"/>
    <col min="4" max="4" style="1367" width="11.8515625" hidden="1" customWidth="1"/>
    <col min="5" max="5" style="1367" width="10.00390625" hidden="1" customWidth="1"/>
    <col min="6" max="6" style="1367" width="8.7109375" hidden="1" customWidth="1"/>
    <col min="7" max="7" style="1367" width="7.57421875" hidden="1" customWidth="1"/>
    <col min="8" max="8" style="1367" width="11.421875" hidden="1" customWidth="1"/>
    <col min="9" max="9" style="1367" width="14.140625" hidden="1" customWidth="1"/>
    <col min="10" max="10" style="1367" width="9.8515625" hidden="1" customWidth="1"/>
    <col min="11" max="11" style="1367" width="14.7109375" hidden="1" customWidth="1"/>
    <col min="12" max="12" style="2608" width="19.140625" hidden="1" customWidth="1"/>
    <col min="13" max="14" style="1777" width="12.28125" hidden="1" customWidth="1"/>
    <col min="15" max="15" style="1777" width="23.421875" hidden="1" customWidth="1"/>
    <col min="16" max="16" style="2398" width="3.00390625" customWidth="1"/>
    <col min="17" max="18" style="345" width="3.00390625" customWidth="1"/>
    <col min="19" max="19" style="2408" width="12.00390625" customWidth="1"/>
    <col min="20" max="20" style="1636" width="35.00390625" customWidth="1"/>
    <col min="21" max="21" style="1636" width="0.140625" customWidth="1"/>
    <col min="22" max="24" style="1636" width="24.7109375" hidden="1" customWidth="1"/>
    <col min="25" max="25" style="1636" width="11.7109375" hidden="1" customWidth="1"/>
    <col min="26" max="26" style="1636" width="3.7109375" hidden="1" customWidth="1"/>
    <col min="27" max="27" style="1636" width="11.7109375" hidden="1" customWidth="1"/>
    <col min="28" max="28" style="1636" width="8.57421875" hidden="1" customWidth="1"/>
    <col min="29" max="29" style="1636" width="24.7109375" customWidth="1"/>
    <col min="30" max="31" style="1636" width="24.00390625" customWidth="1"/>
    <col min="32" max="32" style="1636" width="11.00390625" customWidth="1"/>
    <col min="33" max="33" style="1636" width="3.7109375" customWidth="1"/>
    <col min="34" max="34" style="1636" width="11.00390625" customWidth="1"/>
    <col min="35" max="35" style="1636" width="8.57421875" hidden="1" customWidth="1"/>
    <col min="36" max="36" style="1636" width="4.00390625" customWidth="1"/>
    <col min="37" max="37" style="1636" width="115.00390625" customWidth="1"/>
    <col min="38" max="42" style="1643" width="10.00390625" customWidth="1"/>
    <col min="43" max="43" style="1636" width="10.57421875" hidden="1"/>
  </cols>
  <sheetData>
    <row customHeight="1" ht="22.5" hidden="1">
      <c r="X1" s="328"/>
      <c r="Y1" s="328"/>
      <c r="AE1" s="328"/>
      <c r="AF1" s="328"/>
      <c r="AQ1" s="1156" t="s">
        <v>14</v>
      </c>
    </row>
    <row customHeight="1" ht="23.25" hidden="1">
      <c r="A2" s="1364"/>
      <c r="B2" s="1364"/>
      <c r="C2" s="1364"/>
      <c r="D2" s="1364"/>
      <c r="E2" s="2259">
        <v>1</v>
      </c>
      <c r="F2" s="1364"/>
      <c r="G2" s="1364"/>
      <c r="H2" s="1364"/>
      <c r="I2" s="1364"/>
      <c r="J2" s="1364"/>
      <c r="K2" s="1364"/>
      <c r="L2" s="1365"/>
      <c r="M2" s="1366"/>
      <c r="N2" s="1366"/>
      <c r="O2" s="1366"/>
      <c r="P2" s="362"/>
      <c r="Q2" s="361"/>
      <c r="R2" s="356"/>
      <c r="S2" s="1458">
        <f>INDEX(PT_DIFFERENTIATION_NUM_NTAR,MATCH(A2,PT_DIFFERENTIATION_NTAR_ID,0))</f>
      </c>
      <c r="T2" s="299" t="s">
        <v>136</v>
      </c>
      <c r="U2" s="301"/>
      <c r="V2" s="2243"/>
      <c r="W2" s="2244"/>
      <c r="X2" s="2244"/>
      <c r="Y2" s="2244"/>
      <c r="Z2" s="2244"/>
      <c r="AA2" s="2244"/>
      <c r="AB2" s="2245"/>
      <c r="AC2" s="2243">
        <f>INDEX(PT_DIFFERENTIATION_NTAR,MATCH(A2,PT_DIFFERENTIATION_NTAR_ID,0))</f>
      </c>
      <c r="AD2" s="2244"/>
      <c r="AE2" s="2244"/>
      <c r="AF2" s="2244"/>
      <c r="AG2" s="2244"/>
      <c r="AH2" s="2244"/>
      <c r="AI2" s="2244"/>
      <c r="AJ2" s="2245"/>
      <c r="AK2" s="125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AM2" s="501"/>
      <c r="AN2" s="501" t="str">
        <f>IF(T2="","",T2)</f>
        <v>Наименование тарифа</v>
      </c>
      <c r="AO2" s="501"/>
      <c r="AP2" s="501"/>
      <c r="AQ2" s="1156">
        <v>0</v>
      </c>
    </row>
    <row customHeight="1" ht="23.25" hidden="1">
      <c r="A3" s="1364"/>
      <c r="B3" s="1364"/>
      <c r="C3" s="1364"/>
      <c r="D3" s="1364"/>
      <c r="E3" s="2260"/>
      <c r="F3" s="2259">
        <v>1</v>
      </c>
      <c r="G3" s="1364"/>
      <c r="H3" s="1364"/>
      <c r="I3" s="1364"/>
      <c r="J3" s="1364"/>
      <c r="K3" s="1364"/>
      <c r="L3" s="1365"/>
      <c r="M3" s="1366"/>
      <c r="N3" s="1366"/>
      <c r="O3" s="1366"/>
      <c r="P3" s="1454"/>
      <c r="Q3" s="353"/>
      <c r="R3" s="354"/>
      <c r="S3" s="1458">
        <f>INDEX(PT_DIFFERENTIATION_NUM_TER,MATCH(B3,PT_DIFFERENTIATION_TER_ID,0))</f>
      </c>
      <c r="T3" s="309" t="s">
        <v>527</v>
      </c>
      <c r="U3" s="301"/>
      <c r="V3" s="2243"/>
      <c r="W3" s="2244"/>
      <c r="X3" s="2244"/>
      <c r="Y3" s="2244"/>
      <c r="Z3" s="2244"/>
      <c r="AA3" s="2244"/>
      <c r="AB3" s="2245"/>
      <c r="AC3" s="2243">
        <f>INDEX(PT_DIFFERENTIATION_TER,MATCH(B3,PT_DIFFERENTIATION_TER_ID,0))</f>
      </c>
      <c r="AD3" s="2244"/>
      <c r="AE3" s="2244"/>
      <c r="AF3" s="2244"/>
      <c r="AG3" s="2244"/>
      <c r="AH3" s="2244"/>
      <c r="AI3" s="2244"/>
      <c r="AJ3" s="2245"/>
      <c r="AK3" s="1259" t="s">
        <v>528</v>
      </c>
      <c r="AM3" s="501"/>
      <c r="AN3" s="501" t="str">
        <f>IF(T3="","",T3)</f>
        <v>Территория действия тарифа</v>
      </c>
      <c r="AO3" s="501"/>
      <c r="AP3" s="501"/>
      <c r="AQ3" s="1156">
        <v>0</v>
      </c>
    </row>
    <row customHeight="1" ht="23.25" hidden="1">
      <c r="A4" s="1364"/>
      <c r="B4" s="1364"/>
      <c r="C4" s="1364"/>
      <c r="D4" s="1364"/>
      <c r="E4" s="2260"/>
      <c r="F4" s="2260"/>
      <c r="G4" s="2259">
        <v>1</v>
      </c>
      <c r="H4" s="1364"/>
      <c r="I4" s="1364"/>
      <c r="J4" s="1364"/>
      <c r="K4" s="1364"/>
      <c r="L4" s="1365"/>
      <c r="M4" s="1366"/>
      <c r="N4" s="1366"/>
      <c r="O4" s="1366"/>
      <c r="P4" s="355"/>
      <c r="Q4" s="353"/>
      <c r="R4" s="354"/>
      <c r="S4" s="1458">
        <f>INDEX(PT_DIFFERENTIATION_NUM_CS,MATCH(C4,PT_DIFFERENTIATION_CS_ID,0))</f>
      </c>
      <c r="T4" s="310" t="s">
        <v>612</v>
      </c>
      <c r="U4" s="301"/>
      <c r="V4" s="2243"/>
      <c r="W4" s="2244"/>
      <c r="X4" s="2244"/>
      <c r="Y4" s="2244"/>
      <c r="Z4" s="2244"/>
      <c r="AA4" s="2244"/>
      <c r="AB4" s="2245"/>
      <c r="AC4" s="2243">
        <f>INDEX(PT_DIFFERENTIATION_CS,MATCH(C4,PT_DIFFERENTIATION_CS_ID,0))</f>
      </c>
      <c r="AD4" s="2244"/>
      <c r="AE4" s="2244"/>
      <c r="AF4" s="2244"/>
      <c r="AG4" s="2244"/>
      <c r="AH4" s="2244"/>
      <c r="AI4" s="2244"/>
      <c r="AJ4" s="2245"/>
      <c r="AK4" s="1259" t="s">
        <v>613</v>
      </c>
      <c r="AM4" s="501"/>
      <c r="AN4" s="501" t="str">
        <f>IF(T4="","",T4)</f>
        <v>Наименование централизованной системы холодного водоснабжения</v>
      </c>
      <c r="AO4" s="501"/>
      <c r="AP4" s="501"/>
      <c r="AQ4" s="1156">
        <v>0</v>
      </c>
    </row>
    <row customHeight="1" ht="23.25" hidden="1">
      <c r="A5" s="1364"/>
      <c r="B5" s="1364"/>
      <c r="C5" s="1364"/>
      <c r="D5" s="1364"/>
      <c r="E5" s="2260"/>
      <c r="F5" s="2260"/>
      <c r="G5" s="2260"/>
      <c r="H5" s="2260"/>
      <c r="I5" s="2257">
        <f>S4&amp;".1"</f>
      </c>
      <c r="J5" s="1364"/>
      <c r="K5" s="1364"/>
      <c r="L5" s="1365"/>
      <c r="P5" s="2258">
        <v>1</v>
      </c>
      <c r="Q5" s="1451"/>
      <c r="R5" s="357"/>
      <c r="S5" s="1458">
        <f>$I5</f>
      </c>
      <c r="T5" s="286" t="s">
        <v>614</v>
      </c>
      <c r="U5" s="301"/>
      <c r="V5" s="2351"/>
      <c r="W5" s="2352"/>
      <c r="X5" s="2352"/>
      <c r="Y5" s="2352"/>
      <c r="Z5" s="2352"/>
      <c r="AA5" s="2352"/>
      <c r="AB5" s="2353"/>
      <c r="AC5" s="2354"/>
      <c r="AD5" s="2355"/>
      <c r="AE5" s="2355"/>
      <c r="AF5" s="2355"/>
      <c r="AG5" s="2355"/>
      <c r="AH5" s="2355"/>
      <c r="AI5" s="2355"/>
      <c r="AJ5" s="2356"/>
      <c r="AK5" s="1259" t="s">
        <v>615</v>
      </c>
      <c r="AM5" s="501"/>
      <c r="AN5" s="501" t="str">
        <f>IF(T5="","",T5)</f>
        <v>Наименование признака дифференциации</v>
      </c>
      <c r="AO5" s="501"/>
      <c r="AP5" s="501"/>
      <c r="AQ5" s="1156">
        <v>0</v>
      </c>
    </row>
    <row customHeight="1" ht="23.25" hidden="1">
      <c r="A6" s="1364"/>
      <c r="B6" s="1364"/>
      <c r="C6" s="1364"/>
      <c r="D6" s="1364"/>
      <c r="E6" s="2260"/>
      <c r="F6" s="2260"/>
      <c r="G6" s="2260"/>
      <c r="H6" s="2260"/>
      <c r="I6" s="2287"/>
      <c r="J6" s="2257">
        <f>I5&amp;".1"</f>
      </c>
      <c r="K6" s="1364"/>
      <c r="L6" s="1365" t="s">
        <v>536</v>
      </c>
      <c r="P6" s="2258"/>
      <c r="Q6" s="2258">
        <v>1</v>
      </c>
      <c r="R6" s="358"/>
      <c r="S6" s="1458">
        <f>$J6</f>
      </c>
      <c r="T6" s="287" t="s">
        <v>537</v>
      </c>
      <c r="U6" s="301"/>
      <c r="V6" s="2246"/>
      <c r="W6" s="2247"/>
      <c r="X6" s="2247"/>
      <c r="Y6" s="2247"/>
      <c r="Z6" s="2247"/>
      <c r="AA6" s="2247"/>
      <c r="AB6" s="2248"/>
      <c r="AC6" s="2246"/>
      <c r="AD6" s="2247"/>
      <c r="AE6" s="2247"/>
      <c r="AF6" s="2247"/>
      <c r="AG6" s="2247"/>
      <c r="AH6" s="2247"/>
      <c r="AI6" s="2247"/>
      <c r="AJ6" s="2248"/>
      <c r="AK6" s="1308" t="s">
        <v>616</v>
      </c>
      <c r="AM6" s="501"/>
      <c r="AN6" s="501" t="str">
        <f>IF(T6="","",T6)</f>
        <v>Группа потребителей</v>
      </c>
      <c r="AO6" s="501"/>
      <c r="AP6" s="501"/>
      <c r="AQ6" s="1156">
        <v>0</v>
      </c>
    </row>
    <row customHeight="1" ht="23.25" hidden="1">
      <c r="A7" s="1364"/>
      <c r="B7" s="1364"/>
      <c r="C7" s="1364"/>
      <c r="D7" s="1364"/>
      <c r="E7" s="2260"/>
      <c r="F7" s="2260"/>
      <c r="G7" s="2260"/>
      <c r="H7" s="2260"/>
      <c r="I7" s="2287"/>
      <c r="J7" s="2287"/>
      <c r="K7" s="2257">
        <f>J6&amp;".1"</f>
      </c>
      <c r="L7" s="1365"/>
      <c r="P7" s="2258"/>
      <c r="Q7" s="2258"/>
      <c r="R7" s="358">
        <v>1</v>
      </c>
      <c r="S7" s="1458">
        <f>$K7</f>
      </c>
      <c r="T7" s="1438"/>
      <c r="U7" s="301"/>
      <c r="V7" s="752"/>
      <c r="W7" s="752"/>
      <c r="X7" s="1258"/>
      <c r="Y7" s="2266"/>
      <c r="Z7" s="2108" t="s">
        <v>65</v>
      </c>
      <c r="AA7" s="2266"/>
      <c r="AB7" s="2108" t="s">
        <v>65</v>
      </c>
      <c r="AC7" s="752"/>
      <c r="AD7" s="752"/>
      <c r="AE7" s="1258"/>
      <c r="AF7" s="2266"/>
      <c r="AG7" s="2108" t="s">
        <v>65</v>
      </c>
      <c r="AH7" s="2288"/>
      <c r="AI7" s="2108" t="s">
        <v>65</v>
      </c>
      <c r="AJ7" s="1439"/>
      <c r="AK7" s="2350"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2">
        <f>STRCHECKDATE(V8:AJ8)</f>
      </c>
      <c r="AM7" s="501"/>
      <c r="AN7" s="501" t="str">
        <f>IF(T7="","",T7)</f>
        <v/>
      </c>
      <c r="AO7" s="501"/>
      <c r="AP7" s="501"/>
      <c r="AQ7" s="1156">
        <v>0</v>
      </c>
    </row>
    <row customHeight="1" ht="14.25" hidden="1">
      <c r="A8" s="1364"/>
      <c r="B8" s="1364"/>
      <c r="C8" s="1364"/>
      <c r="D8" s="1364"/>
      <c r="E8" s="2260"/>
      <c r="F8" s="2260"/>
      <c r="G8" s="2260"/>
      <c r="H8" s="2260"/>
      <c r="I8" s="2287"/>
      <c r="J8" s="2287"/>
      <c r="K8" s="2257"/>
      <c r="L8" s="1365"/>
      <c r="P8" s="2258"/>
      <c r="Q8" s="2258"/>
      <c r="R8" s="358"/>
      <c r="S8" s="1457"/>
      <c r="T8" s="301"/>
      <c r="U8" s="301"/>
      <c r="V8" s="326"/>
      <c r="W8" s="326"/>
      <c r="X8" s="329" t="str">
        <f>Y7&amp;"-"&amp;AA7</f>
        <v>-</v>
      </c>
      <c r="Y8" s="2267"/>
      <c r="Z8" s="2108"/>
      <c r="AA8" s="2267"/>
      <c r="AB8" s="2108"/>
      <c r="AC8" s="326"/>
      <c r="AD8" s="326"/>
      <c r="AE8" s="329" t="str">
        <f>AF7&amp;"-"&amp;AH7</f>
        <v>-</v>
      </c>
      <c r="AF8" s="2267"/>
      <c r="AG8" s="2108"/>
      <c r="AH8" s="2289"/>
      <c r="AI8" s="2108"/>
      <c r="AJ8" s="1440"/>
      <c r="AK8" s="2350"/>
      <c r="AM8" s="501"/>
      <c r="AN8" s="501" t="str">
        <f>IF(T8="","",T8)</f>
        <v/>
      </c>
      <c r="AO8" s="501"/>
      <c r="AP8" s="501"/>
      <c r="AQ8" s="1156">
        <v>0</v>
      </c>
    </row>
    <row customHeight="1" ht="21" hidden="1">
      <c r="A9" s="1364"/>
      <c r="B9" s="1364"/>
      <c r="C9" s="1364"/>
      <c r="D9" s="1364"/>
      <c r="E9" s="2260"/>
      <c r="F9" s="2260"/>
      <c r="G9" s="2260"/>
      <c r="H9" s="2260"/>
      <c r="I9" s="2287"/>
      <c r="J9" s="2257"/>
      <c r="K9" s="1364"/>
      <c r="L9" s="1365"/>
      <c r="P9" s="2258"/>
      <c r="Q9" s="2258"/>
      <c r="R9" s="357"/>
      <c r="S9" s="1279"/>
      <c r="T9" s="288" t="s">
        <v>617</v>
      </c>
      <c r="U9" s="368"/>
      <c r="V9" s="368"/>
      <c r="W9" s="368"/>
      <c r="X9" s="368"/>
      <c r="Y9" s="368"/>
      <c r="Z9" s="368"/>
      <c r="AA9" s="368"/>
      <c r="AB9" s="368"/>
      <c r="AC9" s="368"/>
      <c r="AD9" s="368"/>
      <c r="AE9" s="368"/>
      <c r="AF9" s="368"/>
      <c r="AG9" s="368"/>
      <c r="AH9" s="368"/>
      <c r="AI9" s="368"/>
      <c r="AJ9" s="368"/>
      <c r="AK9" s="1259" t="s">
        <v>618</v>
      </c>
      <c r="AM9" s="501"/>
      <c r="AN9" s="501" t="str">
        <f>IF(T9="","",T9)</f>
        <v>Добавить значение признака дифференциации</v>
      </c>
      <c r="AO9" s="501"/>
      <c r="AP9" s="501"/>
      <c r="AQ9" s="1156">
        <v>0</v>
      </c>
    </row>
    <row customHeight="1" ht="21" hidden="1">
      <c r="A10" s="1364"/>
      <c r="B10" s="1364"/>
      <c r="C10" s="1364"/>
      <c r="D10" s="1364"/>
      <c r="E10" s="2260"/>
      <c r="F10" s="2260"/>
      <c r="G10" s="2260"/>
      <c r="H10" s="2260"/>
      <c r="I10" s="2257"/>
      <c r="J10" s="1364"/>
      <c r="K10" s="1364"/>
      <c r="L10" s="1365"/>
      <c r="P10" s="2258"/>
      <c r="Q10" s="1451"/>
      <c r="R10" s="357"/>
      <c r="S10" s="1279"/>
      <c r="T10" s="366" t="s">
        <v>542</v>
      </c>
      <c r="U10" s="368"/>
      <c r="V10" s="368"/>
      <c r="W10" s="368"/>
      <c r="X10" s="368"/>
      <c r="Y10" s="368"/>
      <c r="Z10" s="368"/>
      <c r="AA10" s="368"/>
      <c r="AB10" s="367"/>
      <c r="AC10" s="368"/>
      <c r="AD10" s="368"/>
      <c r="AE10" s="368"/>
      <c r="AF10" s="368"/>
      <c r="AG10" s="368"/>
      <c r="AH10" s="368"/>
      <c r="AI10" s="367"/>
      <c r="AJ10" s="368"/>
      <c r="AK10" s="1441"/>
      <c r="AM10" s="501"/>
      <c r="AN10" s="501" t="str">
        <f>IF(T10="","",T10)</f>
        <v>Добавить группу потребителей</v>
      </c>
      <c r="AO10" s="501"/>
      <c r="AP10" s="501"/>
      <c r="AQ10" s="1156">
        <v>0</v>
      </c>
    </row>
    <row customHeight="1" ht="21" hidden="1">
      <c r="A11" s="1364"/>
      <c r="B11" s="1364"/>
      <c r="C11" s="1364"/>
      <c r="D11" s="1364"/>
      <c r="E11" s="2260"/>
      <c r="F11" s="2260"/>
      <c r="G11" s="2260"/>
      <c r="H11" s="2259"/>
      <c r="I11" s="1364"/>
      <c r="J11" s="1364"/>
      <c r="K11" s="1364"/>
      <c r="L11" s="1365"/>
      <c r="M11" s="1366"/>
      <c r="N11" s="1366"/>
      <c r="O11" s="538"/>
      <c r="P11" s="361"/>
      <c r="Q11" s="376"/>
      <c r="R11" s="356"/>
      <c r="S11" s="1279"/>
      <c r="T11" s="373" t="s">
        <v>619</v>
      </c>
      <c r="U11" s="368"/>
      <c r="V11" s="368"/>
      <c r="W11" s="368"/>
      <c r="X11" s="368"/>
      <c r="Y11" s="368"/>
      <c r="Z11" s="368"/>
      <c r="AA11" s="368"/>
      <c r="AB11" s="367"/>
      <c r="AC11" s="368"/>
      <c r="AD11" s="368"/>
      <c r="AE11" s="368"/>
      <c r="AF11" s="368"/>
      <c r="AG11" s="368"/>
      <c r="AH11" s="368"/>
      <c r="AI11" s="367"/>
      <c r="AJ11" s="368"/>
      <c r="AK11" s="304"/>
      <c r="AM11" s="501"/>
      <c r="AN11" s="501" t="str">
        <f>IF(T11="","",T11)</f>
        <v>Добавить наименование признака дифференциации</v>
      </c>
      <c r="AO11" s="501"/>
      <c r="AP11" s="501"/>
      <c r="AQ11" s="1156">
        <v>0</v>
      </c>
    </row>
    <row s="1643" customFormat="1" customHeight="1" ht="14.25" hidden="1">
      <c r="A12" s="1344"/>
      <c r="B12" s="1344"/>
      <c r="C12" s="1315"/>
      <c r="D12" s="1315"/>
      <c r="E12" s="2260"/>
      <c r="F12" s="2259"/>
      <c r="G12" s="1315"/>
      <c r="H12" s="1315"/>
      <c r="I12" s="1315"/>
      <c r="J12" s="1315"/>
      <c r="K12" s="1315"/>
      <c r="L12" s="1459"/>
      <c r="M12" s="1322"/>
      <c r="N12" s="1322"/>
      <c r="P12" s="1317"/>
      <c r="Q12" s="1318"/>
      <c r="R12" s="1317"/>
      <c r="S12" s="1323"/>
      <c r="T12" s="1326" t="s">
        <v>178</v>
      </c>
      <c r="U12" s="1325"/>
      <c r="V12" s="1325"/>
      <c r="W12" s="1325"/>
      <c r="X12" s="1325"/>
      <c r="Y12" s="1325"/>
      <c r="Z12" s="1325"/>
      <c r="AA12" s="1325"/>
      <c r="AB12" s="1325"/>
      <c r="AC12" s="1325"/>
      <c r="AD12" s="1325"/>
      <c r="AE12" s="1325"/>
      <c r="AF12" s="1325"/>
      <c r="AG12" s="1325"/>
      <c r="AH12" s="1325"/>
      <c r="AI12" s="1325"/>
      <c r="AJ12" s="1325"/>
      <c r="AK12" s="1325"/>
      <c r="AM12" s="790"/>
      <c r="AN12" s="790" t="str">
        <f>IF(T12="","",T12)</f>
        <v>Добавить централизованную систему для дифференциации</v>
      </c>
      <c r="AO12" s="790"/>
      <c r="AP12" s="790"/>
      <c r="AQ12" s="519">
        <v>0</v>
      </c>
    </row>
    <row s="1643" customFormat="1" customHeight="1" ht="14.25" hidden="1">
      <c r="A13" s="1344"/>
      <c r="B13" s="1344"/>
      <c r="C13" s="1344"/>
      <c r="D13" s="1344"/>
      <c r="E13" s="2259"/>
      <c r="F13" s="1344"/>
      <c r="G13" s="1344"/>
      <c r="H13" s="1344"/>
      <c r="I13" s="1344"/>
      <c r="J13" s="1344"/>
      <c r="K13" s="1344"/>
      <c r="L13" s="1347"/>
      <c r="M13" s="1322"/>
      <c r="N13" s="1322"/>
      <c r="O13" s="519"/>
      <c r="P13" s="381"/>
      <c r="Q13" s="1345"/>
      <c r="R13" s="381"/>
      <c r="S13" s="1323"/>
      <c r="T13" s="1326" t="s">
        <v>183</v>
      </c>
      <c r="U13" s="1325"/>
      <c r="V13" s="1325"/>
      <c r="W13" s="1325"/>
      <c r="X13" s="1325"/>
      <c r="Y13" s="1325"/>
      <c r="Z13" s="1325"/>
      <c r="AA13" s="1325"/>
      <c r="AB13" s="1325"/>
      <c r="AC13" s="1325"/>
      <c r="AD13" s="1325"/>
      <c r="AE13" s="1325"/>
      <c r="AF13" s="1325"/>
      <c r="AG13" s="1325"/>
      <c r="AH13" s="1325"/>
      <c r="AI13" s="1325"/>
      <c r="AJ13" s="1325"/>
      <c r="AK13" s="1325"/>
      <c r="AM13" s="501"/>
      <c r="AN13" s="501" t="str">
        <f>IF(T13="","",T13)</f>
        <v>Добавить территорию для дифференциации</v>
      </c>
      <c r="AO13" s="501"/>
      <c r="AP13" s="501"/>
      <c r="AQ13" s="512">
        <v>0</v>
      </c>
    </row>
    <row customHeight="1" ht="14.25" hidden="1">
      <c r="AB14" s="328"/>
      <c r="AI14" s="328"/>
      <c r="AQ14" s="1156">
        <v>0</v>
      </c>
    </row>
    <row customHeight="1" ht="14.25" hidden="1">
      <c r="AC15" s="1361"/>
      <c r="AD15" s="1361"/>
      <c r="AE15" s="1362"/>
      <c r="AF15" s="2268"/>
      <c r="AG15" s="2269" t="s">
        <v>65</v>
      </c>
      <c r="AH15" s="2268"/>
      <c r="AI15" s="2269" t="s">
        <v>65</v>
      </c>
      <c r="AQ15" s="1156">
        <v>0</v>
      </c>
    </row>
    <row customHeight="1" ht="14.25" hidden="1">
      <c r="AC16" s="1361"/>
      <c r="AD16" s="1361"/>
      <c r="AE16" s="329" t="str">
        <f>AF15&amp;"-"&amp;AH15</f>
        <v>-</v>
      </c>
      <c r="AF16" s="2269"/>
      <c r="AG16" s="2269"/>
      <c r="AH16" s="2269"/>
      <c r="AI16" s="2269"/>
      <c r="AQ16" s="1156">
        <v>0</v>
      </c>
    </row>
    <row customHeight="1" ht="14.25" hidden="1">
      <c r="AI17" s="328"/>
      <c r="AQ17" s="1156">
        <v>0</v>
      </c>
    </row>
    <row s="1367" customFormat="1" customHeight="1" ht="22.5" hidden="1">
      <c r="L18" s="1448"/>
      <c r="M18" s="1363"/>
      <c r="N18" s="1363"/>
      <c r="O18" s="1368" t="s">
        <v>544</v>
      </c>
      <c r="P18" s="1363"/>
      <c r="Q18" s="1372"/>
      <c r="R18" s="1372"/>
      <c r="S18" s="730"/>
      <c r="Y18" s="1368"/>
      <c r="AA18" s="1368"/>
      <c r="AB18" s="1367"/>
      <c r="AF18" s="1368"/>
      <c r="AH18" s="1368"/>
      <c r="AI18" s="1367"/>
      <c r="AL18" s="512"/>
      <c r="AM18" s="512"/>
      <c r="AN18" s="512"/>
      <c r="AO18" s="512"/>
      <c r="AP18" s="512"/>
      <c r="AQ18" s="1161">
        <v>0</v>
      </c>
    </row>
    <row s="1367" customFormat="1" customHeight="1" ht="14.25" hidden="1">
      <c r="L19" s="1448"/>
      <c r="M19" s="1363"/>
      <c r="N19" s="1363"/>
      <c r="O19" s="1363"/>
      <c r="P19" s="1363"/>
      <c r="Q19" s="1372"/>
      <c r="R19" s="1372"/>
      <c r="S19" s="730"/>
      <c r="AB19" s="1367"/>
      <c r="AI19" s="1367"/>
      <c r="AL19" s="512"/>
      <c r="AM19" s="512"/>
      <c r="AN19" s="512"/>
      <c r="AO19" s="512"/>
      <c r="AP19" s="512"/>
      <c r="AQ19" s="1161">
        <v>0</v>
      </c>
    </row>
    <row s="1367" customFormat="1" customHeight="1" ht="12" hidden="1">
      <c r="L20" s="1448"/>
      <c r="M20" s="1363"/>
      <c r="N20" s="1363"/>
      <c r="O20" s="1365" t="s">
        <v>545</v>
      </c>
      <c r="P20" s="1363"/>
      <c r="Q20" s="1443"/>
      <c r="R20" s="1443"/>
      <c r="S20" s="730"/>
      <c r="T20" s="1161" t="s">
        <v>546</v>
      </c>
      <c r="Z20" s="187" t="s">
        <v>547</v>
      </c>
      <c r="AB20" s="187" t="s">
        <v>548</v>
      </c>
      <c r="AC20" s="1161" t="s">
        <v>546</v>
      </c>
      <c r="AG20" s="187" t="s">
        <v>549</v>
      </c>
      <c r="AI20" s="187" t="s">
        <v>548</v>
      </c>
      <c r="AQ20" s="1161">
        <v>0</v>
      </c>
    </row>
    <row customHeight="1" ht="14.25" hidden="1">
      <c r="O21" s="1365"/>
      <c r="AQ21" s="1156">
        <v>0</v>
      </c>
    </row>
    <row customHeight="1" ht="14.25" hidden="1">
      <c r="O22" s="1365"/>
      <c r="AQ22" s="1156">
        <v>0</v>
      </c>
    </row>
    <row customHeight="1" ht="14.699999999999998">
      <c r="Q23" s="377"/>
      <c r="R23" s="377"/>
      <c r="S23" s="1276"/>
      <c r="T23" s="364"/>
      <c r="U23" s="364"/>
      <c r="V23" s="510"/>
      <c r="W23" s="510"/>
      <c r="X23" s="510"/>
      <c r="Y23" s="510"/>
      <c r="Z23" s="510"/>
      <c r="AA23" s="510"/>
      <c r="AB23" s="510"/>
      <c r="AC23" s="510"/>
      <c r="AD23" s="510"/>
      <c r="AE23" s="510"/>
      <c r="AF23" s="510"/>
      <c r="AG23" s="510"/>
      <c r="AH23" s="510"/>
      <c r="AI23" s="510"/>
      <c r="AQ23" s="1156">
        <v>14</v>
      </c>
    </row>
    <row customHeight="1" ht="14.699999999999998">
      <c r="Q24" s="377"/>
      <c r="R24" s="377"/>
      <c r="S24" s="2249" t="str">
        <f>IF(TEMPLATE_GROUP="P",PT_P_FORM_COLDVSNA_4_NAME_FORM,PT_R_FORM_COLDVSNA_16_NAME_FORM)</f>
        <v>Форма 2. Информация
о тарифах в сфере холодного водоснабжения на товары (услуги) организации холодного водоснабжения, подлежащих регулированию</v>
      </c>
      <c r="T24" s="2249"/>
      <c r="U24" s="2249"/>
      <c r="V24" s="2249"/>
      <c r="W24" s="2249"/>
      <c r="X24" s="2249"/>
      <c r="Y24" s="2249"/>
      <c r="Z24" s="2249"/>
      <c r="AA24" s="2249"/>
      <c r="AB24" s="2249"/>
      <c r="AC24" s="2249"/>
      <c r="AD24" s="2249"/>
      <c r="AE24" s="2249"/>
      <c r="AF24" s="2249"/>
      <c r="AG24" s="2249"/>
      <c r="AH24" s="2249"/>
      <c r="AI24" s="1244"/>
      <c r="AQ24" s="1156">
        <v>14</v>
      </c>
    </row>
    <row customHeight="1" ht="14.699999999999998">
      <c r="Q25" s="377"/>
      <c r="R25" s="377"/>
      <c r="S25" s="2250" t="str">
        <f>IF(org=0,"Не определено",org)</f>
        <v>ПАО "ТГК-1" (филиал "Кольский")</v>
      </c>
      <c r="T25" s="2250"/>
      <c r="U25" s="2250"/>
      <c r="V25" s="2250"/>
      <c r="W25" s="2250"/>
      <c r="X25" s="2250"/>
      <c r="Y25" s="2250"/>
      <c r="Z25" s="2250"/>
      <c r="AA25" s="2250"/>
      <c r="AB25" s="2250"/>
      <c r="AC25" s="2250"/>
      <c r="AD25" s="2250"/>
      <c r="AE25" s="2250"/>
      <c r="AF25" s="2250"/>
      <c r="AG25" s="2250"/>
      <c r="AH25" s="2250"/>
      <c r="AI25" s="1244"/>
      <c r="AQ25" s="1156">
        <v>14</v>
      </c>
    </row>
    <row customHeight="1" ht="14.25">
      <c r="Q26" s="377"/>
      <c r="R26" s="377"/>
      <c r="S26" s="1276"/>
      <c r="T26" s="364"/>
      <c r="U26" s="364"/>
      <c r="V26" s="323"/>
      <c r="W26" s="323"/>
      <c r="X26" s="323"/>
      <c r="Y26" s="323"/>
      <c r="Z26" s="323"/>
      <c r="AA26" s="323"/>
      <c r="AB26" s="323"/>
      <c r="AC26" s="323"/>
      <c r="AD26" s="323"/>
      <c r="AE26" s="323"/>
      <c r="AF26" s="323"/>
      <c r="AG26" s="323"/>
      <c r="AH26" s="323"/>
      <c r="AI26" s="323"/>
      <c r="AJ26" s="510"/>
      <c r="AQ26" s="1156">
        <v>0</v>
      </c>
    </row>
    <row s="1854" customFormat="1" customHeight="1" ht="25.5">
      <c r="A27" s="1369"/>
      <c r="B27" s="1369"/>
      <c r="C27" s="1369"/>
      <c r="D27" s="1369"/>
      <c r="E27" s="1369"/>
      <c r="F27" s="1369"/>
      <c r="G27" s="1369"/>
      <c r="H27" s="1369"/>
      <c r="I27" s="1369"/>
      <c r="J27" s="1369"/>
      <c r="K27" s="1369"/>
      <c r="L27" s="1370"/>
      <c r="M27" s="1369"/>
      <c r="N27" s="1369"/>
      <c r="O27" s="1369"/>
      <c r="S27" s="2251" t="s">
        <v>42</v>
      </c>
      <c r="T27" s="2251"/>
      <c r="U27" s="1373"/>
      <c r="V27" s="2252" t="str">
        <f>IF(TITLE_NAME_OR_PR_CHANGE="",IF(TITLE_NAME_OR_PR="","",TITLE_NAME_OR_PR),TITLE_NAME_OR_PR_CHANGE)</f>
        <v>Комитет по тарифному регулированию Мурманской области</v>
      </c>
      <c r="W27" s="2252"/>
      <c r="X27" s="2252"/>
      <c r="Y27" s="2252"/>
      <c r="Z27" s="2252"/>
      <c r="AA27" s="2252"/>
      <c r="AB27" s="327"/>
      <c r="AC27" s="2252" t="str">
        <f>IF(TITLE_NAME_OR_PR_CHANGE="",IF(TITLE_NAME_OR_PR="","",TITLE_NAME_OR_PR),TITLE_NAME_OR_PR_CHANGE)</f>
        <v>Комитет по тарифному регулированию Мурманской области</v>
      </c>
      <c r="AD27" s="2252"/>
      <c r="AE27" s="2252"/>
      <c r="AF27" s="2252"/>
      <c r="AG27" s="2252"/>
      <c r="AH27" s="2252"/>
      <c r="AI27" s="327"/>
      <c r="AJ27" s="327"/>
      <c r="AK27" s="281"/>
      <c r="AL27" s="369"/>
      <c r="AM27" s="369"/>
      <c r="AN27" s="369"/>
      <c r="AO27" s="369"/>
      <c r="AP27" s="369"/>
      <c r="AQ27" s="419">
        <v>0</v>
      </c>
    </row>
    <row s="1854" customFormat="1" customHeight="1" ht="18.75">
      <c r="A28" s="1369"/>
      <c r="B28" s="1369"/>
      <c r="C28" s="1369"/>
      <c r="D28" s="1369"/>
      <c r="E28" s="1369"/>
      <c r="F28" s="1369"/>
      <c r="G28" s="1369"/>
      <c r="H28" s="1369"/>
      <c r="I28" s="1369"/>
      <c r="J28" s="1369"/>
      <c r="K28" s="1369"/>
      <c r="L28" s="1370"/>
      <c r="M28" s="1369"/>
      <c r="N28" s="1369"/>
      <c r="O28" s="1369"/>
      <c r="S28" s="2251" t="s">
        <v>550</v>
      </c>
      <c r="T28" s="2251"/>
      <c r="U28" s="1373"/>
      <c r="V28" s="2265" t="str">
        <f>IF(TITLE_DATE_PR_CHANGE="",IF(TITLE_DATE_PR="","",TITLE_DATE_PR),TITLE_DATE_PR_CHANGE)</f>
        <v>46010</v>
      </c>
      <c r="W28" s="2265"/>
      <c r="X28" s="2265"/>
      <c r="Y28" s="2265"/>
      <c r="Z28" s="2265"/>
      <c r="AA28" s="2265"/>
      <c r="AB28" s="327"/>
      <c r="AC28" s="2265" t="str">
        <f>IF(TITLE_DATE_PR_CHANGE="",IF(TITLE_DATE_PR="","",TITLE_DATE_PR),TITLE_DATE_PR_CHANGE)</f>
        <v>46010</v>
      </c>
      <c r="AD28" s="2265"/>
      <c r="AE28" s="2265"/>
      <c r="AF28" s="2265"/>
      <c r="AG28" s="2265"/>
      <c r="AH28" s="2265"/>
      <c r="AI28" s="327"/>
      <c r="AJ28" s="327"/>
      <c r="AK28" s="281"/>
      <c r="AL28" s="369"/>
      <c r="AM28" s="369"/>
      <c r="AN28" s="369"/>
      <c r="AO28" s="369"/>
      <c r="AP28" s="369"/>
      <c r="AQ28" s="419">
        <v>0</v>
      </c>
    </row>
    <row s="1854" customFormat="1" customHeight="1" ht="18.75">
      <c r="A29" s="1369"/>
      <c r="B29" s="1369"/>
      <c r="C29" s="1369"/>
      <c r="D29" s="1369"/>
      <c r="E29" s="1369"/>
      <c r="F29" s="1369"/>
      <c r="G29" s="1369"/>
      <c r="H29" s="1369"/>
      <c r="I29" s="1369"/>
      <c r="J29" s="1369"/>
      <c r="K29" s="1369"/>
      <c r="L29" s="1370"/>
      <c r="M29" s="1369"/>
      <c r="N29" s="1369"/>
      <c r="O29" s="1369"/>
      <c r="S29" s="2251" t="s">
        <v>551</v>
      </c>
      <c r="T29" s="2251"/>
      <c r="U29" s="1373"/>
      <c r="V29" s="2252" t="str">
        <f>IF(TITLE_NUMBER_PR_CHANGE="",IF(TITLE_NUMBER_PR="","",TITLE_NUMBER_PR),TITLE_NUMBER_PR_CHANGE)</f>
        <v>53/77; 53/49</v>
      </c>
      <c r="W29" s="2252"/>
      <c r="X29" s="2252"/>
      <c r="Y29" s="2252"/>
      <c r="Z29" s="2252"/>
      <c r="AA29" s="2252"/>
      <c r="AB29" s="327"/>
      <c r="AC29" s="2252" t="str">
        <f>IF(TITLE_NUMBER_PR_CHANGE="",IF(TITLE_NUMBER_PR="","",TITLE_NUMBER_PR),TITLE_NUMBER_PR_CHANGE)</f>
        <v>53/77; 53/49</v>
      </c>
      <c r="AD29" s="2252"/>
      <c r="AE29" s="2252"/>
      <c r="AF29" s="2252"/>
      <c r="AG29" s="2252"/>
      <c r="AH29" s="2252"/>
      <c r="AI29" s="327"/>
      <c r="AJ29" s="327"/>
      <c r="AK29" s="281"/>
      <c r="AL29" s="369"/>
      <c r="AM29" s="369"/>
      <c r="AN29" s="369"/>
      <c r="AO29" s="369"/>
      <c r="AP29" s="369"/>
      <c r="AQ29" s="419">
        <v>0</v>
      </c>
    </row>
    <row s="1854" customFormat="1" customHeight="1" ht="18.75">
      <c r="A30" s="1369"/>
      <c r="B30" s="1369"/>
      <c r="C30" s="1369"/>
      <c r="D30" s="1369"/>
      <c r="E30" s="1369"/>
      <c r="F30" s="1369"/>
      <c r="G30" s="1369"/>
      <c r="H30" s="1369"/>
      <c r="I30" s="1369"/>
      <c r="J30" s="1369"/>
      <c r="K30" s="1369"/>
      <c r="L30" s="1370"/>
      <c r="M30" s="1369"/>
      <c r="N30" s="1369"/>
      <c r="O30" s="1369"/>
      <c r="S30" s="2251" t="s">
        <v>44</v>
      </c>
      <c r="T30" s="2251"/>
      <c r="U30" s="1373"/>
      <c r="V30" s="2252" t="str">
        <f>IF(TITLE_IST_PUB_CHANGE="",IF(TITLE_IST_PUB="","",TITLE_IST_PUB),TITLE_IST_PUB_CHANGE)</f>
        <v>Официальный электронный бюллетень Правительства Мурманской области</v>
      </c>
      <c r="W30" s="2252"/>
      <c r="X30" s="2252"/>
      <c r="Y30" s="2252"/>
      <c r="Z30" s="2252"/>
      <c r="AA30" s="2252"/>
      <c r="AB30" s="327"/>
      <c r="AC30" s="2252" t="str">
        <f>IF(TITLE_IST_PUB_CHANGE="",IF(TITLE_IST_PUB="","",TITLE_IST_PUB),TITLE_IST_PUB_CHANGE)</f>
        <v>Официальный электронный бюллетень Правительства Мурманской области</v>
      </c>
      <c r="AD30" s="2252"/>
      <c r="AE30" s="2252"/>
      <c r="AF30" s="2252"/>
      <c r="AG30" s="2252"/>
      <c r="AH30" s="2252"/>
      <c r="AI30" s="327"/>
      <c r="AJ30" s="327"/>
      <c r="AK30" s="281"/>
      <c r="AL30" s="369"/>
      <c r="AM30" s="369"/>
      <c r="AN30" s="369"/>
      <c r="AO30" s="369"/>
      <c r="AP30" s="369"/>
      <c r="AQ30" s="419">
        <v>0</v>
      </c>
    </row>
    <row customHeight="1" ht="14.25" hidden="1">
      <c r="Q31" s="377"/>
      <c r="R31" s="377"/>
      <c r="S31" s="1276"/>
      <c r="T31" s="364"/>
      <c r="U31" s="364"/>
      <c r="V31" s="323"/>
      <c r="W31" s="323"/>
      <c r="X31" s="323"/>
      <c r="Y31" s="323"/>
      <c r="Z31" s="323"/>
      <c r="AA31" s="323"/>
      <c r="AB31" s="323"/>
      <c r="AC31" s="323"/>
      <c r="AD31" s="323"/>
      <c r="AE31" s="323"/>
      <c r="AF31" s="323"/>
      <c r="AG31" s="323"/>
      <c r="AH31" s="323"/>
      <c r="AI31" s="323"/>
      <c r="AJ31" s="510"/>
      <c r="AQ31" s="1156">
        <v>0</v>
      </c>
    </row>
    <row s="1854" customFormat="1" customHeight="1" ht="18.75" hidden="1">
      <c r="A32" s="1369"/>
      <c r="B32" s="1369"/>
      <c r="C32" s="1369"/>
      <c r="D32" s="1369"/>
      <c r="E32" s="1369"/>
      <c r="F32" s="1369"/>
      <c r="G32" s="1369"/>
      <c r="H32" s="1369"/>
      <c r="I32" s="1369"/>
      <c r="J32" s="1369"/>
      <c r="K32" s="1369"/>
      <c r="L32" s="1370"/>
      <c r="M32" s="1369"/>
      <c r="N32" s="1369"/>
      <c r="O32" s="1369"/>
      <c r="S32" s="2251" t="s">
        <v>552</v>
      </c>
      <c r="T32" s="2251"/>
      <c r="U32" s="1373"/>
      <c r="V32" s="2265" t="str">
        <f>IF(TITLE_DATE_PR_CHANGE="",IF(TITLE_DATE_PR="","",TITLE_DATE_PR),TITLE_DATE_PR_CHANGE)</f>
        <v>46010</v>
      </c>
      <c r="W32" s="2265"/>
      <c r="X32" s="2265"/>
      <c r="Y32" s="2265"/>
      <c r="Z32" s="2265"/>
      <c r="AA32" s="2265"/>
      <c r="AB32" s="327"/>
      <c r="AC32" s="2265" t="str">
        <f>IF(TITLE_DATE_PR_CHANGE="",IF(TITLE_DATE_PR="","",TITLE_DATE_PR),TITLE_DATE_PR_CHANGE)</f>
        <v>46010</v>
      </c>
      <c r="AD32" s="2265"/>
      <c r="AE32" s="2265"/>
      <c r="AF32" s="2265"/>
      <c r="AG32" s="2265"/>
      <c r="AH32" s="2265"/>
      <c r="AI32" s="327"/>
      <c r="AJ32" s="327"/>
      <c r="AK32" s="281"/>
      <c r="AL32" s="369"/>
      <c r="AM32" s="369"/>
      <c r="AN32" s="369"/>
      <c r="AO32" s="369"/>
      <c r="AP32" s="369"/>
      <c r="AQ32" s="419">
        <v>0</v>
      </c>
    </row>
    <row s="1854" customFormat="1" customHeight="1" ht="18.75" hidden="1">
      <c r="A33" s="1369"/>
      <c r="B33" s="1369"/>
      <c r="C33" s="1369"/>
      <c r="D33" s="1369"/>
      <c r="E33" s="1369"/>
      <c r="F33" s="1369"/>
      <c r="G33" s="1369"/>
      <c r="H33" s="1369"/>
      <c r="I33" s="1369"/>
      <c r="J33" s="1369"/>
      <c r="K33" s="1369"/>
      <c r="L33" s="1370"/>
      <c r="M33" s="1369"/>
      <c r="N33" s="1369"/>
      <c r="O33" s="1369"/>
      <c r="S33" s="2251" t="s">
        <v>553</v>
      </c>
      <c r="T33" s="2251"/>
      <c r="U33" s="1373"/>
      <c r="V33" s="2252" t="str">
        <f>IF(TITLE_NUMBER_PR_CHANGE="",IF(TITLE_NUMBER_PR="","",TITLE_NUMBER_PR),TITLE_NUMBER_PR_CHANGE)</f>
        <v>53/77; 53/49</v>
      </c>
      <c r="W33" s="2252"/>
      <c r="X33" s="2252"/>
      <c r="Y33" s="2252"/>
      <c r="Z33" s="2252"/>
      <c r="AA33" s="2252"/>
      <c r="AB33" s="327"/>
      <c r="AC33" s="2252" t="str">
        <f>IF(TITLE_NUMBER_PR_CHANGE="",IF(TITLE_NUMBER_PR="","",TITLE_NUMBER_PR),TITLE_NUMBER_PR_CHANGE)</f>
        <v>53/77; 53/49</v>
      </c>
      <c r="AD33" s="2252"/>
      <c r="AE33" s="2252"/>
      <c r="AF33" s="2252"/>
      <c r="AG33" s="2252"/>
      <c r="AH33" s="2252"/>
      <c r="AI33" s="327"/>
      <c r="AJ33" s="327"/>
      <c r="AK33" s="281"/>
      <c r="AL33" s="369"/>
      <c r="AM33" s="369"/>
      <c r="AN33" s="369"/>
      <c r="AO33" s="369"/>
      <c r="AP33" s="369"/>
      <c r="AQ33" s="419">
        <v>0</v>
      </c>
    </row>
    <row s="1854" customFormat="1" customHeight="1" ht="1.05">
      <c r="A34" s="1369"/>
      <c r="B34" s="1369"/>
      <c r="C34" s="1369"/>
      <c r="D34" s="1369"/>
      <c r="E34" s="1369"/>
      <c r="F34" s="1369"/>
      <c r="G34" s="1369"/>
      <c r="H34" s="1369"/>
      <c r="I34" s="1369"/>
      <c r="J34" s="1369"/>
      <c r="K34" s="1369"/>
      <c r="L34" s="1370"/>
      <c r="M34" s="1369"/>
      <c r="N34" s="1369"/>
      <c r="O34" s="1369"/>
      <c r="S34" s="324"/>
      <c r="T34" s="324"/>
      <c r="U34" s="1455"/>
      <c r="V34" s="327"/>
      <c r="W34" s="327"/>
      <c r="X34" s="327"/>
      <c r="Y34" s="327"/>
      <c r="Z34" s="327"/>
      <c r="AA34" s="327"/>
      <c r="AB34" s="279" t="s">
        <v>554</v>
      </c>
      <c r="AC34" s="327"/>
      <c r="AD34" s="327"/>
      <c r="AE34" s="327"/>
      <c r="AF34" s="327"/>
      <c r="AG34" s="327"/>
      <c r="AH34" s="327"/>
      <c r="AI34" s="279" t="s">
        <v>554</v>
      </c>
      <c r="AL34" s="369"/>
      <c r="AM34" s="369"/>
      <c r="AN34" s="369"/>
      <c r="AO34" s="369"/>
      <c r="AP34" s="369"/>
      <c r="AQ34" s="419">
        <v>1</v>
      </c>
    </row>
    <row customHeight="1" ht="14.699999999999998">
      <c r="Q35" s="377"/>
      <c r="R35" s="377"/>
      <c r="S35" s="1276"/>
      <c r="T35" s="364"/>
      <c r="U35" s="1245"/>
      <c r="V35" s="2253"/>
      <c r="W35" s="2253"/>
      <c r="X35" s="2253"/>
      <c r="Y35" s="2253"/>
      <c r="Z35" s="2253"/>
      <c r="AA35" s="2253"/>
      <c r="AB35" s="2253"/>
      <c r="AC35" s="2253"/>
      <c r="AD35" s="2253"/>
      <c r="AE35" s="2253"/>
      <c r="AF35" s="2253"/>
      <c r="AG35" s="2253"/>
      <c r="AH35" s="2253"/>
      <c r="AI35" s="2253"/>
      <c r="AQ35" s="1156">
        <v>14</v>
      </c>
    </row>
    <row customHeight="1" ht="14.699999999999998">
      <c r="Q36" s="377"/>
      <c r="R36" s="377"/>
      <c r="S36" s="2128" t="s">
        <v>430</v>
      </c>
      <c r="T36" s="2128"/>
      <c r="U36" s="2128"/>
      <c r="V36" s="2128"/>
      <c r="W36" s="2128"/>
      <c r="X36" s="2128"/>
      <c r="Y36" s="2128"/>
      <c r="Z36" s="2128"/>
      <c r="AA36" s="2128"/>
      <c r="AB36" s="2128"/>
      <c r="AC36" s="2128"/>
      <c r="AD36" s="2128"/>
      <c r="AE36" s="2128"/>
      <c r="AF36" s="2128"/>
      <c r="AG36" s="2128"/>
      <c r="AH36" s="2128"/>
      <c r="AI36" s="2128"/>
      <c r="AJ36" s="2128"/>
      <c r="AK36" s="2128" t="s">
        <v>431</v>
      </c>
      <c r="AQ36" s="1156">
        <v>14</v>
      </c>
    </row>
    <row customHeight="1" ht="14.699999999999998">
      <c r="Q37" s="377"/>
      <c r="R37" s="377"/>
      <c r="S37" s="2274" t="s">
        <v>92</v>
      </c>
      <c r="T37" s="2210" t="s">
        <v>555</v>
      </c>
      <c r="U37" s="302"/>
      <c r="V37" s="2275" t="s">
        <v>556</v>
      </c>
      <c r="W37" s="2276"/>
      <c r="X37" s="2276"/>
      <c r="Y37" s="2276"/>
      <c r="Z37" s="2276"/>
      <c r="AA37" s="2277"/>
      <c r="AB37" s="2278" t="s">
        <v>557</v>
      </c>
      <c r="AC37" s="2275" t="s">
        <v>556</v>
      </c>
      <c r="AD37" s="2276"/>
      <c r="AE37" s="2276"/>
      <c r="AF37" s="2276"/>
      <c r="AG37" s="2276"/>
      <c r="AH37" s="2277"/>
      <c r="AI37" s="2278" t="s">
        <v>558</v>
      </c>
      <c r="AJ37" s="2281" t="s">
        <v>559</v>
      </c>
      <c r="AK37" s="2128"/>
      <c r="AQ37" s="1156">
        <v>14</v>
      </c>
    </row>
    <row customHeight="1" ht="35.699999999999996">
      <c r="Q38" s="377"/>
      <c r="R38" s="377"/>
      <c r="S38" s="2274"/>
      <c r="T38" s="2210"/>
      <c r="U38" s="1032"/>
      <c r="V38" s="1453" t="s">
        <v>620</v>
      </c>
      <c r="W38" s="2263" t="s">
        <v>562</v>
      </c>
      <c r="X38" s="2264"/>
      <c r="Y38" s="2263" t="s">
        <v>563</v>
      </c>
      <c r="Z38" s="2270"/>
      <c r="AA38" s="2264"/>
      <c r="AB38" s="2279"/>
      <c r="AC38" s="1453" t="s">
        <v>620</v>
      </c>
      <c r="AD38" s="2263" t="s">
        <v>562</v>
      </c>
      <c r="AE38" s="2264"/>
      <c r="AF38" s="2263" t="s">
        <v>563</v>
      </c>
      <c r="AG38" s="2270"/>
      <c r="AH38" s="2264"/>
      <c r="AI38" s="2279"/>
      <c r="AJ38" s="2282"/>
      <c r="AK38" s="2128"/>
      <c r="AQ38" s="1156">
        <v>34</v>
      </c>
    </row>
    <row customHeight="1" ht="35.699999999999996">
      <c r="A39" s="1371"/>
      <c r="B39" s="1371" t="s">
        <v>148</v>
      </c>
      <c r="C39" s="1371" t="s">
        <v>149</v>
      </c>
      <c r="D39" s="1371" t="s">
        <v>150</v>
      </c>
      <c r="E39" s="1365" t="s">
        <v>564</v>
      </c>
      <c r="F39" s="1365" t="s">
        <v>565</v>
      </c>
      <c r="G39" s="1365" t="s">
        <v>566</v>
      </c>
      <c r="H39" s="1365"/>
      <c r="I39" s="1365" t="s">
        <v>621</v>
      </c>
      <c r="J39" s="1365" t="s">
        <v>569</v>
      </c>
      <c r="K39" s="1365" t="s">
        <v>622</v>
      </c>
      <c r="L39" s="1365" t="s">
        <v>545</v>
      </c>
      <c r="Q39" s="377"/>
      <c r="R39" s="377"/>
      <c r="S39" s="2274"/>
      <c r="T39" s="2210"/>
      <c r="U39" s="303"/>
      <c r="V39" s="1453" t="s">
        <v>623</v>
      </c>
      <c r="W39" s="1223" t="s">
        <v>624</v>
      </c>
      <c r="X39" s="1223" t="s">
        <v>625</v>
      </c>
      <c r="Y39" s="1456" t="s">
        <v>573</v>
      </c>
      <c r="Z39" s="2271" t="s">
        <v>574</v>
      </c>
      <c r="AA39" s="2272"/>
      <c r="AB39" s="2280"/>
      <c r="AC39" s="1453" t="s">
        <v>623</v>
      </c>
      <c r="AD39" s="1223" t="s">
        <v>624</v>
      </c>
      <c r="AE39" s="1223" t="s">
        <v>625</v>
      </c>
      <c r="AF39" s="1456" t="s">
        <v>573</v>
      </c>
      <c r="AG39" s="2271" t="s">
        <v>574</v>
      </c>
      <c r="AH39" s="2272"/>
      <c r="AI39" s="2280"/>
      <c r="AJ39" s="2283"/>
      <c r="AK39" s="2128"/>
      <c r="AQ39" s="1156">
        <v>34</v>
      </c>
    </row>
    <row s="1642" customFormat="1" customHeight="1" ht="0">
      <c r="A40" s="1371"/>
      <c r="B40" s="1371"/>
      <c r="C40" s="1371"/>
      <c r="D40" s="1371"/>
      <c r="E40" s="1371"/>
      <c r="F40" s="1371"/>
      <c r="G40" s="1371"/>
      <c r="H40" s="1371"/>
      <c r="I40" s="1371"/>
      <c r="J40" s="1371"/>
      <c r="K40" s="1371"/>
      <c r="L40" s="1365"/>
      <c r="M40" s="1363"/>
      <c r="N40" s="1363"/>
      <c r="O40" s="1363"/>
      <c r="P40" s="1247"/>
      <c r="Q40" s="1248"/>
      <c r="R40" s="1255">
        <v>1</v>
      </c>
      <c r="S40" s="1278" t="s">
        <v>123</v>
      </c>
      <c r="T40" s="1256" t="s">
        <v>107</v>
      </c>
      <c r="U40" s="1246" t="str">
        <f>OFFSET(U40,0,-1)</f>
        <v>2</v>
      </c>
      <c r="V40" s="1452">
        <f>OFFSET(V40,0,-1)+1</f>
        <v>3</v>
      </c>
      <c r="W40" s="1452">
        <f>OFFSET(W40,0,-1)+1</f>
        <v>4</v>
      </c>
      <c r="X40" s="1452">
        <f>OFFSET(X40,0,-1)+1</f>
        <v>5</v>
      </c>
      <c r="Y40" s="1452">
        <f>OFFSET(Y40,0,-1)+1</f>
        <v>6</v>
      </c>
      <c r="Z40" s="2273">
        <f>OFFSET(Z40,0,-1)+1</f>
        <v>7</v>
      </c>
      <c r="AA40" s="2273"/>
      <c r="AB40" s="1452">
        <f>OFFSET(AB40,0,-2)+1</f>
        <v>8</v>
      </c>
      <c r="AC40" s="1452">
        <f>OFFSET(AC40,0,-1)+1</f>
        <v>9</v>
      </c>
      <c r="AD40" s="1452">
        <f>OFFSET(AD40,0,-1)+1</f>
        <v>10</v>
      </c>
      <c r="AE40" s="1452">
        <f>OFFSET(AE40,0,-1)+1</f>
        <v>11</v>
      </c>
      <c r="AF40" s="1452">
        <f>OFFSET(AF40,0,-1)+1</f>
        <v>12</v>
      </c>
      <c r="AG40" s="2273">
        <f>OFFSET(AG40,0,-1)+1</f>
        <v>13</v>
      </c>
      <c r="AH40" s="2273"/>
      <c r="AI40" s="1452">
        <f>OFFSET(AI40,0,-2)+1</f>
        <v>14</v>
      </c>
      <c r="AJ40" s="1246">
        <f>OFFSET(AJ40,0,-1)</f>
        <v>14</v>
      </c>
      <c r="AK40" s="1452">
        <f>OFFSET(AK40,0,-1)+1</f>
        <v>15</v>
      </c>
      <c r="AL40" s="512"/>
      <c r="AM40" s="512"/>
      <c r="AN40" s="512"/>
      <c r="AO40" s="512"/>
      <c r="AP40" s="512"/>
      <c r="AQ40" s="497">
        <v>0</v>
      </c>
    </row>
    <row customHeight="1" ht="24">
      <c r="A41" s="1364" t="s">
        <v>366</v>
      </c>
      <c r="B41" s="1364"/>
      <c r="C41" s="1364"/>
      <c r="D41" s="1364"/>
      <c r="E41" s="2259">
        <v>1</v>
      </c>
      <c r="F41" s="1364"/>
      <c r="G41" s="1364"/>
      <c r="H41" s="1364"/>
      <c r="I41" s="1364"/>
      <c r="J41" s="1364"/>
      <c r="K41" s="1364"/>
      <c r="L41" s="1365"/>
      <c r="M41" s="1366"/>
      <c r="N41" s="1366"/>
      <c r="O41" s="1366"/>
      <c r="P41" s="362"/>
      <c r="Q41" s="361"/>
      <c r="R41" s="356"/>
      <c r="S41" s="1458">
        <f>INDEX(PT_DIFFERENTIATION_NUM_NTAR,MATCH(A41,PT_DIFFERENTIATION_NTAR_ID,0))</f>
        <v>0</v>
      </c>
      <c r="T41" s="299" t="s">
        <v>136</v>
      </c>
      <c r="U41" s="301"/>
      <c r="V41" s="2243"/>
      <c r="W41" s="2244"/>
      <c r="X41" s="2244"/>
      <c r="Y41" s="2244"/>
      <c r="Z41" s="2244"/>
      <c r="AA41" s="2244"/>
      <c r="AB41" s="2245"/>
      <c r="AC41" s="2243" t="str">
        <f>INDEX(PT_DIFFERENTIATION_NTAR,MATCH(A41,PT_DIFFERENTIATION_NTAR_ID,0))</f>
        <v/>
      </c>
      <c r="AD41" s="2244"/>
      <c r="AE41" s="2244"/>
      <c r="AF41" s="2244"/>
      <c r="AG41" s="2244"/>
      <c r="AH41" s="2244"/>
      <c r="AI41" s="2244"/>
      <c r="AJ41" s="2245"/>
      <c r="AK41" s="125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AM41" s="501"/>
      <c r="AN41" s="501" t="str">
        <f>IF(T41="","",T41)</f>
        <v>Наименование тарифа</v>
      </c>
      <c r="AO41" s="501"/>
      <c r="AP41" s="501"/>
      <c r="AQ41" s="1156">
        <v>23</v>
      </c>
    </row>
    <row customHeight="1" ht="24">
      <c r="A42" s="1364" t="s">
        <v>366</v>
      </c>
      <c r="B42" s="1364" t="s">
        <v>367</v>
      </c>
      <c r="C42" s="1364"/>
      <c r="D42" s="1364"/>
      <c r="E42" s="2260"/>
      <c r="F42" s="2259">
        <v>1</v>
      </c>
      <c r="G42" s="1364"/>
      <c r="H42" s="1364"/>
      <c r="I42" s="1364"/>
      <c r="J42" s="1364"/>
      <c r="K42" s="1364"/>
      <c r="L42" s="1365"/>
      <c r="M42" s="1366"/>
      <c r="N42" s="1366"/>
      <c r="O42" s="1366"/>
      <c r="P42" s="1454"/>
      <c r="Q42" s="353"/>
      <c r="R42" s="354"/>
      <c r="S42" s="1458" t="str">
        <f>INDEX(PT_DIFFERENTIATION_NUM_TER,MATCH(B42,PT_DIFFERENTIATION_TER_ID,0))</f>
        <v>.</v>
      </c>
      <c r="T42" s="309" t="s">
        <v>527</v>
      </c>
      <c r="U42" s="301"/>
      <c r="V42" s="2243"/>
      <c r="W42" s="2244"/>
      <c r="X42" s="2244"/>
      <c r="Y42" s="2244"/>
      <c r="Z42" s="2244"/>
      <c r="AA42" s="2244"/>
      <c r="AB42" s="2245"/>
      <c r="AC42" s="2243" t="str">
        <f>INDEX(PT_DIFFERENTIATION_TER,MATCH(B42,PT_DIFFERENTIATION_TER_ID,0))</f>
        <v/>
      </c>
      <c r="AD42" s="2244"/>
      <c r="AE42" s="2244"/>
      <c r="AF42" s="2244"/>
      <c r="AG42" s="2244"/>
      <c r="AH42" s="2244"/>
      <c r="AI42" s="2244"/>
      <c r="AJ42" s="2245"/>
      <c r="AK42" s="1259" t="s">
        <v>528</v>
      </c>
      <c r="AM42" s="501"/>
      <c r="AN42" s="501" t="str">
        <f>IF(T42="","",T42)</f>
        <v>Территория действия тарифа</v>
      </c>
      <c r="AO42" s="501"/>
      <c r="AP42" s="501"/>
      <c r="AQ42" s="1156">
        <v>23</v>
      </c>
    </row>
    <row customHeight="1" ht="24">
      <c r="A43" s="1364" t="s">
        <v>366</v>
      </c>
      <c r="B43" s="1364" t="s">
        <v>367</v>
      </c>
      <c r="C43" s="1364" t="s">
        <v>368</v>
      </c>
      <c r="D43" s="1364"/>
      <c r="E43" s="2260"/>
      <c r="F43" s="2260"/>
      <c r="G43" s="2259">
        <v>1</v>
      </c>
      <c r="H43" s="1364"/>
      <c r="I43" s="1364"/>
      <c r="J43" s="1364"/>
      <c r="K43" s="1364"/>
      <c r="L43" s="1365"/>
      <c r="M43" s="1366"/>
      <c r="N43" s="1366"/>
      <c r="O43" s="1366"/>
      <c r="P43" s="355"/>
      <c r="Q43" s="353"/>
      <c r="R43" s="354"/>
      <c r="S43" s="1458" t="str">
        <f>INDEX(PT_DIFFERENTIATION_NUM_CS,MATCH(C43,PT_DIFFERENTIATION_CS_ID,0))</f>
        <v>..</v>
      </c>
      <c r="T43" s="310" t="s">
        <v>612</v>
      </c>
      <c r="U43" s="301"/>
      <c r="V43" s="2243"/>
      <c r="W43" s="2244"/>
      <c r="X43" s="2244"/>
      <c r="Y43" s="2244"/>
      <c r="Z43" s="2244"/>
      <c r="AA43" s="2244"/>
      <c r="AB43" s="2245"/>
      <c r="AC43" s="2243" t="str">
        <f>INDEX(PT_DIFFERENTIATION_CS,MATCH(C43,PT_DIFFERENTIATION_CS_ID,0))</f>
        <v/>
      </c>
      <c r="AD43" s="2244"/>
      <c r="AE43" s="2244"/>
      <c r="AF43" s="2244"/>
      <c r="AG43" s="2244"/>
      <c r="AH43" s="2244"/>
      <c r="AI43" s="2244"/>
      <c r="AJ43" s="2245"/>
      <c r="AK43" s="1259" t="s">
        <v>613</v>
      </c>
      <c r="AM43" s="501"/>
      <c r="AN43" s="501" t="str">
        <f>IF(T43="","",T43)</f>
        <v>Наименование централизованной системы холодного водоснабжения</v>
      </c>
      <c r="AO43" s="501"/>
      <c r="AP43" s="501"/>
      <c r="AQ43" s="1156">
        <v>23</v>
      </c>
    </row>
    <row customHeight="1" ht="24">
      <c r="A44" s="1364" t="s">
        <v>366</v>
      </c>
      <c r="B44" s="1364" t="s">
        <v>367</v>
      </c>
      <c r="C44" s="1364" t="s">
        <v>368</v>
      </c>
      <c r="D44" s="1364" t="s">
        <v>628</v>
      </c>
      <c r="E44" s="2260"/>
      <c r="F44" s="2260"/>
      <c r="G44" s="2260"/>
      <c r="H44" s="2260"/>
      <c r="I44" s="2257" t="str">
        <f>S43&amp;".1"</f>
        <v>...1</v>
      </c>
      <c r="J44" s="1364"/>
      <c r="K44" s="1364"/>
      <c r="L44" s="1365"/>
      <c r="P44" s="2258">
        <v>1</v>
      </c>
      <c r="Q44" s="1451"/>
      <c r="R44" s="357"/>
      <c r="S44" s="1458" t="str">
        <f>$I44</f>
        <v>...1</v>
      </c>
      <c r="T44" s="286" t="s">
        <v>614</v>
      </c>
      <c r="U44" s="301"/>
      <c r="V44" s="2351"/>
      <c r="W44" s="2352"/>
      <c r="X44" s="2352"/>
      <c r="Y44" s="2352"/>
      <c r="Z44" s="2352"/>
      <c r="AA44" s="2352"/>
      <c r="AB44" s="2353"/>
      <c r="AC44" s="2354"/>
      <c r="AD44" s="2355"/>
      <c r="AE44" s="2355"/>
      <c r="AF44" s="2355"/>
      <c r="AG44" s="2355"/>
      <c r="AH44" s="2355"/>
      <c r="AI44" s="2355"/>
      <c r="AJ44" s="2356"/>
      <c r="AK44" s="1259" t="s">
        <v>615</v>
      </c>
      <c r="AM44" s="501"/>
      <c r="AN44" s="501" t="str">
        <f>IF(T44="","",T44)</f>
        <v>Наименование признака дифференциации</v>
      </c>
      <c r="AO44" s="501"/>
      <c r="AP44" s="501"/>
      <c r="AQ44" s="1156">
        <v>23</v>
      </c>
    </row>
    <row customHeight="1" ht="24">
      <c r="A45" s="1364" t="s">
        <v>366</v>
      </c>
      <c r="B45" s="1364" t="s">
        <v>367</v>
      </c>
      <c r="C45" s="1364" t="s">
        <v>368</v>
      </c>
      <c r="D45" s="1364" t="s">
        <v>628</v>
      </c>
      <c r="E45" s="2260"/>
      <c r="F45" s="2260"/>
      <c r="G45" s="2260"/>
      <c r="H45" s="2260"/>
      <c r="I45" s="2287"/>
      <c r="J45" s="2257" t="str">
        <f>I44&amp;".1"</f>
        <v>...1.1</v>
      </c>
      <c r="K45" s="1364"/>
      <c r="L45" s="1365" t="s">
        <v>536</v>
      </c>
      <c r="P45" s="2258"/>
      <c r="Q45" s="2258">
        <v>1</v>
      </c>
      <c r="R45" s="358"/>
      <c r="S45" s="1458" t="str">
        <f>$J45</f>
        <v>...1.1</v>
      </c>
      <c r="T45" s="287" t="s">
        <v>537</v>
      </c>
      <c r="U45" s="301"/>
      <c r="V45" s="2246"/>
      <c r="W45" s="2247"/>
      <c r="X45" s="2247"/>
      <c r="Y45" s="2247"/>
      <c r="Z45" s="2247"/>
      <c r="AA45" s="2247"/>
      <c r="AB45" s="2248"/>
      <c r="AC45" s="2246"/>
      <c r="AD45" s="2247"/>
      <c r="AE45" s="2247"/>
      <c r="AF45" s="2247"/>
      <c r="AG45" s="2247"/>
      <c r="AH45" s="2247"/>
      <c r="AI45" s="2247"/>
      <c r="AJ45" s="2248"/>
      <c r="AK45" s="1308" t="s">
        <v>616</v>
      </c>
      <c r="AM45" s="501"/>
      <c r="AN45" s="501" t="str">
        <f>IF(T45="","",T45)</f>
        <v>Группа потребителей</v>
      </c>
      <c r="AO45" s="501"/>
      <c r="AP45" s="501"/>
      <c r="AQ45" s="1156">
        <v>23</v>
      </c>
    </row>
    <row customHeight="1" ht="24">
      <c r="A46" s="1364" t="s">
        <v>366</v>
      </c>
      <c r="B46" s="1364" t="s">
        <v>367</v>
      </c>
      <c r="C46" s="1364" t="s">
        <v>368</v>
      </c>
      <c r="D46" s="1364" t="s">
        <v>628</v>
      </c>
      <c r="E46" s="2260"/>
      <c r="F46" s="2260"/>
      <c r="G46" s="2260"/>
      <c r="H46" s="2260"/>
      <c r="I46" s="2287"/>
      <c r="J46" s="2287"/>
      <c r="K46" s="2257" t="str">
        <f>J45&amp;".1"</f>
        <v>...1.1.1</v>
      </c>
      <c r="L46" s="1365"/>
      <c r="P46" s="2258"/>
      <c r="Q46" s="2258"/>
      <c r="R46" s="358">
        <v>1</v>
      </c>
      <c r="S46" s="1458" t="str">
        <f>$K46</f>
        <v>...1.1.1</v>
      </c>
      <c r="T46" s="1438"/>
      <c r="U46" s="301"/>
      <c r="V46" s="752"/>
      <c r="W46" s="752"/>
      <c r="X46" s="1258"/>
      <c r="Y46" s="2266"/>
      <c r="Z46" s="2108" t="s">
        <v>65</v>
      </c>
      <c r="AA46" s="2266"/>
      <c r="AB46" s="2108" t="s">
        <v>65</v>
      </c>
      <c r="AC46" s="752"/>
      <c r="AD46" s="752"/>
      <c r="AE46" s="1258"/>
      <c r="AF46" s="2266"/>
      <c r="AG46" s="2108" t="s">
        <v>65</v>
      </c>
      <c r="AH46" s="2288"/>
      <c r="AI46" s="2108" t="s">
        <v>65</v>
      </c>
      <c r="AJ46" s="1439"/>
      <c r="AK46" s="2350"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2">
        <f>STRCHECKDATE(V47:AJ47)</f>
      </c>
      <c r="AM46" s="501"/>
      <c r="AN46" s="501" t="str">
        <f>IF(T46="","",T46)</f>
        <v/>
      </c>
      <c r="AO46" s="501"/>
      <c r="AP46" s="501"/>
      <c r="AQ46" s="1156">
        <v>23</v>
      </c>
    </row>
    <row customHeight="1" ht="0">
      <c r="A47" s="1364" t="s">
        <v>366</v>
      </c>
      <c r="B47" s="1364" t="s">
        <v>367</v>
      </c>
      <c r="C47" s="1364" t="s">
        <v>368</v>
      </c>
      <c r="D47" s="1364" t="s">
        <v>628</v>
      </c>
      <c r="E47" s="2260"/>
      <c r="F47" s="2260"/>
      <c r="G47" s="2260"/>
      <c r="H47" s="2260"/>
      <c r="I47" s="2287"/>
      <c r="J47" s="2287"/>
      <c r="K47" s="2257"/>
      <c r="L47" s="1365"/>
      <c r="P47" s="2258"/>
      <c r="Q47" s="2258"/>
      <c r="R47" s="358"/>
      <c r="S47" s="1457"/>
      <c r="T47" s="301"/>
      <c r="U47" s="301"/>
      <c r="V47" s="326"/>
      <c r="W47" s="326"/>
      <c r="X47" s="329" t="str">
        <f>Y46&amp;"-"&amp;AA46</f>
        <v>-</v>
      </c>
      <c r="Y47" s="2267"/>
      <c r="Z47" s="2108"/>
      <c r="AA47" s="2267"/>
      <c r="AB47" s="2108"/>
      <c r="AC47" s="326"/>
      <c r="AD47" s="326"/>
      <c r="AE47" s="329" t="str">
        <f>AF46&amp;"-"&amp;AH46</f>
        <v>-</v>
      </c>
      <c r="AF47" s="2267"/>
      <c r="AG47" s="2108"/>
      <c r="AH47" s="2289"/>
      <c r="AI47" s="2108"/>
      <c r="AJ47" s="1440"/>
      <c r="AK47" s="2350"/>
      <c r="AM47" s="501"/>
      <c r="AN47" s="501" t="str">
        <f>IF(T47="","",T47)</f>
        <v/>
      </c>
      <c r="AO47" s="501"/>
      <c r="AP47" s="501"/>
      <c r="AQ47" s="1156">
        <v>0</v>
      </c>
    </row>
    <row customHeight="1" ht="21">
      <c r="A48" s="1364" t="s">
        <v>366</v>
      </c>
      <c r="B48" s="1364" t="s">
        <v>367</v>
      </c>
      <c r="C48" s="1364" t="s">
        <v>368</v>
      </c>
      <c r="D48" s="1364" t="s">
        <v>628</v>
      </c>
      <c r="E48" s="2260"/>
      <c r="F48" s="2260"/>
      <c r="G48" s="2260"/>
      <c r="H48" s="2260"/>
      <c r="I48" s="2287"/>
      <c r="J48" s="2257"/>
      <c r="K48" s="1364"/>
      <c r="L48" s="1365"/>
      <c r="P48" s="2258"/>
      <c r="Q48" s="2258"/>
      <c r="R48" s="357"/>
      <c r="S48" s="1279"/>
      <c r="T48" s="288" t="s">
        <v>617</v>
      </c>
      <c r="U48" s="368"/>
      <c r="V48" s="368"/>
      <c r="W48" s="368"/>
      <c r="X48" s="368"/>
      <c r="Y48" s="368"/>
      <c r="Z48" s="368"/>
      <c r="AA48" s="368"/>
      <c r="AB48" s="368"/>
      <c r="AC48" s="368"/>
      <c r="AD48" s="368"/>
      <c r="AE48" s="368"/>
      <c r="AF48" s="368"/>
      <c r="AG48" s="368"/>
      <c r="AH48" s="368"/>
      <c r="AI48" s="368"/>
      <c r="AJ48" s="368"/>
      <c r="AK48" s="1259" t="s">
        <v>618</v>
      </c>
      <c r="AM48" s="501"/>
      <c r="AN48" s="501" t="str">
        <f>IF(T48="","",T48)</f>
        <v>Добавить значение признака дифференциации</v>
      </c>
      <c r="AO48" s="501"/>
      <c r="AP48" s="501"/>
      <c r="AQ48" s="1156">
        <v>20</v>
      </c>
    </row>
    <row customHeight="1" ht="22.049999999999997">
      <c r="A49" s="1364" t="s">
        <v>366</v>
      </c>
      <c r="B49" s="1364" t="s">
        <v>367</v>
      </c>
      <c r="C49" s="1364" t="s">
        <v>368</v>
      </c>
      <c r="D49" s="1364" t="s">
        <v>628</v>
      </c>
      <c r="E49" s="2260"/>
      <c r="F49" s="2260"/>
      <c r="G49" s="2260"/>
      <c r="H49" s="2260"/>
      <c r="I49" s="2257"/>
      <c r="J49" s="1364"/>
      <c r="K49" s="1364"/>
      <c r="L49" s="1365"/>
      <c r="P49" s="2258"/>
      <c r="Q49" s="1451"/>
      <c r="R49" s="357"/>
      <c r="S49" s="1279"/>
      <c r="T49" s="366" t="s">
        <v>542</v>
      </c>
      <c r="U49" s="368"/>
      <c r="V49" s="368"/>
      <c r="W49" s="368"/>
      <c r="X49" s="368"/>
      <c r="Y49" s="368"/>
      <c r="Z49" s="368"/>
      <c r="AA49" s="368"/>
      <c r="AB49" s="367"/>
      <c r="AC49" s="368"/>
      <c r="AD49" s="368"/>
      <c r="AE49" s="368"/>
      <c r="AF49" s="368"/>
      <c r="AG49" s="368"/>
      <c r="AH49" s="368"/>
      <c r="AI49" s="367"/>
      <c r="AJ49" s="368"/>
      <c r="AK49" s="1441"/>
      <c r="AM49" s="501"/>
      <c r="AN49" s="501" t="str">
        <f>IF(T49="","",T49)</f>
        <v>Добавить группу потребителей</v>
      </c>
      <c r="AO49" s="501"/>
      <c r="AP49" s="501"/>
      <c r="AQ49" s="1156">
        <v>21</v>
      </c>
    </row>
    <row customHeight="1" ht="22.049999999999997">
      <c r="A50" s="1364" t="s">
        <v>366</v>
      </c>
      <c r="B50" s="1364" t="s">
        <v>367</v>
      </c>
      <c r="C50" s="1364" t="s">
        <v>368</v>
      </c>
      <c r="D50" s="1364" t="s">
        <v>628</v>
      </c>
      <c r="E50" s="2260"/>
      <c r="F50" s="2260"/>
      <c r="G50" s="2260"/>
      <c r="H50" s="2259"/>
      <c r="I50" s="1364"/>
      <c r="J50" s="1364"/>
      <c r="K50" s="1364"/>
      <c r="L50" s="1365"/>
      <c r="M50" s="1366"/>
      <c r="N50" s="1366"/>
      <c r="O50" s="538"/>
      <c r="P50" s="361"/>
      <c r="Q50" s="376"/>
      <c r="R50" s="356"/>
      <c r="S50" s="1279"/>
      <c r="T50" s="373" t="s">
        <v>619</v>
      </c>
      <c r="U50" s="368"/>
      <c r="V50" s="368"/>
      <c r="W50" s="368"/>
      <c r="X50" s="368"/>
      <c r="Y50" s="368"/>
      <c r="Z50" s="368"/>
      <c r="AA50" s="368"/>
      <c r="AB50" s="367"/>
      <c r="AC50" s="368"/>
      <c r="AD50" s="368"/>
      <c r="AE50" s="368"/>
      <c r="AF50" s="368"/>
      <c r="AG50" s="368"/>
      <c r="AH50" s="368"/>
      <c r="AI50" s="367"/>
      <c r="AJ50" s="368"/>
      <c r="AK50" s="304"/>
      <c r="AM50" s="501"/>
      <c r="AN50" s="501" t="str">
        <f>IF(T50="","",T50)</f>
        <v>Добавить наименование признака дифференциации</v>
      </c>
      <c r="AO50" s="501"/>
      <c r="AP50" s="501"/>
      <c r="AQ50" s="1156">
        <v>21</v>
      </c>
    </row>
    <row s="1643" customFormat="1" customHeight="1" ht="0">
      <c r="A51" s="1344" t="s">
        <v>366</v>
      </c>
      <c r="B51" s="1344" t="s">
        <v>367</v>
      </c>
      <c r="C51" s="1315"/>
      <c r="D51" s="1315"/>
      <c r="E51" s="2260"/>
      <c r="F51" s="2259"/>
      <c r="G51" s="1315"/>
      <c r="H51" s="1315"/>
      <c r="I51" s="1315"/>
      <c r="J51" s="1315"/>
      <c r="K51" s="1315"/>
      <c r="L51" s="1459"/>
      <c r="M51" s="1322"/>
      <c r="N51" s="1322"/>
      <c r="P51" s="1317"/>
      <c r="Q51" s="1318"/>
      <c r="R51" s="1317"/>
      <c r="S51" s="1323"/>
      <c r="T51" s="1326" t="s">
        <v>178</v>
      </c>
      <c r="U51" s="1325"/>
      <c r="V51" s="1325"/>
      <c r="W51" s="1325"/>
      <c r="X51" s="1325"/>
      <c r="Y51" s="1325"/>
      <c r="Z51" s="1325"/>
      <c r="AA51" s="1325"/>
      <c r="AB51" s="1325"/>
      <c r="AC51" s="1325"/>
      <c r="AD51" s="1325"/>
      <c r="AE51" s="1325"/>
      <c r="AF51" s="1325"/>
      <c r="AG51" s="1325"/>
      <c r="AH51" s="1325"/>
      <c r="AI51" s="1325"/>
      <c r="AJ51" s="1325"/>
      <c r="AK51" s="1325"/>
      <c r="AM51" s="790"/>
      <c r="AN51" s="790" t="str">
        <f>IF(T51="","",T51)</f>
        <v>Добавить централизованную систему для дифференциации</v>
      </c>
      <c r="AO51" s="790"/>
      <c r="AP51" s="790"/>
      <c r="AQ51" s="519">
        <v>0</v>
      </c>
    </row>
    <row s="1643" customFormat="1" customHeight="1" ht="0">
      <c r="A52" s="1344" t="s">
        <v>366</v>
      </c>
      <c r="B52" s="1344"/>
      <c r="C52" s="1344"/>
      <c r="D52" s="1344"/>
      <c r="E52" s="2259"/>
      <c r="F52" s="1344"/>
      <c r="G52" s="1344"/>
      <c r="H52" s="1344"/>
      <c r="I52" s="1344"/>
      <c r="J52" s="1344"/>
      <c r="K52" s="1344"/>
      <c r="L52" s="1347"/>
      <c r="M52" s="1322"/>
      <c r="N52" s="1322"/>
      <c r="O52" s="519"/>
      <c r="P52" s="381"/>
      <c r="Q52" s="1345"/>
      <c r="R52" s="381"/>
      <c r="S52" s="1323"/>
      <c r="T52" s="1326" t="s">
        <v>183</v>
      </c>
      <c r="U52" s="1325"/>
      <c r="V52" s="1325"/>
      <c r="W52" s="1325"/>
      <c r="X52" s="1325"/>
      <c r="Y52" s="1325"/>
      <c r="Z52" s="1325"/>
      <c r="AA52" s="1325"/>
      <c r="AB52" s="1325"/>
      <c r="AC52" s="1325"/>
      <c r="AD52" s="1325"/>
      <c r="AE52" s="1325"/>
      <c r="AF52" s="1325"/>
      <c r="AG52" s="1325"/>
      <c r="AH52" s="1325"/>
      <c r="AI52" s="1325"/>
      <c r="AJ52" s="1325"/>
      <c r="AK52" s="1325"/>
      <c r="AM52" s="501"/>
      <c r="AN52" s="501" t="str">
        <f>IF(T52="","",T52)</f>
        <v>Добавить территорию для дифференциации</v>
      </c>
      <c r="AO52" s="501"/>
      <c r="AP52" s="501"/>
      <c r="AQ52" s="512">
        <v>0</v>
      </c>
    </row>
    <row s="1643" customFormat="1" customHeight="1" ht="0">
      <c r="A53" s="1315"/>
      <c r="B53" s="1315"/>
      <c r="C53" s="1315"/>
      <c r="D53" s="1315"/>
      <c r="E53" s="1344"/>
      <c r="F53" s="1315"/>
      <c r="G53" s="1315"/>
      <c r="H53" s="1315"/>
      <c r="I53" s="1315"/>
      <c r="J53" s="1315"/>
      <c r="K53" s="1315"/>
      <c r="L53" s="1459"/>
      <c r="M53" s="1322"/>
      <c r="N53" s="1322"/>
      <c r="P53" s="1317"/>
      <c r="Q53" s="1318"/>
      <c r="R53" s="1317"/>
      <c r="S53" s="1323"/>
      <c r="T53" s="1326" t="s">
        <v>222</v>
      </c>
      <c r="U53" s="1325"/>
      <c r="V53" s="1325"/>
      <c r="W53" s="1325"/>
      <c r="X53" s="1325"/>
      <c r="Y53" s="1325"/>
      <c r="Z53" s="1325"/>
      <c r="AA53" s="1325"/>
      <c r="AB53" s="1325"/>
      <c r="AC53" s="1325"/>
      <c r="AD53" s="1325"/>
      <c r="AE53" s="1325"/>
      <c r="AF53" s="1325"/>
      <c r="AG53" s="1325"/>
      <c r="AH53" s="1325"/>
      <c r="AI53" s="1325"/>
      <c r="AJ53" s="1325"/>
      <c r="AK53" s="1325"/>
      <c r="AM53" s="790"/>
      <c r="AN53" s="790" t="str">
        <f>IF(T53="","",T53)</f>
        <v>Добавить наименование тарифа</v>
      </c>
      <c r="AO53" s="790"/>
      <c r="AP53" s="790"/>
      <c r="AQ53" s="519">
        <v>0</v>
      </c>
    </row>
    <row customHeight="1" ht="11.549999999999999">
      <c r="M54" s="1161"/>
      <c r="N54" s="1161"/>
      <c r="O54" s="538"/>
      <c r="P54" s="1156"/>
      <c r="Q54" s="1156"/>
      <c r="R54" s="1156"/>
      <c r="S54" s="1156"/>
      <c r="AL54" s="1156"/>
      <c r="AM54" s="1156"/>
      <c r="AN54" s="1156"/>
      <c r="AO54" s="1156"/>
      <c r="AP54" s="1156"/>
      <c r="AQ54" s="1156">
        <v>11</v>
      </c>
    </row>
    <row customHeight="1" ht="14.699999999999998">
      <c r="O55" s="538"/>
      <c r="S55" s="1254"/>
      <c r="T55" s="2286"/>
      <c r="U55" s="2286"/>
      <c r="V55" s="2286"/>
      <c r="W55" s="2286"/>
      <c r="X55" s="2286"/>
      <c r="Y55" s="2286"/>
      <c r="Z55" s="2286"/>
      <c r="AA55" s="2286"/>
      <c r="AB55" s="2286"/>
      <c r="AC55" s="2286"/>
      <c r="AD55" s="2286"/>
      <c r="AE55" s="2286"/>
      <c r="AF55" s="2286"/>
      <c r="AG55" s="2286"/>
      <c r="AH55" s="2286"/>
      <c r="AI55" s="2286"/>
      <c r="AJ55" s="2286"/>
      <c r="AK55" s="2286"/>
      <c r="AQ55" s="1156">
        <v>14</v>
      </c>
    </row>
    <row customHeight="1" ht="14.699999999999998">
      <c r="O56" s="538"/>
      <c r="AQ56" s="1156">
        <v>14</v>
      </c>
    </row>
    <row customHeight="1" ht="14.699999999999998">
      <c r="O57" s="538"/>
      <c r="S57" s="1254"/>
      <c r="T57" s="2286"/>
      <c r="U57" s="2286"/>
      <c r="V57" s="2286"/>
      <c r="W57" s="2286"/>
      <c r="X57" s="2286"/>
      <c r="Y57" s="2286"/>
      <c r="Z57" s="2286"/>
      <c r="AA57" s="2286"/>
      <c r="AB57" s="2286"/>
      <c r="AC57" s="2286"/>
      <c r="AD57" s="2286"/>
      <c r="AE57" s="2286"/>
      <c r="AF57" s="2286"/>
      <c r="AG57" s="2286"/>
      <c r="AH57" s="2286"/>
      <c r="AI57" s="2286"/>
      <c r="AJ57" s="2286"/>
      <c r="AK57" s="2286"/>
      <c r="AQ57" s="1156">
        <v>14</v>
      </c>
    </row>
    <row customHeight="1" ht="22.5" hidden="1">
      <c r="A58" s="1161" t="s">
        <v>86</v>
      </c>
      <c r="B58" s="1161">
        <v>0</v>
      </c>
      <c r="C58" s="1161">
        <v>0</v>
      </c>
      <c r="D58" s="1161">
        <v>0</v>
      </c>
      <c r="E58" s="1161">
        <v>0</v>
      </c>
      <c r="F58" s="1161">
        <v>0</v>
      </c>
      <c r="G58" s="1161">
        <v>0</v>
      </c>
      <c r="H58" s="1161">
        <v>0</v>
      </c>
      <c r="I58" s="1161">
        <v>0</v>
      </c>
      <c r="J58" s="1161">
        <v>0</v>
      </c>
      <c r="K58" s="1161">
        <v>0</v>
      </c>
      <c r="L58" s="1448">
        <v>0</v>
      </c>
      <c r="M58" s="1363">
        <v>0</v>
      </c>
      <c r="N58" s="1363">
        <v>0</v>
      </c>
      <c r="O58" s="1363">
        <v>0</v>
      </c>
      <c r="P58" s="1447">
        <v>3</v>
      </c>
      <c r="Q58" s="345">
        <v>3</v>
      </c>
      <c r="R58" s="345">
        <v>3</v>
      </c>
      <c r="S58" s="582">
        <v>12</v>
      </c>
      <c r="T58" s="1156">
        <v>35</v>
      </c>
      <c r="U58" s="1156">
        <v>0</v>
      </c>
      <c r="V58" s="1156">
        <v>0</v>
      </c>
      <c r="W58" s="1156">
        <v>0</v>
      </c>
      <c r="X58" s="1156">
        <v>0</v>
      </c>
      <c r="Y58" s="1156">
        <v>0</v>
      </c>
      <c r="Z58" s="1156">
        <v>0</v>
      </c>
      <c r="AA58" s="1156">
        <v>0</v>
      </c>
      <c r="AB58" s="1156">
        <v>0</v>
      </c>
      <c r="AC58" s="1156">
        <v>24</v>
      </c>
      <c r="AD58" s="1156">
        <v>24</v>
      </c>
      <c r="AE58" s="1156">
        <v>24</v>
      </c>
      <c r="AF58" s="1156">
        <v>11</v>
      </c>
      <c r="AG58" s="1156">
        <v>3</v>
      </c>
      <c r="AH58" s="1156">
        <v>11</v>
      </c>
      <c r="AI58" s="1156">
        <v>0</v>
      </c>
      <c r="AJ58" s="1156">
        <v>4</v>
      </c>
      <c r="AK58" s="1156">
        <v>115</v>
      </c>
      <c r="AL58" s="512">
        <v>10</v>
      </c>
      <c r="AM58" s="512">
        <v>10</v>
      </c>
      <c r="AN58" s="512">
        <v>10</v>
      </c>
      <c r="AO58" s="512">
        <v>10</v>
      </c>
      <c r="AP58" s="512">
        <v>10</v>
      </c>
      <c r="AQ58" s="1156">
        <v>23</v>
      </c>
    </row>
  </sheetData>
  <sheetProtection formatColumns="0" formatRows="0" autoFilter="0" sort="0" insertRows="0" insertColumns="1" deleteRows="0" deleteColumns="0"/>
  <mergeCells count="101">
    <mergeCell ref="AK46:AK47"/>
    <mergeCell ref="T55:AK55"/>
    <mergeCell ref="T57:AK57"/>
    <mergeCell ref="K46:K47"/>
    <mergeCell ref="Y46:Y47"/>
    <mergeCell ref="Z46:Z47"/>
    <mergeCell ref="AA46:AA47"/>
    <mergeCell ref="AB46:AB47"/>
    <mergeCell ref="AF46:AF47"/>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7:AK8"/>
    <mergeCell ref="AF15:AF16"/>
    <mergeCell ref="AG15:AG16"/>
    <mergeCell ref="AH15:AH16"/>
    <mergeCell ref="AI15:AI16"/>
    <mergeCell ref="Z7:Z8"/>
    <mergeCell ref="AA7:AA8"/>
    <mergeCell ref="AB7:AB8"/>
    <mergeCell ref="AF7:AF8"/>
    <mergeCell ref="AG7:AG8"/>
    <mergeCell ref="AH7:AH8"/>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s>
  <dataValidations count="8">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X47 AE8 X8 AE47"/>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44:AJ44 AC5:AJ5">
      <formula1>900</formula1>
    </dataValidation>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Y46 AA46 AH7 AF7 Y7 AA7"/>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46 AI524330 AI196650 AI589866 AI655402 AI15 AI720938 AI786474 AI852010 AI917546 AI983082 AI65578 AI131114 AI458794 AI262186 AG46 AI7 Z46 AB46 AG15 AG7 Z7 AB7 AI327722 AI393258"/>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F4D6FB8-51B8-30AC-1768-08330E281A31}" mc:Ignorable="x14ac xr xr2 xr3">
  <sheetPr>
    <tabColor theme="6" tint="0.4"/>
  </sheetPr>
  <dimension ref="A1:AQ58"/>
  <sheetViews>
    <sheetView showGridLines="0" zoomScale="90" workbookViewId="0">
      <pane xSplit="28" ySplit="40" topLeftCell="AC41" activePane="bottomRight" state="frozen"/>
      <selection pane="bottomLeft" activeCell="A41" sqref="A41"/>
      <selection pane="topRight" activeCell="AC1" sqref="AC1"/>
      <selection pane="bottomRight" activeCell="A1" sqref="A1"/>
    </sheetView>
  </sheetViews>
  <sheetFormatPr defaultColWidth="10.57421875" customHeight="1" defaultRowHeight="14.25"/>
  <cols>
    <col min="1" max="1" style="1367" width="10.57421875" hidden="1"/>
    <col min="2" max="2" style="1367" width="11.00390625" hidden="1" customWidth="1"/>
    <col min="3" max="3" style="1367" width="10.57421875" hidden="1"/>
    <col min="4" max="4" style="1367" width="11.8515625" hidden="1" customWidth="1"/>
    <col min="5" max="5" style="1367" width="10.00390625" hidden="1" customWidth="1"/>
    <col min="6" max="6" style="1367" width="8.7109375" hidden="1" customWidth="1"/>
    <col min="7" max="7" style="1367" width="7.57421875" hidden="1" customWidth="1"/>
    <col min="8" max="8" style="1367" width="11.421875" hidden="1" customWidth="1"/>
    <col min="9" max="9" style="1367" width="14.140625" hidden="1" customWidth="1"/>
    <col min="10" max="10" style="1367" width="9.8515625" hidden="1" customWidth="1"/>
    <col min="11" max="11" style="1367" width="14.7109375" hidden="1" customWidth="1"/>
    <col min="12" max="12" style="2608" width="19.140625" hidden="1" customWidth="1"/>
    <col min="13" max="14" style="1777" width="12.28125" hidden="1" customWidth="1"/>
    <col min="15" max="15" style="1777" width="23.421875" hidden="1" customWidth="1"/>
    <col min="16" max="16" style="2398" width="3.00390625" customWidth="1"/>
    <col min="17" max="18" style="345" width="3.00390625" customWidth="1"/>
    <col min="19" max="19" style="2408" width="12.00390625" customWidth="1"/>
    <col min="20" max="20" style="1636" width="35.00390625" customWidth="1"/>
    <col min="21" max="21" style="1636" width="0.140625" customWidth="1"/>
    <col min="22" max="24" style="1636" width="24.7109375" hidden="1" customWidth="1"/>
    <col min="25" max="25" style="1636" width="11.7109375" hidden="1" customWidth="1"/>
    <col min="26" max="26" style="1636" width="3.7109375" hidden="1" customWidth="1"/>
    <col min="27" max="27" style="1636" width="11.7109375" hidden="1" customWidth="1"/>
    <col min="28" max="28" style="1636" width="8.57421875" hidden="1" customWidth="1"/>
    <col min="29" max="29" style="1636" width="24.7109375" customWidth="1"/>
    <col min="30" max="31" style="1636" width="24.00390625" customWidth="1"/>
    <col min="32" max="32" style="1636" width="11.00390625" customWidth="1"/>
    <col min="33" max="33" style="1636" width="3.7109375" customWidth="1"/>
    <col min="34" max="34" style="1636" width="11.00390625" customWidth="1"/>
    <col min="35" max="35" style="1636" width="8.57421875" hidden="1" customWidth="1"/>
    <col min="36" max="36" style="1636" width="4.00390625" customWidth="1"/>
    <col min="37" max="37" style="1636" width="115.00390625" customWidth="1"/>
    <col min="38" max="42" style="1643" width="10.00390625" customWidth="1"/>
    <col min="43" max="43" style="1636" width="10.57421875" hidden="1"/>
  </cols>
  <sheetData>
    <row customHeight="1" ht="22.5" hidden="1">
      <c r="X1" s="328"/>
      <c r="Y1" s="328"/>
      <c r="AE1" s="328"/>
      <c r="AF1" s="328"/>
      <c r="AQ1" s="1156" t="s">
        <v>14</v>
      </c>
    </row>
    <row customHeight="1" ht="23.25" hidden="1">
      <c r="A2" s="1364"/>
      <c r="B2" s="1364"/>
      <c r="C2" s="1364"/>
      <c r="D2" s="1364"/>
      <c r="E2" s="2259">
        <v>1</v>
      </c>
      <c r="F2" s="1364"/>
      <c r="G2" s="1364"/>
      <c r="H2" s="1364"/>
      <c r="I2" s="1364"/>
      <c r="J2" s="1364"/>
      <c r="K2" s="1364"/>
      <c r="L2" s="1365"/>
      <c r="M2" s="1366"/>
      <c r="N2" s="1366"/>
      <c r="O2" s="1366"/>
      <c r="P2" s="362"/>
      <c r="Q2" s="361"/>
      <c r="R2" s="356"/>
      <c r="S2" s="1458">
        <f>INDEX(PT_DIFFERENTIATION_NUM_NTAR,MATCH(A2,PT_DIFFERENTIATION_NTAR_ID,0))</f>
      </c>
      <c r="T2" s="299" t="s">
        <v>136</v>
      </c>
      <c r="U2" s="301"/>
      <c r="V2" s="2243"/>
      <c r="W2" s="2244"/>
      <c r="X2" s="2244"/>
      <c r="Y2" s="2244"/>
      <c r="Z2" s="2244"/>
      <c r="AA2" s="2244"/>
      <c r="AB2" s="2245"/>
      <c r="AC2" s="2243">
        <f>INDEX(PT_DIFFERENTIATION_NTAR,MATCH(A2,PT_DIFFERENTIATION_NTAR_ID,0))</f>
      </c>
      <c r="AD2" s="2244"/>
      <c r="AE2" s="2244"/>
      <c r="AF2" s="2244"/>
      <c r="AG2" s="2244"/>
      <c r="AH2" s="2244"/>
      <c r="AI2" s="2244"/>
      <c r="AJ2" s="2245"/>
      <c r="AK2" s="125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AM2" s="501"/>
      <c r="AN2" s="501" t="str">
        <f>IF(T2="","",T2)</f>
        <v>Наименование тарифа</v>
      </c>
      <c r="AO2" s="501"/>
      <c r="AP2" s="501"/>
      <c r="AQ2" s="1156">
        <v>0</v>
      </c>
    </row>
    <row customHeight="1" ht="23.25" hidden="1">
      <c r="A3" s="1364"/>
      <c r="B3" s="1364"/>
      <c r="C3" s="1364"/>
      <c r="D3" s="1364"/>
      <c r="E3" s="2260"/>
      <c r="F3" s="2259">
        <v>1</v>
      </c>
      <c r="G3" s="1364"/>
      <c r="H3" s="1364"/>
      <c r="I3" s="1364"/>
      <c r="J3" s="1364"/>
      <c r="K3" s="1364"/>
      <c r="L3" s="1365"/>
      <c r="M3" s="1366"/>
      <c r="N3" s="1366"/>
      <c r="O3" s="1366"/>
      <c r="P3" s="1454"/>
      <c r="Q3" s="353"/>
      <c r="R3" s="354"/>
      <c r="S3" s="1458">
        <f>INDEX(PT_DIFFERENTIATION_NUM_TER,MATCH(B3,PT_DIFFERENTIATION_TER_ID,0))</f>
      </c>
      <c r="T3" s="309" t="s">
        <v>527</v>
      </c>
      <c r="U3" s="301"/>
      <c r="V3" s="2243"/>
      <c r="W3" s="2244"/>
      <c r="X3" s="2244"/>
      <c r="Y3" s="2244"/>
      <c r="Z3" s="2244"/>
      <c r="AA3" s="2244"/>
      <c r="AB3" s="2245"/>
      <c r="AC3" s="2243">
        <f>INDEX(PT_DIFFERENTIATION_TER,MATCH(B3,PT_DIFFERENTIATION_TER_ID,0))</f>
      </c>
      <c r="AD3" s="2244"/>
      <c r="AE3" s="2244"/>
      <c r="AF3" s="2244"/>
      <c r="AG3" s="2244"/>
      <c r="AH3" s="2244"/>
      <c r="AI3" s="2244"/>
      <c r="AJ3" s="2245"/>
      <c r="AK3" s="1259" t="s">
        <v>528</v>
      </c>
      <c r="AM3" s="501"/>
      <c r="AN3" s="501" t="str">
        <f>IF(T3="","",T3)</f>
        <v>Территория действия тарифа</v>
      </c>
      <c r="AO3" s="501"/>
      <c r="AP3" s="501"/>
      <c r="AQ3" s="1156">
        <v>0</v>
      </c>
    </row>
    <row customHeight="1" ht="23.25" hidden="1">
      <c r="A4" s="1364"/>
      <c r="B4" s="1364"/>
      <c r="C4" s="1364"/>
      <c r="D4" s="1364"/>
      <c r="E4" s="2260"/>
      <c r="F4" s="2260"/>
      <c r="G4" s="2259">
        <v>1</v>
      </c>
      <c r="H4" s="1364"/>
      <c r="I4" s="1364"/>
      <c r="J4" s="1364"/>
      <c r="K4" s="1364"/>
      <c r="L4" s="1365"/>
      <c r="M4" s="1366"/>
      <c r="N4" s="1366"/>
      <c r="O4" s="1366"/>
      <c r="P4" s="355"/>
      <c r="Q4" s="353"/>
      <c r="R4" s="354"/>
      <c r="S4" s="1458">
        <f>INDEX(PT_DIFFERENTIATION_NUM_CS,MATCH(C4,PT_DIFFERENTIATION_CS_ID,0))</f>
      </c>
      <c r="T4" s="310" t="s">
        <v>612</v>
      </c>
      <c r="U4" s="301"/>
      <c r="V4" s="2243"/>
      <c r="W4" s="2244"/>
      <c r="X4" s="2244"/>
      <c r="Y4" s="2244"/>
      <c r="Z4" s="2244"/>
      <c r="AA4" s="2244"/>
      <c r="AB4" s="2245"/>
      <c r="AC4" s="2243">
        <f>INDEX(PT_DIFFERENTIATION_CS,MATCH(C4,PT_DIFFERENTIATION_CS_ID,0))</f>
      </c>
      <c r="AD4" s="2244"/>
      <c r="AE4" s="2244"/>
      <c r="AF4" s="2244"/>
      <c r="AG4" s="2244"/>
      <c r="AH4" s="2244"/>
      <c r="AI4" s="2244"/>
      <c r="AJ4" s="2245"/>
      <c r="AK4" s="1259" t="s">
        <v>613</v>
      </c>
      <c r="AM4" s="501"/>
      <c r="AN4" s="501" t="str">
        <f>IF(T4="","",T4)</f>
        <v>Наименование централизованной системы холодного водоснабжения</v>
      </c>
      <c r="AO4" s="501"/>
      <c r="AP4" s="501"/>
      <c r="AQ4" s="1156">
        <v>0</v>
      </c>
    </row>
    <row customHeight="1" ht="23.25" hidden="1">
      <c r="A5" s="1364"/>
      <c r="B5" s="1364"/>
      <c r="C5" s="1364"/>
      <c r="D5" s="1364"/>
      <c r="E5" s="2260"/>
      <c r="F5" s="2260"/>
      <c r="G5" s="2260"/>
      <c r="H5" s="2260"/>
      <c r="I5" s="2257">
        <f>S4&amp;".1"</f>
      </c>
      <c r="J5" s="1364"/>
      <c r="K5" s="1364"/>
      <c r="L5" s="1365"/>
      <c r="P5" s="2258">
        <v>1</v>
      </c>
      <c r="Q5" s="1451"/>
      <c r="R5" s="357"/>
      <c r="S5" s="1458">
        <f>$I5</f>
      </c>
      <c r="T5" s="286" t="s">
        <v>614</v>
      </c>
      <c r="U5" s="301"/>
      <c r="V5" s="2351"/>
      <c r="W5" s="2352"/>
      <c r="X5" s="2352"/>
      <c r="Y5" s="2352"/>
      <c r="Z5" s="2352"/>
      <c r="AA5" s="2352"/>
      <c r="AB5" s="2353"/>
      <c r="AC5" s="2354"/>
      <c r="AD5" s="2355"/>
      <c r="AE5" s="2355"/>
      <c r="AF5" s="2355"/>
      <c r="AG5" s="2355"/>
      <c r="AH5" s="2355"/>
      <c r="AI5" s="2355"/>
      <c r="AJ5" s="2356"/>
      <c r="AK5" s="1259" t="s">
        <v>615</v>
      </c>
      <c r="AM5" s="501"/>
      <c r="AN5" s="501" t="str">
        <f>IF(T5="","",T5)</f>
        <v>Наименование признака дифференциации</v>
      </c>
      <c r="AO5" s="501"/>
      <c r="AP5" s="501"/>
      <c r="AQ5" s="1156">
        <v>0</v>
      </c>
    </row>
    <row customHeight="1" ht="23.25" hidden="1">
      <c r="A6" s="1364"/>
      <c r="B6" s="1364"/>
      <c r="C6" s="1364"/>
      <c r="D6" s="1364"/>
      <c r="E6" s="2260"/>
      <c r="F6" s="2260"/>
      <c r="G6" s="2260"/>
      <c r="H6" s="2260"/>
      <c r="I6" s="2287"/>
      <c r="J6" s="2257">
        <f>I5&amp;".1"</f>
      </c>
      <c r="K6" s="1364"/>
      <c r="L6" s="1365" t="s">
        <v>536</v>
      </c>
      <c r="P6" s="2258"/>
      <c r="Q6" s="2258">
        <v>1</v>
      </c>
      <c r="R6" s="358"/>
      <c r="S6" s="1458">
        <f>$J6</f>
      </c>
      <c r="T6" s="287" t="s">
        <v>537</v>
      </c>
      <c r="U6" s="301"/>
      <c r="V6" s="2246"/>
      <c r="W6" s="2247"/>
      <c r="X6" s="2247"/>
      <c r="Y6" s="2247"/>
      <c r="Z6" s="2247"/>
      <c r="AA6" s="2247"/>
      <c r="AB6" s="2248"/>
      <c r="AC6" s="2246"/>
      <c r="AD6" s="2247"/>
      <c r="AE6" s="2247"/>
      <c r="AF6" s="2247"/>
      <c r="AG6" s="2247"/>
      <c r="AH6" s="2247"/>
      <c r="AI6" s="2247"/>
      <c r="AJ6" s="2248"/>
      <c r="AK6" s="1308" t="s">
        <v>616</v>
      </c>
      <c r="AM6" s="501"/>
      <c r="AN6" s="501" t="str">
        <f>IF(T6="","",T6)</f>
        <v>Группа потребителей</v>
      </c>
      <c r="AO6" s="501"/>
      <c r="AP6" s="501"/>
      <c r="AQ6" s="1156">
        <v>0</v>
      </c>
    </row>
    <row customHeight="1" ht="23.25" hidden="1">
      <c r="A7" s="1364"/>
      <c r="B7" s="1364"/>
      <c r="C7" s="1364"/>
      <c r="D7" s="1364"/>
      <c r="E7" s="2260"/>
      <c r="F7" s="2260"/>
      <c r="G7" s="2260"/>
      <c r="H7" s="2260"/>
      <c r="I7" s="2287"/>
      <c r="J7" s="2287"/>
      <c r="K7" s="2257">
        <f>J6&amp;".1"</f>
      </c>
      <c r="L7" s="1365"/>
      <c r="P7" s="2258"/>
      <c r="Q7" s="2258"/>
      <c r="R7" s="358">
        <v>1</v>
      </c>
      <c r="S7" s="1458">
        <f>$K7</f>
      </c>
      <c r="T7" s="1438"/>
      <c r="U7" s="301"/>
      <c r="V7" s="752"/>
      <c r="W7" s="752"/>
      <c r="X7" s="1258"/>
      <c r="Y7" s="2266"/>
      <c r="Z7" s="2108" t="s">
        <v>65</v>
      </c>
      <c r="AA7" s="2266"/>
      <c r="AB7" s="2108" t="s">
        <v>65</v>
      </c>
      <c r="AC7" s="752"/>
      <c r="AD7" s="752"/>
      <c r="AE7" s="1258"/>
      <c r="AF7" s="2266"/>
      <c r="AG7" s="2108" t="s">
        <v>65</v>
      </c>
      <c r="AH7" s="2288"/>
      <c r="AI7" s="2108" t="s">
        <v>65</v>
      </c>
      <c r="AJ7" s="1439"/>
      <c r="AK7" s="2350"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2">
        <f>STRCHECKDATE(V8:AJ8)</f>
      </c>
      <c r="AM7" s="501"/>
      <c r="AN7" s="501" t="str">
        <f>IF(T7="","",T7)</f>
        <v/>
      </c>
      <c r="AO7" s="501"/>
      <c r="AP7" s="501"/>
      <c r="AQ7" s="1156">
        <v>0</v>
      </c>
    </row>
    <row customHeight="1" ht="14.25" hidden="1">
      <c r="A8" s="1364"/>
      <c r="B8" s="1364"/>
      <c r="C8" s="1364"/>
      <c r="D8" s="1364"/>
      <c r="E8" s="2260"/>
      <c r="F8" s="2260"/>
      <c r="G8" s="2260"/>
      <c r="H8" s="2260"/>
      <c r="I8" s="2287"/>
      <c r="J8" s="2287"/>
      <c r="K8" s="2257"/>
      <c r="L8" s="1365"/>
      <c r="P8" s="2258"/>
      <c r="Q8" s="2258"/>
      <c r="R8" s="358"/>
      <c r="S8" s="1457"/>
      <c r="T8" s="301"/>
      <c r="U8" s="301"/>
      <c r="V8" s="326"/>
      <c r="W8" s="326"/>
      <c r="X8" s="329" t="str">
        <f>Y7&amp;"-"&amp;AA7</f>
        <v>-</v>
      </c>
      <c r="Y8" s="2267"/>
      <c r="Z8" s="2108"/>
      <c r="AA8" s="2267"/>
      <c r="AB8" s="2108"/>
      <c r="AC8" s="326"/>
      <c r="AD8" s="326"/>
      <c r="AE8" s="329" t="str">
        <f>AF7&amp;"-"&amp;AH7</f>
        <v>-</v>
      </c>
      <c r="AF8" s="2267"/>
      <c r="AG8" s="2108"/>
      <c r="AH8" s="2289"/>
      <c r="AI8" s="2108"/>
      <c r="AJ8" s="1440"/>
      <c r="AK8" s="2350"/>
      <c r="AM8" s="501"/>
      <c r="AN8" s="501" t="str">
        <f>IF(T8="","",T8)</f>
        <v/>
      </c>
      <c r="AO8" s="501"/>
      <c r="AP8" s="501"/>
      <c r="AQ8" s="1156">
        <v>0</v>
      </c>
    </row>
    <row customHeight="1" ht="21" hidden="1">
      <c r="A9" s="1364"/>
      <c r="B9" s="1364"/>
      <c r="C9" s="1364"/>
      <c r="D9" s="1364"/>
      <c r="E9" s="2260"/>
      <c r="F9" s="2260"/>
      <c r="G9" s="2260"/>
      <c r="H9" s="2260"/>
      <c r="I9" s="2287"/>
      <c r="J9" s="2257"/>
      <c r="K9" s="1364"/>
      <c r="L9" s="1365"/>
      <c r="P9" s="2258"/>
      <c r="Q9" s="2258"/>
      <c r="R9" s="357"/>
      <c r="S9" s="1279"/>
      <c r="T9" s="288" t="s">
        <v>617</v>
      </c>
      <c r="U9" s="368"/>
      <c r="V9" s="368"/>
      <c r="W9" s="368"/>
      <c r="X9" s="368"/>
      <c r="Y9" s="368"/>
      <c r="Z9" s="368"/>
      <c r="AA9" s="368"/>
      <c r="AB9" s="368"/>
      <c r="AC9" s="368"/>
      <c r="AD9" s="368"/>
      <c r="AE9" s="368"/>
      <c r="AF9" s="368"/>
      <c r="AG9" s="368"/>
      <c r="AH9" s="368"/>
      <c r="AI9" s="368"/>
      <c r="AJ9" s="368"/>
      <c r="AK9" s="1259" t="s">
        <v>618</v>
      </c>
      <c r="AM9" s="501"/>
      <c r="AN9" s="501" t="str">
        <f>IF(T9="","",T9)</f>
        <v>Добавить значение признака дифференциации</v>
      </c>
      <c r="AO9" s="501"/>
      <c r="AP9" s="501"/>
      <c r="AQ9" s="1156">
        <v>0</v>
      </c>
    </row>
    <row customHeight="1" ht="21" hidden="1">
      <c r="A10" s="1364"/>
      <c r="B10" s="1364"/>
      <c r="C10" s="1364"/>
      <c r="D10" s="1364"/>
      <c r="E10" s="2260"/>
      <c r="F10" s="2260"/>
      <c r="G10" s="2260"/>
      <c r="H10" s="2260"/>
      <c r="I10" s="2257"/>
      <c r="J10" s="1364"/>
      <c r="K10" s="1364"/>
      <c r="L10" s="1365"/>
      <c r="P10" s="2258"/>
      <c r="Q10" s="1451"/>
      <c r="R10" s="357"/>
      <c r="S10" s="1279"/>
      <c r="T10" s="366" t="s">
        <v>542</v>
      </c>
      <c r="U10" s="368"/>
      <c r="V10" s="368"/>
      <c r="W10" s="368"/>
      <c r="X10" s="368"/>
      <c r="Y10" s="368"/>
      <c r="Z10" s="368"/>
      <c r="AA10" s="368"/>
      <c r="AB10" s="367"/>
      <c r="AC10" s="368"/>
      <c r="AD10" s="368"/>
      <c r="AE10" s="368"/>
      <c r="AF10" s="368"/>
      <c r="AG10" s="368"/>
      <c r="AH10" s="368"/>
      <c r="AI10" s="367"/>
      <c r="AJ10" s="368"/>
      <c r="AK10" s="1441"/>
      <c r="AM10" s="501"/>
      <c r="AN10" s="501" t="str">
        <f>IF(T10="","",T10)</f>
        <v>Добавить группу потребителей</v>
      </c>
      <c r="AO10" s="501"/>
      <c r="AP10" s="501"/>
      <c r="AQ10" s="1156">
        <v>0</v>
      </c>
    </row>
    <row customHeight="1" ht="21" hidden="1">
      <c r="A11" s="1364"/>
      <c r="B11" s="1364"/>
      <c r="C11" s="1364"/>
      <c r="D11" s="1364"/>
      <c r="E11" s="2260"/>
      <c r="F11" s="2260"/>
      <c r="G11" s="2260"/>
      <c r="H11" s="2259"/>
      <c r="I11" s="1364"/>
      <c r="J11" s="1364"/>
      <c r="K11" s="1364"/>
      <c r="L11" s="1365"/>
      <c r="M11" s="1366"/>
      <c r="N11" s="1366"/>
      <c r="O11" s="538"/>
      <c r="P11" s="361"/>
      <c r="Q11" s="376"/>
      <c r="R11" s="356"/>
      <c r="S11" s="1279"/>
      <c r="T11" s="373" t="s">
        <v>619</v>
      </c>
      <c r="U11" s="368"/>
      <c r="V11" s="368"/>
      <c r="W11" s="368"/>
      <c r="X11" s="368"/>
      <c r="Y11" s="368"/>
      <c r="Z11" s="368"/>
      <c r="AA11" s="368"/>
      <c r="AB11" s="367"/>
      <c r="AC11" s="368"/>
      <c r="AD11" s="368"/>
      <c r="AE11" s="368"/>
      <c r="AF11" s="368"/>
      <c r="AG11" s="368"/>
      <c r="AH11" s="368"/>
      <c r="AI11" s="367"/>
      <c r="AJ11" s="368"/>
      <c r="AK11" s="304"/>
      <c r="AM11" s="501"/>
      <c r="AN11" s="501" t="str">
        <f>IF(T11="","",T11)</f>
        <v>Добавить наименование признака дифференциации</v>
      </c>
      <c r="AO11" s="501"/>
      <c r="AP11" s="501"/>
      <c r="AQ11" s="1156">
        <v>0</v>
      </c>
    </row>
    <row s="1643" customFormat="1" customHeight="1" ht="14.25" hidden="1">
      <c r="A12" s="1344"/>
      <c r="B12" s="1344"/>
      <c r="C12" s="1315"/>
      <c r="D12" s="1315"/>
      <c r="E12" s="2260"/>
      <c r="F12" s="2259"/>
      <c r="G12" s="1315"/>
      <c r="H12" s="1315"/>
      <c r="I12" s="1315"/>
      <c r="J12" s="1315"/>
      <c r="K12" s="1315"/>
      <c r="L12" s="1459"/>
      <c r="M12" s="1322"/>
      <c r="N12" s="1322"/>
      <c r="P12" s="1317"/>
      <c r="Q12" s="1318"/>
      <c r="R12" s="1317"/>
      <c r="S12" s="1323"/>
      <c r="T12" s="1326" t="s">
        <v>178</v>
      </c>
      <c r="U12" s="1325"/>
      <c r="V12" s="1325"/>
      <c r="W12" s="1325"/>
      <c r="X12" s="1325"/>
      <c r="Y12" s="1325"/>
      <c r="Z12" s="1325"/>
      <c r="AA12" s="1325"/>
      <c r="AB12" s="1325"/>
      <c r="AC12" s="1325"/>
      <c r="AD12" s="1325"/>
      <c r="AE12" s="1325"/>
      <c r="AF12" s="1325"/>
      <c r="AG12" s="1325"/>
      <c r="AH12" s="1325"/>
      <c r="AI12" s="1325"/>
      <c r="AJ12" s="1325"/>
      <c r="AK12" s="1325"/>
      <c r="AM12" s="790"/>
      <c r="AN12" s="790" t="str">
        <f>IF(T12="","",T12)</f>
        <v>Добавить централизованную систему для дифференциации</v>
      </c>
      <c r="AO12" s="790"/>
      <c r="AP12" s="790"/>
      <c r="AQ12" s="519">
        <v>0</v>
      </c>
    </row>
    <row s="1643" customFormat="1" customHeight="1" ht="14.25" hidden="1">
      <c r="A13" s="1344"/>
      <c r="B13" s="1344"/>
      <c r="C13" s="1344"/>
      <c r="D13" s="1344"/>
      <c r="E13" s="2259"/>
      <c r="F13" s="1344"/>
      <c r="G13" s="1344"/>
      <c r="H13" s="1344"/>
      <c r="I13" s="1344"/>
      <c r="J13" s="1344"/>
      <c r="K13" s="1344"/>
      <c r="L13" s="1347"/>
      <c r="M13" s="1322"/>
      <c r="N13" s="1322"/>
      <c r="O13" s="519"/>
      <c r="P13" s="381"/>
      <c r="Q13" s="1345"/>
      <c r="R13" s="381"/>
      <c r="S13" s="1323"/>
      <c r="T13" s="1326" t="s">
        <v>183</v>
      </c>
      <c r="U13" s="1325"/>
      <c r="V13" s="1325"/>
      <c r="W13" s="1325"/>
      <c r="X13" s="1325"/>
      <c r="Y13" s="1325"/>
      <c r="Z13" s="1325"/>
      <c r="AA13" s="1325"/>
      <c r="AB13" s="1325"/>
      <c r="AC13" s="1325"/>
      <c r="AD13" s="1325"/>
      <c r="AE13" s="1325"/>
      <c r="AF13" s="1325"/>
      <c r="AG13" s="1325"/>
      <c r="AH13" s="1325"/>
      <c r="AI13" s="1325"/>
      <c r="AJ13" s="1325"/>
      <c r="AK13" s="1325"/>
      <c r="AM13" s="501"/>
      <c r="AN13" s="501" t="str">
        <f>IF(T13="","",T13)</f>
        <v>Добавить территорию для дифференциации</v>
      </c>
      <c r="AO13" s="501"/>
      <c r="AP13" s="501"/>
      <c r="AQ13" s="512">
        <v>0</v>
      </c>
    </row>
    <row customHeight="1" ht="14.25" hidden="1">
      <c r="AB14" s="328"/>
      <c r="AI14" s="328"/>
      <c r="AQ14" s="1156">
        <v>0</v>
      </c>
    </row>
    <row customHeight="1" ht="14.25" hidden="1">
      <c r="AC15" s="1361"/>
      <c r="AD15" s="1361"/>
      <c r="AE15" s="1362"/>
      <c r="AF15" s="2268"/>
      <c r="AG15" s="2269" t="s">
        <v>65</v>
      </c>
      <c r="AH15" s="2268"/>
      <c r="AI15" s="2269" t="s">
        <v>65</v>
      </c>
      <c r="AQ15" s="1156">
        <v>0</v>
      </c>
    </row>
    <row customHeight="1" ht="14.25" hidden="1">
      <c r="AC16" s="1361"/>
      <c r="AD16" s="1361"/>
      <c r="AE16" s="329" t="str">
        <f>AF15&amp;"-"&amp;AH15</f>
        <v>-</v>
      </c>
      <c r="AF16" s="2269"/>
      <c r="AG16" s="2269"/>
      <c r="AH16" s="2269"/>
      <c r="AI16" s="2269"/>
      <c r="AQ16" s="1156">
        <v>0</v>
      </c>
    </row>
    <row customHeight="1" ht="14.25" hidden="1">
      <c r="AI17" s="328"/>
      <c r="AQ17" s="1156">
        <v>0</v>
      </c>
    </row>
    <row s="1367" customFormat="1" customHeight="1" ht="22.5" hidden="1">
      <c r="L18" s="1448"/>
      <c r="M18" s="1363"/>
      <c r="N18" s="1363"/>
      <c r="O18" s="1368" t="s">
        <v>544</v>
      </c>
      <c r="P18" s="1363"/>
      <c r="Q18" s="1372"/>
      <c r="R18" s="1372"/>
      <c r="S18" s="730"/>
      <c r="Y18" s="1368"/>
      <c r="AA18" s="1368"/>
      <c r="AB18" s="1367"/>
      <c r="AF18" s="1368"/>
      <c r="AH18" s="1368"/>
      <c r="AI18" s="1367"/>
      <c r="AL18" s="512"/>
      <c r="AM18" s="512"/>
      <c r="AN18" s="512"/>
      <c r="AO18" s="512"/>
      <c r="AP18" s="512"/>
      <c r="AQ18" s="1161">
        <v>0</v>
      </c>
    </row>
    <row s="1367" customFormat="1" customHeight="1" ht="14.25" hidden="1">
      <c r="L19" s="1448"/>
      <c r="M19" s="1363"/>
      <c r="N19" s="1363"/>
      <c r="O19" s="1363"/>
      <c r="P19" s="1363"/>
      <c r="Q19" s="1372"/>
      <c r="R19" s="1372"/>
      <c r="S19" s="730"/>
      <c r="AB19" s="1367"/>
      <c r="AI19" s="1367"/>
      <c r="AL19" s="512"/>
      <c r="AM19" s="512"/>
      <c r="AN19" s="512"/>
      <c r="AO19" s="512"/>
      <c r="AP19" s="512"/>
      <c r="AQ19" s="1161">
        <v>0</v>
      </c>
    </row>
    <row s="1367" customFormat="1" customHeight="1" ht="12" hidden="1">
      <c r="L20" s="1448"/>
      <c r="M20" s="1363"/>
      <c r="N20" s="1363"/>
      <c r="O20" s="1365" t="s">
        <v>545</v>
      </c>
      <c r="P20" s="1363"/>
      <c r="Q20" s="1443"/>
      <c r="R20" s="1443"/>
      <c r="S20" s="730"/>
      <c r="T20" s="1161" t="s">
        <v>546</v>
      </c>
      <c r="Z20" s="187" t="s">
        <v>547</v>
      </c>
      <c r="AB20" s="187" t="s">
        <v>548</v>
      </c>
      <c r="AC20" s="1161" t="s">
        <v>546</v>
      </c>
      <c r="AG20" s="187" t="s">
        <v>549</v>
      </c>
      <c r="AI20" s="187" t="s">
        <v>548</v>
      </c>
      <c r="AQ20" s="1161">
        <v>0</v>
      </c>
    </row>
    <row customHeight="1" ht="14.25" hidden="1">
      <c r="O21" s="1365"/>
      <c r="AQ21" s="1156">
        <v>0</v>
      </c>
    </row>
    <row customHeight="1" ht="14.25" hidden="1">
      <c r="O22" s="1365"/>
      <c r="AQ22" s="1156">
        <v>0</v>
      </c>
    </row>
    <row customHeight="1" ht="14.699999999999998">
      <c r="Q23" s="377"/>
      <c r="R23" s="377"/>
      <c r="S23" s="1276"/>
      <c r="T23" s="364"/>
      <c r="U23" s="364"/>
      <c r="V23" s="510"/>
      <c r="W23" s="510"/>
      <c r="X23" s="510"/>
      <c r="Y23" s="510"/>
      <c r="Z23" s="510"/>
      <c r="AA23" s="510"/>
      <c r="AB23" s="510"/>
      <c r="AC23" s="510"/>
      <c r="AD23" s="510"/>
      <c r="AE23" s="510"/>
      <c r="AF23" s="510"/>
      <c r="AG23" s="510"/>
      <c r="AH23" s="510"/>
      <c r="AI23" s="510"/>
      <c r="AQ23" s="1156">
        <v>14</v>
      </c>
    </row>
    <row customHeight="1" ht="14.699999999999998">
      <c r="Q24" s="377"/>
      <c r="R24" s="377"/>
      <c r="S24" s="2249" t="str">
        <f>IF(TEMPLATE_GROUP="P",PT_P_FORM_COLDVSNA_4_NAME_FORM,PT_R_FORM_COLDVSNA_16_NAME_FORM)</f>
        <v>Форма 2. Информация
о тарифах в сфере холодного водоснабжения на товары (услуги) организации холодного водоснабжения, подлежащих регулированию</v>
      </c>
      <c r="T24" s="2249"/>
      <c r="U24" s="2249"/>
      <c r="V24" s="2249"/>
      <c r="W24" s="2249"/>
      <c r="X24" s="2249"/>
      <c r="Y24" s="2249"/>
      <c r="Z24" s="2249"/>
      <c r="AA24" s="2249"/>
      <c r="AB24" s="2249"/>
      <c r="AC24" s="2249"/>
      <c r="AD24" s="2249"/>
      <c r="AE24" s="2249"/>
      <c r="AF24" s="2249"/>
      <c r="AG24" s="2249"/>
      <c r="AH24" s="2249"/>
      <c r="AI24" s="1244"/>
      <c r="AQ24" s="1156">
        <v>14</v>
      </c>
    </row>
    <row customHeight="1" ht="14.699999999999998">
      <c r="Q25" s="377"/>
      <c r="R25" s="377"/>
      <c r="S25" s="2250" t="str">
        <f>IF(org=0,"Не определено",org)</f>
        <v>ПАО "ТГК-1" (филиал "Кольский")</v>
      </c>
      <c r="T25" s="2250"/>
      <c r="U25" s="2250"/>
      <c r="V25" s="2250"/>
      <c r="W25" s="2250"/>
      <c r="X25" s="2250"/>
      <c r="Y25" s="2250"/>
      <c r="Z25" s="2250"/>
      <c r="AA25" s="2250"/>
      <c r="AB25" s="2250"/>
      <c r="AC25" s="2250"/>
      <c r="AD25" s="2250"/>
      <c r="AE25" s="2250"/>
      <c r="AF25" s="2250"/>
      <c r="AG25" s="2250"/>
      <c r="AH25" s="2250"/>
      <c r="AI25" s="1244"/>
      <c r="AQ25" s="1156">
        <v>14</v>
      </c>
    </row>
    <row customHeight="1" ht="14.25">
      <c r="Q26" s="377"/>
      <c r="R26" s="377"/>
      <c r="S26" s="1276"/>
      <c r="T26" s="364"/>
      <c r="U26" s="364"/>
      <c r="V26" s="323"/>
      <c r="W26" s="323"/>
      <c r="X26" s="323"/>
      <c r="Y26" s="323"/>
      <c r="Z26" s="323"/>
      <c r="AA26" s="323"/>
      <c r="AB26" s="323"/>
      <c r="AC26" s="323"/>
      <c r="AD26" s="323"/>
      <c r="AE26" s="323"/>
      <c r="AF26" s="323"/>
      <c r="AG26" s="323"/>
      <c r="AH26" s="323"/>
      <c r="AI26" s="323"/>
      <c r="AJ26" s="510"/>
      <c r="AQ26" s="1156">
        <v>0</v>
      </c>
    </row>
    <row s="1854" customFormat="1" customHeight="1" ht="25.5">
      <c r="A27" s="1369"/>
      <c r="B27" s="1369"/>
      <c r="C27" s="1369"/>
      <c r="D27" s="1369"/>
      <c r="E27" s="1369"/>
      <c r="F27" s="1369"/>
      <c r="G27" s="1369"/>
      <c r="H27" s="1369"/>
      <c r="I27" s="1369"/>
      <c r="J27" s="1369"/>
      <c r="K27" s="1369"/>
      <c r="L27" s="1370"/>
      <c r="M27" s="1369"/>
      <c r="N27" s="1369"/>
      <c r="O27" s="1369"/>
      <c r="S27" s="2251" t="s">
        <v>42</v>
      </c>
      <c r="T27" s="2251"/>
      <c r="U27" s="1373"/>
      <c r="V27" s="2252" t="str">
        <f>IF(TITLE_NAME_OR_PR_CHANGE="",IF(TITLE_NAME_OR_PR="","",TITLE_NAME_OR_PR),TITLE_NAME_OR_PR_CHANGE)</f>
        <v>Комитет по тарифному регулированию Мурманской области</v>
      </c>
      <c r="W27" s="2252"/>
      <c r="X27" s="2252"/>
      <c r="Y27" s="2252"/>
      <c r="Z27" s="2252"/>
      <c r="AA27" s="2252"/>
      <c r="AB27" s="327"/>
      <c r="AC27" s="2252" t="str">
        <f>IF(TITLE_NAME_OR_PR_CHANGE="",IF(TITLE_NAME_OR_PR="","",TITLE_NAME_OR_PR),TITLE_NAME_OR_PR_CHANGE)</f>
        <v>Комитет по тарифному регулированию Мурманской области</v>
      </c>
      <c r="AD27" s="2252"/>
      <c r="AE27" s="2252"/>
      <c r="AF27" s="2252"/>
      <c r="AG27" s="2252"/>
      <c r="AH27" s="2252"/>
      <c r="AI27" s="327"/>
      <c r="AJ27" s="327"/>
      <c r="AK27" s="281"/>
      <c r="AL27" s="369"/>
      <c r="AM27" s="369"/>
      <c r="AN27" s="369"/>
      <c r="AO27" s="369"/>
      <c r="AP27" s="369"/>
      <c r="AQ27" s="419">
        <v>0</v>
      </c>
    </row>
    <row s="1854" customFormat="1" customHeight="1" ht="18.75">
      <c r="A28" s="1369"/>
      <c r="B28" s="1369"/>
      <c r="C28" s="1369"/>
      <c r="D28" s="1369"/>
      <c r="E28" s="1369"/>
      <c r="F28" s="1369"/>
      <c r="G28" s="1369"/>
      <c r="H28" s="1369"/>
      <c r="I28" s="1369"/>
      <c r="J28" s="1369"/>
      <c r="K28" s="1369"/>
      <c r="L28" s="1370"/>
      <c r="M28" s="1369"/>
      <c r="N28" s="1369"/>
      <c r="O28" s="1369"/>
      <c r="S28" s="2251" t="s">
        <v>550</v>
      </c>
      <c r="T28" s="2251"/>
      <c r="U28" s="1373"/>
      <c r="V28" s="2265" t="str">
        <f>IF(TITLE_DATE_PR_CHANGE="",IF(TITLE_DATE_PR="","",TITLE_DATE_PR),TITLE_DATE_PR_CHANGE)</f>
        <v>46010</v>
      </c>
      <c r="W28" s="2265"/>
      <c r="X28" s="2265"/>
      <c r="Y28" s="2265"/>
      <c r="Z28" s="2265"/>
      <c r="AA28" s="2265"/>
      <c r="AB28" s="327"/>
      <c r="AC28" s="2265" t="str">
        <f>IF(TITLE_DATE_PR_CHANGE="",IF(TITLE_DATE_PR="","",TITLE_DATE_PR),TITLE_DATE_PR_CHANGE)</f>
        <v>46010</v>
      </c>
      <c r="AD28" s="2265"/>
      <c r="AE28" s="2265"/>
      <c r="AF28" s="2265"/>
      <c r="AG28" s="2265"/>
      <c r="AH28" s="2265"/>
      <c r="AI28" s="327"/>
      <c r="AJ28" s="327"/>
      <c r="AK28" s="281"/>
      <c r="AL28" s="369"/>
      <c r="AM28" s="369"/>
      <c r="AN28" s="369"/>
      <c r="AO28" s="369"/>
      <c r="AP28" s="369"/>
      <c r="AQ28" s="419">
        <v>0</v>
      </c>
    </row>
    <row s="1854" customFormat="1" customHeight="1" ht="18.75">
      <c r="A29" s="1369"/>
      <c r="B29" s="1369"/>
      <c r="C29" s="1369"/>
      <c r="D29" s="1369"/>
      <c r="E29" s="1369"/>
      <c r="F29" s="1369"/>
      <c r="G29" s="1369"/>
      <c r="H29" s="1369"/>
      <c r="I29" s="1369"/>
      <c r="J29" s="1369"/>
      <c r="K29" s="1369"/>
      <c r="L29" s="1370"/>
      <c r="M29" s="1369"/>
      <c r="N29" s="1369"/>
      <c r="O29" s="1369"/>
      <c r="S29" s="2251" t="s">
        <v>551</v>
      </c>
      <c r="T29" s="2251"/>
      <c r="U29" s="1373"/>
      <c r="V29" s="2252" t="str">
        <f>IF(TITLE_NUMBER_PR_CHANGE="",IF(TITLE_NUMBER_PR="","",TITLE_NUMBER_PR),TITLE_NUMBER_PR_CHANGE)</f>
        <v>53/77; 53/49</v>
      </c>
      <c r="W29" s="2252"/>
      <c r="X29" s="2252"/>
      <c r="Y29" s="2252"/>
      <c r="Z29" s="2252"/>
      <c r="AA29" s="2252"/>
      <c r="AB29" s="327"/>
      <c r="AC29" s="2252" t="str">
        <f>IF(TITLE_NUMBER_PR_CHANGE="",IF(TITLE_NUMBER_PR="","",TITLE_NUMBER_PR),TITLE_NUMBER_PR_CHANGE)</f>
        <v>53/77; 53/49</v>
      </c>
      <c r="AD29" s="2252"/>
      <c r="AE29" s="2252"/>
      <c r="AF29" s="2252"/>
      <c r="AG29" s="2252"/>
      <c r="AH29" s="2252"/>
      <c r="AI29" s="327"/>
      <c r="AJ29" s="327"/>
      <c r="AK29" s="281"/>
      <c r="AL29" s="369"/>
      <c r="AM29" s="369"/>
      <c r="AN29" s="369"/>
      <c r="AO29" s="369"/>
      <c r="AP29" s="369"/>
      <c r="AQ29" s="419">
        <v>0</v>
      </c>
    </row>
    <row s="1854" customFormat="1" customHeight="1" ht="18.75">
      <c r="A30" s="1369"/>
      <c r="B30" s="1369"/>
      <c r="C30" s="1369"/>
      <c r="D30" s="1369"/>
      <c r="E30" s="1369"/>
      <c r="F30" s="1369"/>
      <c r="G30" s="1369"/>
      <c r="H30" s="1369"/>
      <c r="I30" s="1369"/>
      <c r="J30" s="1369"/>
      <c r="K30" s="1369"/>
      <c r="L30" s="1370"/>
      <c r="M30" s="1369"/>
      <c r="N30" s="1369"/>
      <c r="O30" s="1369"/>
      <c r="S30" s="2251" t="s">
        <v>44</v>
      </c>
      <c r="T30" s="2251"/>
      <c r="U30" s="1373"/>
      <c r="V30" s="2252" t="str">
        <f>IF(TITLE_IST_PUB_CHANGE="",IF(TITLE_IST_PUB="","",TITLE_IST_PUB),TITLE_IST_PUB_CHANGE)</f>
        <v>Официальный электронный бюллетень Правительства Мурманской области</v>
      </c>
      <c r="W30" s="2252"/>
      <c r="X30" s="2252"/>
      <c r="Y30" s="2252"/>
      <c r="Z30" s="2252"/>
      <c r="AA30" s="2252"/>
      <c r="AB30" s="327"/>
      <c r="AC30" s="2252" t="str">
        <f>IF(TITLE_IST_PUB_CHANGE="",IF(TITLE_IST_PUB="","",TITLE_IST_PUB),TITLE_IST_PUB_CHANGE)</f>
        <v>Официальный электронный бюллетень Правительства Мурманской области</v>
      </c>
      <c r="AD30" s="2252"/>
      <c r="AE30" s="2252"/>
      <c r="AF30" s="2252"/>
      <c r="AG30" s="2252"/>
      <c r="AH30" s="2252"/>
      <c r="AI30" s="327"/>
      <c r="AJ30" s="327"/>
      <c r="AK30" s="281"/>
      <c r="AL30" s="369"/>
      <c r="AM30" s="369"/>
      <c r="AN30" s="369"/>
      <c r="AO30" s="369"/>
      <c r="AP30" s="369"/>
      <c r="AQ30" s="419">
        <v>0</v>
      </c>
    </row>
    <row customHeight="1" ht="14.25" hidden="1">
      <c r="Q31" s="377"/>
      <c r="R31" s="377"/>
      <c r="S31" s="1276"/>
      <c r="T31" s="364"/>
      <c r="U31" s="364"/>
      <c r="V31" s="323"/>
      <c r="W31" s="323"/>
      <c r="X31" s="323"/>
      <c r="Y31" s="323"/>
      <c r="Z31" s="323"/>
      <c r="AA31" s="323"/>
      <c r="AB31" s="323"/>
      <c r="AC31" s="323"/>
      <c r="AD31" s="323"/>
      <c r="AE31" s="323"/>
      <c r="AF31" s="323"/>
      <c r="AG31" s="323"/>
      <c r="AH31" s="323"/>
      <c r="AI31" s="323"/>
      <c r="AJ31" s="510"/>
      <c r="AQ31" s="1156">
        <v>0</v>
      </c>
    </row>
    <row s="1854" customFormat="1" customHeight="1" ht="18.75" hidden="1">
      <c r="A32" s="1369"/>
      <c r="B32" s="1369"/>
      <c r="C32" s="1369"/>
      <c r="D32" s="1369"/>
      <c r="E32" s="1369"/>
      <c r="F32" s="1369"/>
      <c r="G32" s="1369"/>
      <c r="H32" s="1369"/>
      <c r="I32" s="1369"/>
      <c r="J32" s="1369"/>
      <c r="K32" s="1369"/>
      <c r="L32" s="1370"/>
      <c r="M32" s="1369"/>
      <c r="N32" s="1369"/>
      <c r="O32" s="1369"/>
      <c r="S32" s="2251" t="s">
        <v>552</v>
      </c>
      <c r="T32" s="2251"/>
      <c r="U32" s="1373"/>
      <c r="V32" s="2265" t="str">
        <f>IF(TITLE_DATE_PR_CHANGE="",IF(TITLE_DATE_PR="","",TITLE_DATE_PR),TITLE_DATE_PR_CHANGE)</f>
        <v>46010</v>
      </c>
      <c r="W32" s="2265"/>
      <c r="X32" s="2265"/>
      <c r="Y32" s="2265"/>
      <c r="Z32" s="2265"/>
      <c r="AA32" s="2265"/>
      <c r="AB32" s="327"/>
      <c r="AC32" s="2265" t="str">
        <f>IF(TITLE_DATE_PR_CHANGE="",IF(TITLE_DATE_PR="","",TITLE_DATE_PR),TITLE_DATE_PR_CHANGE)</f>
        <v>46010</v>
      </c>
      <c r="AD32" s="2265"/>
      <c r="AE32" s="2265"/>
      <c r="AF32" s="2265"/>
      <c r="AG32" s="2265"/>
      <c r="AH32" s="2265"/>
      <c r="AI32" s="327"/>
      <c r="AJ32" s="327"/>
      <c r="AK32" s="281"/>
      <c r="AL32" s="369"/>
      <c r="AM32" s="369"/>
      <c r="AN32" s="369"/>
      <c r="AO32" s="369"/>
      <c r="AP32" s="369"/>
      <c r="AQ32" s="419">
        <v>0</v>
      </c>
    </row>
    <row s="1854" customFormat="1" customHeight="1" ht="18.75" hidden="1">
      <c r="A33" s="1369"/>
      <c r="B33" s="1369"/>
      <c r="C33" s="1369"/>
      <c r="D33" s="1369"/>
      <c r="E33" s="1369"/>
      <c r="F33" s="1369"/>
      <c r="G33" s="1369"/>
      <c r="H33" s="1369"/>
      <c r="I33" s="1369"/>
      <c r="J33" s="1369"/>
      <c r="K33" s="1369"/>
      <c r="L33" s="1370"/>
      <c r="M33" s="1369"/>
      <c r="N33" s="1369"/>
      <c r="O33" s="1369"/>
      <c r="S33" s="2251" t="s">
        <v>553</v>
      </c>
      <c r="T33" s="2251"/>
      <c r="U33" s="1373"/>
      <c r="V33" s="2252" t="str">
        <f>IF(TITLE_NUMBER_PR_CHANGE="",IF(TITLE_NUMBER_PR="","",TITLE_NUMBER_PR),TITLE_NUMBER_PR_CHANGE)</f>
        <v>53/77; 53/49</v>
      </c>
      <c r="W33" s="2252"/>
      <c r="X33" s="2252"/>
      <c r="Y33" s="2252"/>
      <c r="Z33" s="2252"/>
      <c r="AA33" s="2252"/>
      <c r="AB33" s="327"/>
      <c r="AC33" s="2252" t="str">
        <f>IF(TITLE_NUMBER_PR_CHANGE="",IF(TITLE_NUMBER_PR="","",TITLE_NUMBER_PR),TITLE_NUMBER_PR_CHANGE)</f>
        <v>53/77; 53/49</v>
      </c>
      <c r="AD33" s="2252"/>
      <c r="AE33" s="2252"/>
      <c r="AF33" s="2252"/>
      <c r="AG33" s="2252"/>
      <c r="AH33" s="2252"/>
      <c r="AI33" s="327"/>
      <c r="AJ33" s="327"/>
      <c r="AK33" s="281"/>
      <c r="AL33" s="369"/>
      <c r="AM33" s="369"/>
      <c r="AN33" s="369"/>
      <c r="AO33" s="369"/>
      <c r="AP33" s="369"/>
      <c r="AQ33" s="419">
        <v>0</v>
      </c>
    </row>
    <row s="1854" customFormat="1" customHeight="1" ht="1.05">
      <c r="A34" s="1369"/>
      <c r="B34" s="1369"/>
      <c r="C34" s="1369"/>
      <c r="D34" s="1369"/>
      <c r="E34" s="1369"/>
      <c r="F34" s="1369"/>
      <c r="G34" s="1369"/>
      <c r="H34" s="1369"/>
      <c r="I34" s="1369"/>
      <c r="J34" s="1369"/>
      <c r="K34" s="1369"/>
      <c r="L34" s="1370"/>
      <c r="M34" s="1369"/>
      <c r="N34" s="1369"/>
      <c r="O34" s="1369"/>
      <c r="S34" s="324"/>
      <c r="T34" s="324"/>
      <c r="U34" s="1455"/>
      <c r="V34" s="327"/>
      <c r="W34" s="327"/>
      <c r="X34" s="327"/>
      <c r="Y34" s="327"/>
      <c r="Z34" s="327"/>
      <c r="AA34" s="327"/>
      <c r="AB34" s="279" t="s">
        <v>554</v>
      </c>
      <c r="AC34" s="327"/>
      <c r="AD34" s="327"/>
      <c r="AE34" s="327"/>
      <c r="AF34" s="327"/>
      <c r="AG34" s="327"/>
      <c r="AH34" s="327"/>
      <c r="AI34" s="279" t="s">
        <v>554</v>
      </c>
      <c r="AL34" s="369"/>
      <c r="AM34" s="369"/>
      <c r="AN34" s="369"/>
      <c r="AO34" s="369"/>
      <c r="AP34" s="369"/>
      <c r="AQ34" s="419">
        <v>1</v>
      </c>
    </row>
    <row customHeight="1" ht="14.699999999999998">
      <c r="Q35" s="377"/>
      <c r="R35" s="377"/>
      <c r="S35" s="1276"/>
      <c r="T35" s="364"/>
      <c r="U35" s="1245"/>
      <c r="V35" s="2253"/>
      <c r="W35" s="2253"/>
      <c r="X35" s="2253"/>
      <c r="Y35" s="2253"/>
      <c r="Z35" s="2253"/>
      <c r="AA35" s="2253"/>
      <c r="AB35" s="2253"/>
      <c r="AC35" s="2253"/>
      <c r="AD35" s="2253"/>
      <c r="AE35" s="2253"/>
      <c r="AF35" s="2253"/>
      <c r="AG35" s="2253"/>
      <c r="AH35" s="2253"/>
      <c r="AI35" s="2253"/>
      <c r="AQ35" s="1156">
        <v>14</v>
      </c>
    </row>
    <row customHeight="1" ht="14.699999999999998">
      <c r="Q36" s="377"/>
      <c r="R36" s="377"/>
      <c r="S36" s="2128" t="s">
        <v>430</v>
      </c>
      <c r="T36" s="2128"/>
      <c r="U36" s="2128"/>
      <c r="V36" s="2128"/>
      <c r="W36" s="2128"/>
      <c r="X36" s="2128"/>
      <c r="Y36" s="2128"/>
      <c r="Z36" s="2128"/>
      <c r="AA36" s="2128"/>
      <c r="AB36" s="2128"/>
      <c r="AC36" s="2128"/>
      <c r="AD36" s="2128"/>
      <c r="AE36" s="2128"/>
      <c r="AF36" s="2128"/>
      <c r="AG36" s="2128"/>
      <c r="AH36" s="2128"/>
      <c r="AI36" s="2128"/>
      <c r="AJ36" s="2128"/>
      <c r="AK36" s="2128" t="s">
        <v>431</v>
      </c>
      <c r="AQ36" s="1156">
        <v>14</v>
      </c>
    </row>
    <row customHeight="1" ht="14.699999999999998">
      <c r="Q37" s="377"/>
      <c r="R37" s="377"/>
      <c r="S37" s="2274" t="s">
        <v>92</v>
      </c>
      <c r="T37" s="2210" t="s">
        <v>555</v>
      </c>
      <c r="U37" s="302"/>
      <c r="V37" s="2275" t="s">
        <v>556</v>
      </c>
      <c r="W37" s="2276"/>
      <c r="X37" s="2276"/>
      <c r="Y37" s="2276"/>
      <c r="Z37" s="2276"/>
      <c r="AA37" s="2277"/>
      <c r="AB37" s="2278" t="s">
        <v>557</v>
      </c>
      <c r="AC37" s="2275" t="s">
        <v>556</v>
      </c>
      <c r="AD37" s="2276"/>
      <c r="AE37" s="2276"/>
      <c r="AF37" s="2276"/>
      <c r="AG37" s="2276"/>
      <c r="AH37" s="2277"/>
      <c r="AI37" s="2278" t="s">
        <v>558</v>
      </c>
      <c r="AJ37" s="2281" t="s">
        <v>559</v>
      </c>
      <c r="AK37" s="2128"/>
      <c r="AQ37" s="1156">
        <v>14</v>
      </c>
    </row>
    <row customHeight="1" ht="35.699999999999996">
      <c r="Q38" s="377"/>
      <c r="R38" s="377"/>
      <c r="S38" s="2274"/>
      <c r="T38" s="2210"/>
      <c r="U38" s="1032"/>
      <c r="V38" s="1453" t="s">
        <v>620</v>
      </c>
      <c r="W38" s="2263" t="s">
        <v>562</v>
      </c>
      <c r="X38" s="2264"/>
      <c r="Y38" s="2263" t="s">
        <v>563</v>
      </c>
      <c r="Z38" s="2270"/>
      <c r="AA38" s="2264"/>
      <c r="AB38" s="2279"/>
      <c r="AC38" s="1453" t="s">
        <v>620</v>
      </c>
      <c r="AD38" s="2263" t="s">
        <v>562</v>
      </c>
      <c r="AE38" s="2264"/>
      <c r="AF38" s="2263" t="s">
        <v>563</v>
      </c>
      <c r="AG38" s="2270"/>
      <c r="AH38" s="2264"/>
      <c r="AI38" s="2279"/>
      <c r="AJ38" s="2282"/>
      <c r="AK38" s="2128"/>
      <c r="AQ38" s="1156">
        <v>34</v>
      </c>
    </row>
    <row customHeight="1" ht="35.699999999999996">
      <c r="A39" s="1371"/>
      <c r="B39" s="1371" t="s">
        <v>148</v>
      </c>
      <c r="C39" s="1371" t="s">
        <v>149</v>
      </c>
      <c r="D39" s="1371" t="s">
        <v>150</v>
      </c>
      <c r="E39" s="1365" t="s">
        <v>564</v>
      </c>
      <c r="F39" s="1365" t="s">
        <v>565</v>
      </c>
      <c r="G39" s="1365" t="s">
        <v>566</v>
      </c>
      <c r="H39" s="1365"/>
      <c r="I39" s="1365" t="s">
        <v>621</v>
      </c>
      <c r="J39" s="1365" t="s">
        <v>569</v>
      </c>
      <c r="K39" s="1365" t="s">
        <v>622</v>
      </c>
      <c r="L39" s="1365" t="s">
        <v>545</v>
      </c>
      <c r="Q39" s="377"/>
      <c r="R39" s="377"/>
      <c r="S39" s="2274"/>
      <c r="T39" s="2210"/>
      <c r="U39" s="303"/>
      <c r="V39" s="1453" t="s">
        <v>623</v>
      </c>
      <c r="W39" s="1223" t="s">
        <v>624</v>
      </c>
      <c r="X39" s="1223" t="s">
        <v>625</v>
      </c>
      <c r="Y39" s="1456" t="s">
        <v>573</v>
      </c>
      <c r="Z39" s="2271" t="s">
        <v>574</v>
      </c>
      <c r="AA39" s="2272"/>
      <c r="AB39" s="2280"/>
      <c r="AC39" s="1453" t="s">
        <v>623</v>
      </c>
      <c r="AD39" s="1223" t="s">
        <v>624</v>
      </c>
      <c r="AE39" s="1223" t="s">
        <v>625</v>
      </c>
      <c r="AF39" s="1456" t="s">
        <v>573</v>
      </c>
      <c r="AG39" s="2271" t="s">
        <v>574</v>
      </c>
      <c r="AH39" s="2272"/>
      <c r="AI39" s="2280"/>
      <c r="AJ39" s="2283"/>
      <c r="AK39" s="2128"/>
      <c r="AQ39" s="1156">
        <v>34</v>
      </c>
    </row>
    <row s="1642" customFormat="1" customHeight="1" ht="0">
      <c r="A40" s="1371"/>
      <c r="B40" s="1371"/>
      <c r="C40" s="1371"/>
      <c r="D40" s="1371"/>
      <c r="E40" s="1371"/>
      <c r="F40" s="1371"/>
      <c r="G40" s="1371"/>
      <c r="H40" s="1371"/>
      <c r="I40" s="1371"/>
      <c r="J40" s="1371"/>
      <c r="K40" s="1371"/>
      <c r="L40" s="1365"/>
      <c r="M40" s="1363"/>
      <c r="N40" s="1363"/>
      <c r="O40" s="1363"/>
      <c r="P40" s="1247"/>
      <c r="Q40" s="1248"/>
      <c r="R40" s="1255">
        <v>1</v>
      </c>
      <c r="S40" s="1278" t="s">
        <v>123</v>
      </c>
      <c r="T40" s="1256" t="s">
        <v>107</v>
      </c>
      <c r="U40" s="1246" t="str">
        <f>OFFSET(U40,0,-1)</f>
        <v>2</v>
      </c>
      <c r="V40" s="1452">
        <f>OFFSET(V40,0,-1)+1</f>
        <v>3</v>
      </c>
      <c r="W40" s="1452">
        <f>OFFSET(W40,0,-1)+1</f>
        <v>4</v>
      </c>
      <c r="X40" s="1452">
        <f>OFFSET(X40,0,-1)+1</f>
        <v>5</v>
      </c>
      <c r="Y40" s="1452">
        <f>OFFSET(Y40,0,-1)+1</f>
        <v>6</v>
      </c>
      <c r="Z40" s="2273">
        <f>OFFSET(Z40,0,-1)+1</f>
        <v>7</v>
      </c>
      <c r="AA40" s="2273"/>
      <c r="AB40" s="1452">
        <f>OFFSET(AB40,0,-2)+1</f>
        <v>8</v>
      </c>
      <c r="AC40" s="1452">
        <f>OFFSET(AC40,0,-1)+1</f>
        <v>9</v>
      </c>
      <c r="AD40" s="1452">
        <f>OFFSET(AD40,0,-1)+1</f>
        <v>10</v>
      </c>
      <c r="AE40" s="1452">
        <f>OFFSET(AE40,0,-1)+1</f>
        <v>11</v>
      </c>
      <c r="AF40" s="1452">
        <f>OFFSET(AF40,0,-1)+1</f>
        <v>12</v>
      </c>
      <c r="AG40" s="2273">
        <f>OFFSET(AG40,0,-1)+1</f>
        <v>13</v>
      </c>
      <c r="AH40" s="2273"/>
      <c r="AI40" s="1452">
        <f>OFFSET(AI40,0,-2)+1</f>
        <v>14</v>
      </c>
      <c r="AJ40" s="1246">
        <f>OFFSET(AJ40,0,-1)</f>
        <v>14</v>
      </c>
      <c r="AK40" s="1452">
        <f>OFFSET(AK40,0,-1)+1</f>
        <v>15</v>
      </c>
      <c r="AL40" s="512"/>
      <c r="AM40" s="512"/>
      <c r="AN40" s="512"/>
      <c r="AO40" s="512"/>
      <c r="AP40" s="512"/>
      <c r="AQ40" s="497">
        <v>0</v>
      </c>
    </row>
    <row customHeight="1" ht="24">
      <c r="A41" s="1364" t="s">
        <v>371</v>
      </c>
      <c r="B41" s="1364"/>
      <c r="C41" s="1364"/>
      <c r="D41" s="1364"/>
      <c r="E41" s="2259">
        <v>1</v>
      </c>
      <c r="F41" s="1364"/>
      <c r="G41" s="1364"/>
      <c r="H41" s="1364"/>
      <c r="I41" s="1364"/>
      <c r="J41" s="1364"/>
      <c r="K41" s="1364"/>
      <c r="L41" s="1365"/>
      <c r="M41" s="1366"/>
      <c r="N41" s="1366"/>
      <c r="O41" s="1366"/>
      <c r="P41" s="362"/>
      <c r="Q41" s="361"/>
      <c r="R41" s="356"/>
      <c r="S41" s="1458">
        <f>INDEX(PT_DIFFERENTIATION_NUM_NTAR,MATCH(A41,PT_DIFFERENTIATION_NTAR_ID,0))</f>
        <v>0</v>
      </c>
      <c r="T41" s="299" t="s">
        <v>136</v>
      </c>
      <c r="U41" s="301"/>
      <c r="V41" s="2243"/>
      <c r="W41" s="2244"/>
      <c r="X41" s="2244"/>
      <c r="Y41" s="2244"/>
      <c r="Z41" s="2244"/>
      <c r="AA41" s="2244"/>
      <c r="AB41" s="2245"/>
      <c r="AC41" s="2243" t="str">
        <f>INDEX(PT_DIFFERENTIATION_NTAR,MATCH(A41,PT_DIFFERENTIATION_NTAR_ID,0))</f>
        <v/>
      </c>
      <c r="AD41" s="2244"/>
      <c r="AE41" s="2244"/>
      <c r="AF41" s="2244"/>
      <c r="AG41" s="2244"/>
      <c r="AH41" s="2244"/>
      <c r="AI41" s="2244"/>
      <c r="AJ41" s="2245"/>
      <c r="AK41" s="125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AM41" s="501"/>
      <c r="AN41" s="501" t="str">
        <f>IF(T41="","",T41)</f>
        <v>Наименование тарифа</v>
      </c>
      <c r="AO41" s="501"/>
      <c r="AP41" s="501"/>
      <c r="AQ41" s="1156">
        <v>23</v>
      </c>
    </row>
    <row customHeight="1" ht="24">
      <c r="A42" s="1364" t="s">
        <v>371</v>
      </c>
      <c r="B42" s="1364" t="s">
        <v>372</v>
      </c>
      <c r="C42" s="1364"/>
      <c r="D42" s="1364"/>
      <c r="E42" s="2260"/>
      <c r="F42" s="2259">
        <v>1</v>
      </c>
      <c r="G42" s="1364"/>
      <c r="H42" s="1364"/>
      <c r="I42" s="1364"/>
      <c r="J42" s="1364"/>
      <c r="K42" s="1364"/>
      <c r="L42" s="1365"/>
      <c r="M42" s="1366"/>
      <c r="N42" s="1366"/>
      <c r="O42" s="1366"/>
      <c r="P42" s="1454"/>
      <c r="Q42" s="353"/>
      <c r="R42" s="354"/>
      <c r="S42" s="1458" t="str">
        <f>INDEX(PT_DIFFERENTIATION_NUM_TER,MATCH(B42,PT_DIFFERENTIATION_TER_ID,0))</f>
        <v>.</v>
      </c>
      <c r="T42" s="309" t="s">
        <v>527</v>
      </c>
      <c r="U42" s="301"/>
      <c r="V42" s="2243"/>
      <c r="W42" s="2244"/>
      <c r="X42" s="2244"/>
      <c r="Y42" s="2244"/>
      <c r="Z42" s="2244"/>
      <c r="AA42" s="2244"/>
      <c r="AB42" s="2245"/>
      <c r="AC42" s="2243" t="str">
        <f>INDEX(PT_DIFFERENTIATION_TER,MATCH(B42,PT_DIFFERENTIATION_TER_ID,0))</f>
        <v/>
      </c>
      <c r="AD42" s="2244"/>
      <c r="AE42" s="2244"/>
      <c r="AF42" s="2244"/>
      <c r="AG42" s="2244"/>
      <c r="AH42" s="2244"/>
      <c r="AI42" s="2244"/>
      <c r="AJ42" s="2245"/>
      <c r="AK42" s="1259" t="s">
        <v>528</v>
      </c>
      <c r="AM42" s="501"/>
      <c r="AN42" s="501" t="str">
        <f>IF(T42="","",T42)</f>
        <v>Территория действия тарифа</v>
      </c>
      <c r="AO42" s="501"/>
      <c r="AP42" s="501"/>
      <c r="AQ42" s="1156">
        <v>23</v>
      </c>
    </row>
    <row customHeight="1" ht="24">
      <c r="A43" s="1364" t="s">
        <v>371</v>
      </c>
      <c r="B43" s="1364" t="s">
        <v>372</v>
      </c>
      <c r="C43" s="1364" t="s">
        <v>373</v>
      </c>
      <c r="D43" s="1364"/>
      <c r="E43" s="2260"/>
      <c r="F43" s="2260"/>
      <c r="G43" s="2259">
        <v>1</v>
      </c>
      <c r="H43" s="1364"/>
      <c r="I43" s="1364"/>
      <c r="J43" s="1364"/>
      <c r="K43" s="1364"/>
      <c r="L43" s="1365"/>
      <c r="M43" s="1366"/>
      <c r="N43" s="1366"/>
      <c r="O43" s="1366"/>
      <c r="P43" s="355"/>
      <c r="Q43" s="353"/>
      <c r="R43" s="354"/>
      <c r="S43" s="1458" t="str">
        <f>INDEX(PT_DIFFERENTIATION_NUM_CS,MATCH(C43,PT_DIFFERENTIATION_CS_ID,0))</f>
        <v>..</v>
      </c>
      <c r="T43" s="310" t="s">
        <v>612</v>
      </c>
      <c r="U43" s="301"/>
      <c r="V43" s="2243"/>
      <c r="W43" s="2244"/>
      <c r="X43" s="2244"/>
      <c r="Y43" s="2244"/>
      <c r="Z43" s="2244"/>
      <c r="AA43" s="2244"/>
      <c r="AB43" s="2245"/>
      <c r="AC43" s="2243" t="str">
        <f>INDEX(PT_DIFFERENTIATION_CS,MATCH(C43,PT_DIFFERENTIATION_CS_ID,0))</f>
        <v/>
      </c>
      <c r="AD43" s="2244"/>
      <c r="AE43" s="2244"/>
      <c r="AF43" s="2244"/>
      <c r="AG43" s="2244"/>
      <c r="AH43" s="2244"/>
      <c r="AI43" s="2244"/>
      <c r="AJ43" s="2245"/>
      <c r="AK43" s="1259" t="s">
        <v>613</v>
      </c>
      <c r="AM43" s="501"/>
      <c r="AN43" s="501" t="str">
        <f>IF(T43="","",T43)</f>
        <v>Наименование централизованной системы холодного водоснабжения</v>
      </c>
      <c r="AO43" s="501"/>
      <c r="AP43" s="501"/>
      <c r="AQ43" s="1156">
        <v>23</v>
      </c>
    </row>
    <row customHeight="1" ht="24">
      <c r="A44" s="1364" t="s">
        <v>371</v>
      </c>
      <c r="B44" s="1364" t="s">
        <v>372</v>
      </c>
      <c r="C44" s="1364" t="s">
        <v>373</v>
      </c>
      <c r="D44" s="1364" t="s">
        <v>629</v>
      </c>
      <c r="E44" s="2260"/>
      <c r="F44" s="2260"/>
      <c r="G44" s="2260"/>
      <c r="H44" s="2260"/>
      <c r="I44" s="2257" t="str">
        <f>S43&amp;".1"</f>
        <v>...1</v>
      </c>
      <c r="J44" s="1364"/>
      <c r="K44" s="1364"/>
      <c r="L44" s="1365"/>
      <c r="P44" s="2258">
        <v>1</v>
      </c>
      <c r="Q44" s="1451"/>
      <c r="R44" s="357"/>
      <c r="S44" s="1458" t="str">
        <f>$I44</f>
        <v>...1</v>
      </c>
      <c r="T44" s="286" t="s">
        <v>614</v>
      </c>
      <c r="U44" s="301"/>
      <c r="V44" s="2351"/>
      <c r="W44" s="2352"/>
      <c r="X44" s="2352"/>
      <c r="Y44" s="2352"/>
      <c r="Z44" s="2352"/>
      <c r="AA44" s="2352"/>
      <c r="AB44" s="2353"/>
      <c r="AC44" s="2354"/>
      <c r="AD44" s="2355"/>
      <c r="AE44" s="2355"/>
      <c r="AF44" s="2355"/>
      <c r="AG44" s="2355"/>
      <c r="AH44" s="2355"/>
      <c r="AI44" s="2355"/>
      <c r="AJ44" s="2356"/>
      <c r="AK44" s="1259" t="s">
        <v>615</v>
      </c>
      <c r="AM44" s="501"/>
      <c r="AN44" s="501" t="str">
        <f>IF(T44="","",T44)</f>
        <v>Наименование признака дифференциации</v>
      </c>
      <c r="AO44" s="501"/>
      <c r="AP44" s="501"/>
      <c r="AQ44" s="1156">
        <v>23</v>
      </c>
    </row>
    <row customHeight="1" ht="24">
      <c r="A45" s="1364" t="s">
        <v>371</v>
      </c>
      <c r="B45" s="1364" t="s">
        <v>372</v>
      </c>
      <c r="C45" s="1364" t="s">
        <v>373</v>
      </c>
      <c r="D45" s="1364" t="s">
        <v>629</v>
      </c>
      <c r="E45" s="2260"/>
      <c r="F45" s="2260"/>
      <c r="G45" s="2260"/>
      <c r="H45" s="2260"/>
      <c r="I45" s="2287"/>
      <c r="J45" s="2257" t="str">
        <f>I44&amp;".1"</f>
        <v>...1.1</v>
      </c>
      <c r="K45" s="1364"/>
      <c r="L45" s="1365" t="s">
        <v>536</v>
      </c>
      <c r="P45" s="2258"/>
      <c r="Q45" s="2258">
        <v>1</v>
      </c>
      <c r="R45" s="358"/>
      <c r="S45" s="1458" t="str">
        <f>$J45</f>
        <v>...1.1</v>
      </c>
      <c r="T45" s="287" t="s">
        <v>537</v>
      </c>
      <c r="U45" s="301"/>
      <c r="V45" s="2246"/>
      <c r="W45" s="2247"/>
      <c r="X45" s="2247"/>
      <c r="Y45" s="2247"/>
      <c r="Z45" s="2247"/>
      <c r="AA45" s="2247"/>
      <c r="AB45" s="2248"/>
      <c r="AC45" s="2246"/>
      <c r="AD45" s="2247"/>
      <c r="AE45" s="2247"/>
      <c r="AF45" s="2247"/>
      <c r="AG45" s="2247"/>
      <c r="AH45" s="2247"/>
      <c r="AI45" s="2247"/>
      <c r="AJ45" s="2248"/>
      <c r="AK45" s="1308" t="s">
        <v>616</v>
      </c>
      <c r="AM45" s="501"/>
      <c r="AN45" s="501" t="str">
        <f>IF(T45="","",T45)</f>
        <v>Группа потребителей</v>
      </c>
      <c r="AO45" s="501"/>
      <c r="AP45" s="501"/>
      <c r="AQ45" s="1156">
        <v>23</v>
      </c>
    </row>
    <row customHeight="1" ht="24">
      <c r="A46" s="1364" t="s">
        <v>371</v>
      </c>
      <c r="B46" s="1364" t="s">
        <v>372</v>
      </c>
      <c r="C46" s="1364" t="s">
        <v>373</v>
      </c>
      <c r="D46" s="1364" t="s">
        <v>629</v>
      </c>
      <c r="E46" s="2260"/>
      <c r="F46" s="2260"/>
      <c r="G46" s="2260"/>
      <c r="H46" s="2260"/>
      <c r="I46" s="2287"/>
      <c r="J46" s="2287"/>
      <c r="K46" s="2257" t="str">
        <f>J45&amp;".1"</f>
        <v>...1.1.1</v>
      </c>
      <c r="L46" s="1365"/>
      <c r="P46" s="2258"/>
      <c r="Q46" s="2258"/>
      <c r="R46" s="358">
        <v>1</v>
      </c>
      <c r="S46" s="1458" t="str">
        <f>$K46</f>
        <v>...1.1.1</v>
      </c>
      <c r="T46" s="1438"/>
      <c r="U46" s="301"/>
      <c r="V46" s="752"/>
      <c r="W46" s="752"/>
      <c r="X46" s="1258"/>
      <c r="Y46" s="2266"/>
      <c r="Z46" s="2108" t="s">
        <v>65</v>
      </c>
      <c r="AA46" s="2266"/>
      <c r="AB46" s="2108" t="s">
        <v>65</v>
      </c>
      <c r="AC46" s="752"/>
      <c r="AD46" s="752"/>
      <c r="AE46" s="1258"/>
      <c r="AF46" s="2266"/>
      <c r="AG46" s="2108" t="s">
        <v>65</v>
      </c>
      <c r="AH46" s="2288"/>
      <c r="AI46" s="2108" t="s">
        <v>65</v>
      </c>
      <c r="AJ46" s="1439"/>
      <c r="AK46" s="2350"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2">
        <f>STRCHECKDATE(V47:AJ47)</f>
      </c>
      <c r="AM46" s="501"/>
      <c r="AN46" s="501" t="str">
        <f>IF(T46="","",T46)</f>
        <v/>
      </c>
      <c r="AO46" s="501"/>
      <c r="AP46" s="501"/>
      <c r="AQ46" s="1156">
        <v>23</v>
      </c>
    </row>
    <row customHeight="1" ht="0">
      <c r="A47" s="1364" t="s">
        <v>371</v>
      </c>
      <c r="B47" s="1364" t="s">
        <v>372</v>
      </c>
      <c r="C47" s="1364" t="s">
        <v>373</v>
      </c>
      <c r="D47" s="1364" t="s">
        <v>629</v>
      </c>
      <c r="E47" s="2260"/>
      <c r="F47" s="2260"/>
      <c r="G47" s="2260"/>
      <c r="H47" s="2260"/>
      <c r="I47" s="2287"/>
      <c r="J47" s="2287"/>
      <c r="K47" s="2257"/>
      <c r="L47" s="1365"/>
      <c r="P47" s="2258"/>
      <c r="Q47" s="2258"/>
      <c r="R47" s="358"/>
      <c r="S47" s="1457"/>
      <c r="T47" s="301"/>
      <c r="U47" s="301"/>
      <c r="V47" s="326"/>
      <c r="W47" s="326"/>
      <c r="X47" s="329" t="str">
        <f>Y46&amp;"-"&amp;AA46</f>
        <v>-</v>
      </c>
      <c r="Y47" s="2267"/>
      <c r="Z47" s="2108"/>
      <c r="AA47" s="2267"/>
      <c r="AB47" s="2108"/>
      <c r="AC47" s="326"/>
      <c r="AD47" s="326"/>
      <c r="AE47" s="329" t="str">
        <f>AF46&amp;"-"&amp;AH46</f>
        <v>-</v>
      </c>
      <c r="AF47" s="2267"/>
      <c r="AG47" s="2108"/>
      <c r="AH47" s="2289"/>
      <c r="AI47" s="2108"/>
      <c r="AJ47" s="1440"/>
      <c r="AK47" s="2350"/>
      <c r="AM47" s="501"/>
      <c r="AN47" s="501" t="str">
        <f>IF(T47="","",T47)</f>
        <v/>
      </c>
      <c r="AO47" s="501"/>
      <c r="AP47" s="501"/>
      <c r="AQ47" s="1156">
        <v>0</v>
      </c>
    </row>
    <row customHeight="1" ht="21">
      <c r="A48" s="1364" t="s">
        <v>371</v>
      </c>
      <c r="B48" s="1364" t="s">
        <v>372</v>
      </c>
      <c r="C48" s="1364" t="s">
        <v>373</v>
      </c>
      <c r="D48" s="1364" t="s">
        <v>629</v>
      </c>
      <c r="E48" s="2260"/>
      <c r="F48" s="2260"/>
      <c r="G48" s="2260"/>
      <c r="H48" s="2260"/>
      <c r="I48" s="2287"/>
      <c r="J48" s="2257"/>
      <c r="K48" s="1364"/>
      <c r="L48" s="1365"/>
      <c r="P48" s="2258"/>
      <c r="Q48" s="2258"/>
      <c r="R48" s="357"/>
      <c r="S48" s="1279"/>
      <c r="T48" s="288" t="s">
        <v>617</v>
      </c>
      <c r="U48" s="368"/>
      <c r="V48" s="368"/>
      <c r="W48" s="368"/>
      <c r="X48" s="368"/>
      <c r="Y48" s="368"/>
      <c r="Z48" s="368"/>
      <c r="AA48" s="368"/>
      <c r="AB48" s="368"/>
      <c r="AC48" s="368"/>
      <c r="AD48" s="368"/>
      <c r="AE48" s="368"/>
      <c r="AF48" s="368"/>
      <c r="AG48" s="368"/>
      <c r="AH48" s="368"/>
      <c r="AI48" s="368"/>
      <c r="AJ48" s="368"/>
      <c r="AK48" s="1259" t="s">
        <v>618</v>
      </c>
      <c r="AM48" s="501"/>
      <c r="AN48" s="501" t="str">
        <f>IF(T48="","",T48)</f>
        <v>Добавить значение признака дифференциации</v>
      </c>
      <c r="AO48" s="501"/>
      <c r="AP48" s="501"/>
      <c r="AQ48" s="1156">
        <v>20</v>
      </c>
    </row>
    <row customHeight="1" ht="22.049999999999997">
      <c r="A49" s="1364" t="s">
        <v>371</v>
      </c>
      <c r="B49" s="1364" t="s">
        <v>372</v>
      </c>
      <c r="C49" s="1364" t="s">
        <v>373</v>
      </c>
      <c r="D49" s="1364" t="s">
        <v>629</v>
      </c>
      <c r="E49" s="2260"/>
      <c r="F49" s="2260"/>
      <c r="G49" s="2260"/>
      <c r="H49" s="2260"/>
      <c r="I49" s="2257"/>
      <c r="J49" s="1364"/>
      <c r="K49" s="1364"/>
      <c r="L49" s="1365"/>
      <c r="P49" s="2258"/>
      <c r="Q49" s="1451"/>
      <c r="R49" s="357"/>
      <c r="S49" s="1279"/>
      <c r="T49" s="366" t="s">
        <v>542</v>
      </c>
      <c r="U49" s="368"/>
      <c r="V49" s="368"/>
      <c r="W49" s="368"/>
      <c r="X49" s="368"/>
      <c r="Y49" s="368"/>
      <c r="Z49" s="368"/>
      <c r="AA49" s="368"/>
      <c r="AB49" s="367"/>
      <c r="AC49" s="368"/>
      <c r="AD49" s="368"/>
      <c r="AE49" s="368"/>
      <c r="AF49" s="368"/>
      <c r="AG49" s="368"/>
      <c r="AH49" s="368"/>
      <c r="AI49" s="367"/>
      <c r="AJ49" s="368"/>
      <c r="AK49" s="1441"/>
      <c r="AM49" s="501"/>
      <c r="AN49" s="501" t="str">
        <f>IF(T49="","",T49)</f>
        <v>Добавить группу потребителей</v>
      </c>
      <c r="AO49" s="501"/>
      <c r="AP49" s="501"/>
      <c r="AQ49" s="1156">
        <v>21</v>
      </c>
    </row>
    <row customHeight="1" ht="22.049999999999997">
      <c r="A50" s="1364" t="s">
        <v>371</v>
      </c>
      <c r="B50" s="1364" t="s">
        <v>372</v>
      </c>
      <c r="C50" s="1364" t="s">
        <v>373</v>
      </c>
      <c r="D50" s="1364" t="s">
        <v>629</v>
      </c>
      <c r="E50" s="2260"/>
      <c r="F50" s="2260"/>
      <c r="G50" s="2260"/>
      <c r="H50" s="2259"/>
      <c r="I50" s="1364"/>
      <c r="J50" s="1364"/>
      <c r="K50" s="1364"/>
      <c r="L50" s="1365"/>
      <c r="M50" s="1366"/>
      <c r="N50" s="1366"/>
      <c r="O50" s="538"/>
      <c r="P50" s="361"/>
      <c r="Q50" s="376"/>
      <c r="R50" s="356"/>
      <c r="S50" s="1279"/>
      <c r="T50" s="373" t="s">
        <v>619</v>
      </c>
      <c r="U50" s="368"/>
      <c r="V50" s="368"/>
      <c r="W50" s="368"/>
      <c r="X50" s="368"/>
      <c r="Y50" s="368"/>
      <c r="Z50" s="368"/>
      <c r="AA50" s="368"/>
      <c r="AB50" s="367"/>
      <c r="AC50" s="368"/>
      <c r="AD50" s="368"/>
      <c r="AE50" s="368"/>
      <c r="AF50" s="368"/>
      <c r="AG50" s="368"/>
      <c r="AH50" s="368"/>
      <c r="AI50" s="367"/>
      <c r="AJ50" s="368"/>
      <c r="AK50" s="304"/>
      <c r="AM50" s="501"/>
      <c r="AN50" s="501" t="str">
        <f>IF(T50="","",T50)</f>
        <v>Добавить наименование признака дифференциации</v>
      </c>
      <c r="AO50" s="501"/>
      <c r="AP50" s="501"/>
      <c r="AQ50" s="1156">
        <v>21</v>
      </c>
    </row>
    <row s="1643" customFormat="1" customHeight="1" ht="0">
      <c r="A51" s="1344" t="s">
        <v>371</v>
      </c>
      <c r="B51" s="1344" t="s">
        <v>372</v>
      </c>
      <c r="C51" s="1315"/>
      <c r="D51" s="1315"/>
      <c r="E51" s="2260"/>
      <c r="F51" s="2259"/>
      <c r="G51" s="1315"/>
      <c r="H51" s="1315"/>
      <c r="I51" s="1315"/>
      <c r="J51" s="1315"/>
      <c r="K51" s="1315"/>
      <c r="L51" s="1459"/>
      <c r="M51" s="1322"/>
      <c r="N51" s="1322"/>
      <c r="P51" s="1317"/>
      <c r="Q51" s="1318"/>
      <c r="R51" s="1317"/>
      <c r="S51" s="1323"/>
      <c r="T51" s="1326" t="s">
        <v>178</v>
      </c>
      <c r="U51" s="1325"/>
      <c r="V51" s="1325"/>
      <c r="W51" s="1325"/>
      <c r="X51" s="1325"/>
      <c r="Y51" s="1325"/>
      <c r="Z51" s="1325"/>
      <c r="AA51" s="1325"/>
      <c r="AB51" s="1325"/>
      <c r="AC51" s="1325"/>
      <c r="AD51" s="1325"/>
      <c r="AE51" s="1325"/>
      <c r="AF51" s="1325"/>
      <c r="AG51" s="1325"/>
      <c r="AH51" s="1325"/>
      <c r="AI51" s="1325"/>
      <c r="AJ51" s="1325"/>
      <c r="AK51" s="1325"/>
      <c r="AM51" s="790"/>
      <c r="AN51" s="790" t="str">
        <f>IF(T51="","",T51)</f>
        <v>Добавить централизованную систему для дифференциации</v>
      </c>
      <c r="AO51" s="790"/>
      <c r="AP51" s="790"/>
      <c r="AQ51" s="519">
        <v>0</v>
      </c>
    </row>
    <row s="1643" customFormat="1" customHeight="1" ht="0">
      <c r="A52" s="1344" t="s">
        <v>371</v>
      </c>
      <c r="B52" s="1344"/>
      <c r="C52" s="1344"/>
      <c r="D52" s="1344"/>
      <c r="E52" s="2259"/>
      <c r="F52" s="1344"/>
      <c r="G52" s="1344"/>
      <c r="H52" s="1344"/>
      <c r="I52" s="1344"/>
      <c r="J52" s="1344"/>
      <c r="K52" s="1344"/>
      <c r="L52" s="1347"/>
      <c r="M52" s="1322"/>
      <c r="N52" s="1322"/>
      <c r="O52" s="519"/>
      <c r="P52" s="381"/>
      <c r="Q52" s="1345"/>
      <c r="R52" s="381"/>
      <c r="S52" s="1323"/>
      <c r="T52" s="1326" t="s">
        <v>183</v>
      </c>
      <c r="U52" s="1325"/>
      <c r="V52" s="1325"/>
      <c r="W52" s="1325"/>
      <c r="X52" s="1325"/>
      <c r="Y52" s="1325"/>
      <c r="Z52" s="1325"/>
      <c r="AA52" s="1325"/>
      <c r="AB52" s="1325"/>
      <c r="AC52" s="1325"/>
      <c r="AD52" s="1325"/>
      <c r="AE52" s="1325"/>
      <c r="AF52" s="1325"/>
      <c r="AG52" s="1325"/>
      <c r="AH52" s="1325"/>
      <c r="AI52" s="1325"/>
      <c r="AJ52" s="1325"/>
      <c r="AK52" s="1325"/>
      <c r="AM52" s="501"/>
      <c r="AN52" s="501" t="str">
        <f>IF(T52="","",T52)</f>
        <v>Добавить территорию для дифференциации</v>
      </c>
      <c r="AO52" s="501"/>
      <c r="AP52" s="501"/>
      <c r="AQ52" s="512">
        <v>0</v>
      </c>
    </row>
    <row s="1643" customFormat="1" customHeight="1" ht="0">
      <c r="A53" s="1315"/>
      <c r="B53" s="1315"/>
      <c r="C53" s="1315"/>
      <c r="D53" s="1315"/>
      <c r="E53" s="1344"/>
      <c r="F53" s="1315"/>
      <c r="G53" s="1315"/>
      <c r="H53" s="1315"/>
      <c r="I53" s="1315"/>
      <c r="J53" s="1315"/>
      <c r="K53" s="1315"/>
      <c r="L53" s="1459"/>
      <c r="M53" s="1322"/>
      <c r="N53" s="1322"/>
      <c r="P53" s="1317"/>
      <c r="Q53" s="1318"/>
      <c r="R53" s="1317"/>
      <c r="S53" s="1323"/>
      <c r="T53" s="1326" t="s">
        <v>222</v>
      </c>
      <c r="U53" s="1325"/>
      <c r="V53" s="1325"/>
      <c r="W53" s="1325"/>
      <c r="X53" s="1325"/>
      <c r="Y53" s="1325"/>
      <c r="Z53" s="1325"/>
      <c r="AA53" s="1325"/>
      <c r="AB53" s="1325"/>
      <c r="AC53" s="1325"/>
      <c r="AD53" s="1325"/>
      <c r="AE53" s="1325"/>
      <c r="AF53" s="1325"/>
      <c r="AG53" s="1325"/>
      <c r="AH53" s="1325"/>
      <c r="AI53" s="1325"/>
      <c r="AJ53" s="1325"/>
      <c r="AK53" s="1325"/>
      <c r="AM53" s="790"/>
      <c r="AN53" s="790" t="str">
        <f>IF(T53="","",T53)</f>
        <v>Добавить наименование тарифа</v>
      </c>
      <c r="AO53" s="790"/>
      <c r="AP53" s="790"/>
      <c r="AQ53" s="519">
        <v>0</v>
      </c>
    </row>
    <row customHeight="1" ht="11.549999999999999">
      <c r="M54" s="1161"/>
      <c r="N54" s="1161"/>
      <c r="O54" s="538"/>
      <c r="P54" s="1156"/>
      <c r="Q54" s="1156"/>
      <c r="R54" s="1156"/>
      <c r="S54" s="1156"/>
      <c r="AL54" s="1156"/>
      <c r="AM54" s="1156"/>
      <c r="AN54" s="1156"/>
      <c r="AO54" s="1156"/>
      <c r="AP54" s="1156"/>
      <c r="AQ54" s="1156">
        <v>11</v>
      </c>
    </row>
    <row customHeight="1" ht="14.699999999999998">
      <c r="O55" s="538"/>
      <c r="S55" s="1254"/>
      <c r="T55" s="2286"/>
      <c r="U55" s="2286"/>
      <c r="V55" s="2286"/>
      <c r="W55" s="2286"/>
      <c r="X55" s="2286"/>
      <c r="Y55" s="2286"/>
      <c r="Z55" s="2286"/>
      <c r="AA55" s="2286"/>
      <c r="AB55" s="2286"/>
      <c r="AC55" s="2286"/>
      <c r="AD55" s="2286"/>
      <c r="AE55" s="2286"/>
      <c r="AF55" s="2286"/>
      <c r="AG55" s="2286"/>
      <c r="AH55" s="2286"/>
      <c r="AI55" s="2286"/>
      <c r="AJ55" s="2286"/>
      <c r="AK55" s="2286"/>
      <c r="AQ55" s="1156">
        <v>14</v>
      </c>
    </row>
    <row customHeight="1" ht="14.699999999999998">
      <c r="O56" s="538"/>
      <c r="AQ56" s="1156">
        <v>14</v>
      </c>
    </row>
    <row customHeight="1" ht="14.699999999999998">
      <c r="O57" s="538"/>
      <c r="S57" s="1254"/>
      <c r="T57" s="2286"/>
      <c r="U57" s="2286"/>
      <c r="V57" s="2286"/>
      <c r="W57" s="2286"/>
      <c r="X57" s="2286"/>
      <c r="Y57" s="2286"/>
      <c r="Z57" s="2286"/>
      <c r="AA57" s="2286"/>
      <c r="AB57" s="2286"/>
      <c r="AC57" s="2286"/>
      <c r="AD57" s="2286"/>
      <c r="AE57" s="2286"/>
      <c r="AF57" s="2286"/>
      <c r="AG57" s="2286"/>
      <c r="AH57" s="2286"/>
      <c r="AI57" s="2286"/>
      <c r="AJ57" s="2286"/>
      <c r="AK57" s="2286"/>
      <c r="AQ57" s="1156">
        <v>14</v>
      </c>
    </row>
    <row customHeight="1" ht="22.5" hidden="1">
      <c r="A58" s="1161" t="s">
        <v>86</v>
      </c>
      <c r="B58" s="1161">
        <v>0</v>
      </c>
      <c r="C58" s="1161">
        <v>0</v>
      </c>
      <c r="D58" s="1161">
        <v>0</v>
      </c>
      <c r="E58" s="1161">
        <v>0</v>
      </c>
      <c r="F58" s="1161">
        <v>0</v>
      </c>
      <c r="G58" s="1161">
        <v>0</v>
      </c>
      <c r="H58" s="1161">
        <v>0</v>
      </c>
      <c r="I58" s="1161">
        <v>0</v>
      </c>
      <c r="J58" s="1161">
        <v>0</v>
      </c>
      <c r="K58" s="1161">
        <v>0</v>
      </c>
      <c r="L58" s="1448">
        <v>0</v>
      </c>
      <c r="M58" s="1363">
        <v>0</v>
      </c>
      <c r="N58" s="1363">
        <v>0</v>
      </c>
      <c r="O58" s="1363">
        <v>0</v>
      </c>
      <c r="P58" s="1447">
        <v>3</v>
      </c>
      <c r="Q58" s="345">
        <v>3</v>
      </c>
      <c r="R58" s="345">
        <v>3</v>
      </c>
      <c r="S58" s="582">
        <v>12</v>
      </c>
      <c r="T58" s="1156">
        <v>35</v>
      </c>
      <c r="U58" s="1156">
        <v>0</v>
      </c>
      <c r="V58" s="1156">
        <v>0</v>
      </c>
      <c r="W58" s="1156">
        <v>0</v>
      </c>
      <c r="X58" s="1156">
        <v>0</v>
      </c>
      <c r="Y58" s="1156">
        <v>0</v>
      </c>
      <c r="Z58" s="1156">
        <v>0</v>
      </c>
      <c r="AA58" s="1156">
        <v>0</v>
      </c>
      <c r="AB58" s="1156">
        <v>0</v>
      </c>
      <c r="AC58" s="1156">
        <v>24</v>
      </c>
      <c r="AD58" s="1156">
        <v>24</v>
      </c>
      <c r="AE58" s="1156">
        <v>24</v>
      </c>
      <c r="AF58" s="1156">
        <v>11</v>
      </c>
      <c r="AG58" s="1156">
        <v>3</v>
      </c>
      <c r="AH58" s="1156">
        <v>11</v>
      </c>
      <c r="AI58" s="1156">
        <v>0</v>
      </c>
      <c r="AJ58" s="1156">
        <v>4</v>
      </c>
      <c r="AK58" s="1156">
        <v>115</v>
      </c>
      <c r="AL58" s="512">
        <v>10</v>
      </c>
      <c r="AM58" s="512">
        <v>10</v>
      </c>
      <c r="AN58" s="512">
        <v>10</v>
      </c>
      <c r="AO58" s="512">
        <v>10</v>
      </c>
      <c r="AP58" s="512">
        <v>10</v>
      </c>
      <c r="AQ58" s="1156">
        <v>23</v>
      </c>
    </row>
  </sheetData>
  <sheetProtection formatColumns="0" formatRows="0" autoFilter="0" sort="0" insertRows="0" insertColumns="1" deleteRows="0" deleteColumns="0"/>
  <mergeCells count="101">
    <mergeCell ref="AK46:AK47"/>
    <mergeCell ref="T55:AK55"/>
    <mergeCell ref="T57:AK57"/>
    <mergeCell ref="K46:K47"/>
    <mergeCell ref="Y46:Y47"/>
    <mergeCell ref="Z46:Z47"/>
    <mergeCell ref="AA46:AA47"/>
    <mergeCell ref="AB46:AB47"/>
    <mergeCell ref="AF46:AF47"/>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7:AK8"/>
    <mergeCell ref="AF15:AF16"/>
    <mergeCell ref="AG15:AG16"/>
    <mergeCell ref="AH15:AH16"/>
    <mergeCell ref="AI15:AI16"/>
    <mergeCell ref="Z7:Z8"/>
    <mergeCell ref="AA7:AA8"/>
    <mergeCell ref="AB7:AB8"/>
    <mergeCell ref="AF7:AF8"/>
    <mergeCell ref="AG7:AG8"/>
    <mergeCell ref="AH7:AH8"/>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s>
  <dataValidations count="8">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X47 AE8 X8 AE47"/>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44:AJ44 AC5:AJ5">
      <formula1>900</formula1>
    </dataValidation>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Y46 AA46 AH7 AF7 Y7 AA7"/>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46 AI524330 AI196650 AI589866 AI655402 AI15 AI720938 AI786474 AI852010 AI917546 AI983082 AI65578 AI131114 AI458794 AI262186 AG46 AI7 Z46 AB46 AG15 AG7 Z7 AB7 AI327722 AI393258"/>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5157B9A-2658-D1F8-9708-8727A5B6E7EA}" mc:Ignorable="x14ac xr xr2 xr3">
  <sheetPr>
    <tabColor theme="6" tint="0.4"/>
  </sheetPr>
  <dimension ref="A1:AQ64"/>
  <sheetViews>
    <sheetView showGridLines="0" zoomScale="90" workbookViewId="0">
      <pane xSplit="27" ySplit="41" topLeftCell="AB42" activePane="bottomRight" state="frozen"/>
      <selection pane="bottomLeft" activeCell="A42" sqref="A42"/>
      <selection pane="topRight" activeCell="AB1" sqref="AB1"/>
      <selection pane="bottomRight" activeCell="A1" sqref="A1"/>
    </sheetView>
  </sheetViews>
  <sheetFormatPr defaultColWidth="10.57421875" customHeight="1" defaultRowHeight="14.25"/>
  <cols>
    <col min="1" max="3" style="1636" width="10.140625" hidden="1" customWidth="1"/>
    <col min="4" max="4" style="1636" width="11.8515625" hidden="1" customWidth="1"/>
    <col min="5" max="11" style="1636" width="10.140625" hidden="1" customWidth="1"/>
    <col min="12" max="12" style="2126" width="10.140625" hidden="1" customWidth="1"/>
    <col min="13" max="15" style="2398" width="10.140625" hidden="1" customWidth="1"/>
    <col min="16" max="16" style="1777" width="3.00390625" customWidth="1"/>
    <col min="17" max="17" style="1372" width="3.00390625" customWidth="1"/>
    <col min="18" max="18" style="345" width="3.00390625" customWidth="1"/>
    <col min="19" max="19" style="2408" width="12.00390625" customWidth="1"/>
    <col min="20" max="20" style="1636" width="31.00390625" customWidth="1"/>
    <col min="21" max="21" style="1636" width="0.140625" customWidth="1"/>
    <col min="22" max="23" style="1636" width="21.7109375" hidden="1" customWidth="1"/>
    <col min="24" max="24" style="1636" width="11.7109375" hidden="1" customWidth="1"/>
    <col min="25" max="25" style="1636" width="3.7109375" hidden="1" customWidth="1"/>
    <col min="26" max="26" style="1636" width="11.7109375" hidden="1" customWidth="1"/>
    <col min="27" max="27" style="1636" width="8.57421875" hidden="1" customWidth="1"/>
    <col min="28" max="28" style="1636" width="27.00390625" customWidth="1"/>
    <col min="29" max="29" style="1636" width="24.57421875" customWidth="1"/>
    <col min="30" max="31" style="1636" width="21.00390625" customWidth="1"/>
    <col min="32" max="32" style="1636" width="11.00390625" customWidth="1"/>
    <col min="33" max="33" style="1636" width="3.7109375" customWidth="1"/>
    <col min="34" max="34" style="1636" width="11.00390625" customWidth="1"/>
    <col min="35" max="35" style="1636" width="8.57421875" hidden="1" customWidth="1"/>
    <col min="36" max="36" style="1636" width="4.00390625" customWidth="1"/>
    <col min="37" max="37" style="1636" width="115.00390625" customWidth="1"/>
    <col min="38" max="42" style="1643" width="10.00390625" customWidth="1"/>
    <col min="43" max="43" style="1636" width="10.57421875" hidden="1"/>
  </cols>
  <sheetData>
    <row customHeight="1" ht="0.75" hidden="1">
      <c r="AQ1" s="1632" t="s">
        <v>14</v>
      </c>
    </row>
    <row customHeight="1" ht="21" hidden="1">
      <c r="A2" s="1268"/>
      <c r="B2" s="1268"/>
      <c r="C2" s="1268"/>
      <c r="D2" s="1268"/>
      <c r="E2" s="2290">
        <v>1</v>
      </c>
      <c r="F2" s="1268"/>
      <c r="G2" s="1268"/>
      <c r="H2" s="1268"/>
      <c r="I2" s="1268"/>
      <c r="J2" s="1268"/>
      <c r="K2" s="1268"/>
      <c r="L2" s="1311"/>
      <c r="M2" s="1611"/>
      <c r="N2" s="1611"/>
      <c r="O2" s="1611"/>
      <c r="P2" s="1410"/>
      <c r="Q2" s="874"/>
      <c r="R2" s="356"/>
      <c r="S2" s="1959">
        <f>INDEX(PT_DIFFERENTIATION_NUM_NTAR,MATCH(A2,PT_DIFFERENTIATION_NTAR_ID,0))</f>
      </c>
      <c r="T2" s="1526" t="s">
        <v>136</v>
      </c>
      <c r="U2" s="301"/>
      <c r="V2" s="2244"/>
      <c r="W2" s="2244"/>
      <c r="X2" s="2244"/>
      <c r="Y2" s="2244"/>
      <c r="Z2" s="2244"/>
      <c r="AA2" s="2245"/>
      <c r="AB2" s="1953"/>
      <c r="AC2" s="2244">
        <f>INDEX(PT_DIFFERENTIATION_NTAR,MATCH(A2,PT_DIFFERENTIATION_NTAR_ID,0))</f>
      </c>
      <c r="AD2" s="2244"/>
      <c r="AE2" s="2244"/>
      <c r="AF2" s="2244"/>
      <c r="AG2" s="2244"/>
      <c r="AH2" s="2244"/>
      <c r="AI2" s="2244"/>
      <c r="AJ2" s="2245"/>
      <c r="AK2" s="1259" t="s">
        <v>526</v>
      </c>
      <c r="AM2" s="1625"/>
      <c r="AN2" s="1625" t="str">
        <f>IF(T2="","",T2)</f>
        <v>Наименование тарифа</v>
      </c>
      <c r="AO2" s="1625"/>
      <c r="AP2" s="1625"/>
      <c r="AQ2" s="1632">
        <v>0</v>
      </c>
    </row>
    <row customHeight="1" ht="21" hidden="1">
      <c r="A3" s="1268"/>
      <c r="B3" s="1268"/>
      <c r="C3" s="1268"/>
      <c r="D3" s="1268"/>
      <c r="E3" s="2291"/>
      <c r="F3" s="2290">
        <v>1</v>
      </c>
      <c r="G3" s="1268"/>
      <c r="H3" s="1268"/>
      <c r="I3" s="1268"/>
      <c r="J3" s="1268"/>
      <c r="K3" s="1268"/>
      <c r="L3" s="1311"/>
      <c r="M3" s="1611"/>
      <c r="N3" s="1611"/>
      <c r="O3" s="1611"/>
      <c r="P3" s="1970"/>
      <c r="Q3" s="1412"/>
      <c r="R3" s="354"/>
      <c r="S3" s="1959">
        <f>INDEX(PT_DIFFERENTIATION_NUM_TER,MATCH(B3,PT_DIFFERENTIATION_TER_ID,0))</f>
      </c>
      <c r="T3" s="1523" t="s">
        <v>527</v>
      </c>
      <c r="U3" s="301"/>
      <c r="V3" s="2244"/>
      <c r="W3" s="2244"/>
      <c r="X3" s="2244"/>
      <c r="Y3" s="2244"/>
      <c r="Z3" s="2244"/>
      <c r="AA3" s="2245"/>
      <c r="AB3" s="1953"/>
      <c r="AC3" s="2244">
        <f>INDEX(PT_DIFFERENTIATION_TER,MATCH(B3,PT_DIFFERENTIATION_TER_ID,0))</f>
      </c>
      <c r="AD3" s="2244"/>
      <c r="AE3" s="2244"/>
      <c r="AF3" s="2244"/>
      <c r="AG3" s="2244"/>
      <c r="AH3" s="2244"/>
      <c r="AI3" s="2244"/>
      <c r="AJ3" s="2245"/>
      <c r="AK3" s="1259" t="s">
        <v>528</v>
      </c>
      <c r="AM3" s="1625"/>
      <c r="AN3" s="1625" t="str">
        <f>IF(T3="","",T3)</f>
        <v>Территория действия тарифа</v>
      </c>
      <c r="AO3" s="1625"/>
      <c r="AP3" s="1625"/>
      <c r="AQ3" s="1632">
        <v>0</v>
      </c>
    </row>
    <row customHeight="1" ht="22.5" hidden="1">
      <c r="A4" s="1268"/>
      <c r="B4" s="1268"/>
      <c r="C4" s="1268"/>
      <c r="D4" s="1268"/>
      <c r="E4" s="2291"/>
      <c r="F4" s="2291"/>
      <c r="G4" s="2290">
        <v>1</v>
      </c>
      <c r="H4" s="1268"/>
      <c r="I4" s="1268"/>
      <c r="J4" s="1268"/>
      <c r="K4" s="1268"/>
      <c r="L4" s="1311"/>
      <c r="M4" s="1611"/>
      <c r="N4" s="1611"/>
      <c r="O4" s="1611"/>
      <c r="P4" s="1413"/>
      <c r="Q4" s="1412"/>
      <c r="R4" s="354"/>
      <c r="S4" s="1959">
        <f>INDEX(PT_DIFFERENTIATION_NUM_CS,MATCH(C4,PT_DIFFERENTIATION_CS_ID,0))</f>
      </c>
      <c r="T4" s="310" t="s">
        <v>529</v>
      </c>
      <c r="U4" s="301"/>
      <c r="V4" s="2244"/>
      <c r="W4" s="2244"/>
      <c r="X4" s="2244"/>
      <c r="Y4" s="2244"/>
      <c r="Z4" s="2244"/>
      <c r="AA4" s="2245"/>
      <c r="AB4" s="1953"/>
      <c r="AC4" s="2244">
        <f>INDEX(PT_DIFFERENTIATION_CS,MATCH(C4,PT_DIFFERENTIATION_CS_ID,0))</f>
      </c>
      <c r="AD4" s="2244"/>
      <c r="AE4" s="2244"/>
      <c r="AF4" s="2244"/>
      <c r="AG4" s="2244"/>
      <c r="AH4" s="2244"/>
      <c r="AI4" s="2244"/>
      <c r="AJ4" s="2245"/>
      <c r="AK4" s="1259" t="s">
        <v>530</v>
      </c>
      <c r="AM4" s="1625"/>
      <c r="AN4" s="1625" t="str">
        <f>IF(T4="","",T4)</f>
        <v>Наименование системы теплоснабжения </v>
      </c>
      <c r="AO4" s="1625"/>
      <c r="AP4" s="1625"/>
      <c r="AQ4" s="1632">
        <v>0</v>
      </c>
    </row>
    <row customHeight="1" ht="21" hidden="1">
      <c r="A5" s="1268"/>
      <c r="B5" s="1268"/>
      <c r="C5" s="1268"/>
      <c r="D5" s="1268"/>
      <c r="E5" s="2291"/>
      <c r="F5" s="2291"/>
      <c r="G5" s="2291"/>
      <c r="H5" s="2290">
        <v>1</v>
      </c>
      <c r="I5" s="1268"/>
      <c r="J5" s="1268"/>
      <c r="K5" s="1268"/>
      <c r="L5" s="1311"/>
      <c r="M5" s="1611"/>
      <c r="N5" s="1611"/>
      <c r="O5" s="1611"/>
      <c r="P5" s="1413"/>
      <c r="Q5" s="1412"/>
      <c r="R5" s="354"/>
      <c r="S5" s="1959">
        <f>INDEX(PT_DIFFERENTIATION_NUM_IST_TE,MATCH(D5,PT_DIFFERENTIATION_IST_TE_ID,0))</f>
      </c>
      <c r="T5" s="311" t="s">
        <v>531</v>
      </c>
      <c r="U5" s="301"/>
      <c r="V5" s="2244"/>
      <c r="W5" s="2244"/>
      <c r="X5" s="2244"/>
      <c r="Y5" s="2244"/>
      <c r="Z5" s="2244"/>
      <c r="AA5" s="2245"/>
      <c r="AB5" s="1953"/>
      <c r="AC5" s="2244">
        <f>INDEX(PT_DIFFERENTIATION_IST_TE,MATCH(D5,PT_DIFFERENTIATION_IST_TE_ID,0))</f>
      </c>
      <c r="AD5" s="2244"/>
      <c r="AE5" s="2244"/>
      <c r="AF5" s="2244"/>
      <c r="AG5" s="2244"/>
      <c r="AH5" s="2244"/>
      <c r="AI5" s="2244"/>
      <c r="AJ5" s="2245"/>
      <c r="AK5" s="1259" t="s">
        <v>532</v>
      </c>
      <c r="AM5" s="1625"/>
      <c r="AN5" s="1625" t="str">
        <f>IF(T5="","",T5)</f>
        <v>Источник тепловой энергии  </v>
      </c>
      <c r="AO5" s="1625"/>
      <c r="AP5" s="1625"/>
      <c r="AQ5" s="1632">
        <v>0</v>
      </c>
    </row>
    <row s="1643" customFormat="1" customHeight="1" ht="0.75" hidden="1">
      <c r="A6" s="1376"/>
      <c r="B6" s="1376"/>
      <c r="C6" s="1376"/>
      <c r="D6" s="1376"/>
      <c r="E6" s="2291"/>
      <c r="F6" s="2291"/>
      <c r="G6" s="2291"/>
      <c r="H6" s="2291"/>
      <c r="I6" s="2128">
        <f>S5&amp;".1"</f>
      </c>
      <c r="J6" s="1376"/>
      <c r="K6" s="1376"/>
      <c r="L6" s="1382" t="s">
        <v>533</v>
      </c>
      <c r="M6" s="1247"/>
      <c r="N6" s="1247"/>
      <c r="O6" s="1247"/>
      <c r="P6" s="2258">
        <v>1</v>
      </c>
      <c r="Q6" s="1955"/>
      <c r="R6" s="357"/>
      <c r="S6" s="1043"/>
      <c r="T6" s="1384"/>
      <c r="U6" s="1385"/>
      <c r="V6" s="2298"/>
      <c r="W6" s="2298"/>
      <c r="X6" s="2298"/>
      <c r="Y6" s="2298"/>
      <c r="Z6" s="2298"/>
      <c r="AA6" s="2299"/>
      <c r="AB6" s="1961"/>
      <c r="AC6" s="2298"/>
      <c r="AD6" s="2298"/>
      <c r="AE6" s="2298"/>
      <c r="AF6" s="2298"/>
      <c r="AG6" s="2298"/>
      <c r="AH6" s="2298"/>
      <c r="AI6" s="2298"/>
      <c r="AJ6" s="2299"/>
      <c r="AK6" s="1386"/>
      <c r="AM6" s="1625"/>
      <c r="AN6" s="1625" t="str">
        <f>IF(T6="","",T6)</f>
        <v/>
      </c>
      <c r="AO6" s="1625"/>
      <c r="AP6" s="1625"/>
      <c r="AQ6" s="1637">
        <v>0</v>
      </c>
    </row>
    <row s="1643" customFormat="1" customHeight="1" ht="0.75" hidden="1">
      <c r="A7" s="1376"/>
      <c r="B7" s="1376"/>
      <c r="C7" s="1376"/>
      <c r="D7" s="1376"/>
      <c r="E7" s="2291"/>
      <c r="F7" s="2291"/>
      <c r="G7" s="2291"/>
      <c r="H7" s="2291"/>
      <c r="I7" s="2102"/>
      <c r="J7" s="2128">
        <f>S5&amp;".1"</f>
      </c>
      <c r="K7" s="1376"/>
      <c r="L7" s="1382"/>
      <c r="M7" s="1247"/>
      <c r="N7" s="1247"/>
      <c r="O7" s="1247"/>
      <c r="P7" s="2258"/>
      <c r="Q7" s="2258">
        <v>1</v>
      </c>
      <c r="R7" s="358"/>
      <c r="S7" s="1043"/>
      <c r="T7" s="1400"/>
      <c r="U7" s="1385"/>
      <c r="V7" s="2298"/>
      <c r="W7" s="2298"/>
      <c r="X7" s="2298"/>
      <c r="Y7" s="2298"/>
      <c r="Z7" s="2298"/>
      <c r="AA7" s="2299"/>
      <c r="AB7" s="1961"/>
      <c r="AC7" s="2298"/>
      <c r="AD7" s="2298"/>
      <c r="AE7" s="2298"/>
      <c r="AF7" s="2298"/>
      <c r="AG7" s="2298"/>
      <c r="AH7" s="2298"/>
      <c r="AI7" s="2298"/>
      <c r="AJ7" s="2299"/>
      <c r="AK7" s="1386"/>
      <c r="AM7" s="1625"/>
      <c r="AN7" s="1625" t="str">
        <f>IF(T7="","",T7)</f>
        <v/>
      </c>
      <c r="AO7" s="1625"/>
      <c r="AP7" s="1625"/>
      <c r="AQ7" s="1637">
        <v>0</v>
      </c>
    </row>
    <row customHeight="1" ht="21" hidden="1">
      <c r="A8" s="1268"/>
      <c r="B8" s="1268"/>
      <c r="C8" s="1268"/>
      <c r="D8" s="1268"/>
      <c r="E8" s="2291"/>
      <c r="F8" s="2291"/>
      <c r="G8" s="2291"/>
      <c r="H8" s="2291"/>
      <c r="I8" s="2102"/>
      <c r="J8" s="2102"/>
      <c r="K8" s="1992">
        <f>S5&amp;".1"</f>
      </c>
      <c r="L8" s="1311"/>
      <c r="P8" s="2258"/>
      <c r="Q8" s="2258"/>
      <c r="R8" s="1996">
        <v>1</v>
      </c>
      <c r="S8" s="1994">
        <f>$K8</f>
      </c>
      <c r="T8" s="1995"/>
      <c r="U8" s="301"/>
      <c r="V8" s="752"/>
      <c r="W8" s="1258"/>
      <c r="X8" s="1993"/>
      <c r="Y8" s="1991" t="s">
        <v>65</v>
      </c>
      <c r="Z8" s="1993"/>
      <c r="AA8" s="1991" t="s">
        <v>65</v>
      </c>
      <c r="AB8" s="1997"/>
      <c r="AC8" s="1998" t="s">
        <v>28</v>
      </c>
      <c r="AD8" s="752"/>
      <c r="AE8" s="1258"/>
      <c r="AF8" s="1956"/>
      <c r="AG8" s="1943" t="s">
        <v>65</v>
      </c>
      <c r="AH8" s="1956"/>
      <c r="AI8" s="1943" t="s">
        <v>65</v>
      </c>
      <c r="AJ8" s="1349"/>
      <c r="AK8" s="2254" t="s">
        <v>595</v>
      </c>
      <c r="AL8" s="1637">
        <f>STRCHECKDATE(#REF!)</f>
      </c>
      <c r="AM8" s="1625"/>
      <c r="AN8" s="1625" t="str">
        <f>IF(T8="","",T8)</f>
        <v/>
      </c>
      <c r="AO8" s="1625"/>
      <c r="AP8" s="1625"/>
      <c r="AQ8" s="1632">
        <v>0</v>
      </c>
    </row>
    <row customHeight="1" ht="11.25" hidden="1">
      <c r="A9" s="1268"/>
      <c r="B9" s="1268"/>
      <c r="C9" s="1268"/>
      <c r="D9" s="1268"/>
      <c r="E9" s="2291"/>
      <c r="F9" s="2291"/>
      <c r="G9" s="2291"/>
      <c r="H9" s="2291"/>
      <c r="I9" s="2102"/>
      <c r="J9" s="2128"/>
      <c r="K9" s="1268"/>
      <c r="L9" s="1311"/>
      <c r="P9" s="2258"/>
      <c r="Q9" s="2258"/>
      <c r="R9" s="357"/>
      <c r="S9" s="1279"/>
      <c r="T9" s="288" t="s">
        <v>599</v>
      </c>
      <c r="U9" s="601"/>
      <c r="V9" s="601"/>
      <c r="W9" s="601"/>
      <c r="X9" s="601"/>
      <c r="Y9" s="601"/>
      <c r="Z9" s="601"/>
      <c r="AA9" s="601"/>
      <c r="AB9" s="601"/>
      <c r="AC9" s="601"/>
      <c r="AD9" s="601"/>
      <c r="AE9" s="601"/>
      <c r="AF9" s="601"/>
      <c r="AG9" s="601"/>
      <c r="AH9" s="601"/>
      <c r="AI9" s="601"/>
      <c r="AJ9" s="325"/>
      <c r="AK9" s="2256"/>
      <c r="AM9" s="1625"/>
      <c r="AN9" s="1625" t="str">
        <f>IF(T9="","",T9)</f>
        <v>Добавить строку</v>
      </c>
      <c r="AO9" s="1625"/>
      <c r="AP9" s="1625"/>
      <c r="AQ9" s="1632">
        <v>0</v>
      </c>
    </row>
    <row s="1643" customFormat="1" customHeight="1" ht="0.75" hidden="1">
      <c r="A10" s="1376"/>
      <c r="B10" s="1376"/>
      <c r="C10" s="1376"/>
      <c r="D10" s="1376"/>
      <c r="E10" s="2291"/>
      <c r="F10" s="2291"/>
      <c r="G10" s="2291"/>
      <c r="H10" s="2291"/>
      <c r="I10" s="2128"/>
      <c r="J10" s="1376"/>
      <c r="K10" s="1376"/>
      <c r="L10" s="1382"/>
      <c r="M10" s="1247"/>
      <c r="N10" s="1247"/>
      <c r="O10" s="1247"/>
      <c r="P10" s="2258"/>
      <c r="Q10" s="1955"/>
      <c r="R10" s="357"/>
      <c r="S10" s="1387"/>
      <c r="T10" s="1388"/>
      <c r="U10" s="1389"/>
      <c r="V10" s="1389"/>
      <c r="W10" s="1389"/>
      <c r="X10" s="1389"/>
      <c r="Y10" s="1389"/>
      <c r="Z10" s="1389"/>
      <c r="AA10" s="1389"/>
      <c r="AB10" s="1389"/>
      <c r="AC10" s="1389"/>
      <c r="AD10" s="1389"/>
      <c r="AE10" s="1389"/>
      <c r="AF10" s="1389"/>
      <c r="AG10" s="1389"/>
      <c r="AH10" s="1389"/>
      <c r="AI10" s="1389"/>
      <c r="AJ10" s="1389"/>
      <c r="AK10" s="1390"/>
      <c r="AM10" s="1625"/>
      <c r="AN10" s="1625" t="str">
        <f>IF(T10="","",T10)</f>
        <v/>
      </c>
      <c r="AO10" s="1625"/>
      <c r="AP10" s="1625"/>
      <c r="AQ10" s="1637">
        <v>0</v>
      </c>
    </row>
    <row s="1643" customFormat="1" customHeight="1" ht="0.75" hidden="1">
      <c r="A11" s="1376"/>
      <c r="B11" s="1376"/>
      <c r="C11" s="1376"/>
      <c r="D11" s="1376"/>
      <c r="E11" s="2291"/>
      <c r="F11" s="2291"/>
      <c r="G11" s="2291"/>
      <c r="H11" s="2290"/>
      <c r="I11" s="1376"/>
      <c r="J11" s="1376"/>
      <c r="K11" s="1376"/>
      <c r="L11" s="1382"/>
      <c r="M11" s="1379"/>
      <c r="N11" s="1379"/>
      <c r="O11" s="352"/>
      <c r="P11" s="381"/>
      <c r="Q11" s="1345"/>
      <c r="R11" s="1402"/>
      <c r="S11" s="1387"/>
      <c r="T11" s="1388"/>
      <c r="U11" s="1389"/>
      <c r="V11" s="1389"/>
      <c r="W11" s="1389"/>
      <c r="X11" s="1389"/>
      <c r="Y11" s="1389"/>
      <c r="Z11" s="1389"/>
      <c r="AA11" s="1389"/>
      <c r="AB11" s="1389"/>
      <c r="AC11" s="1389"/>
      <c r="AD11" s="1389"/>
      <c r="AE11" s="1389"/>
      <c r="AF11" s="1389"/>
      <c r="AG11" s="1389"/>
      <c r="AH11" s="1389"/>
      <c r="AI11" s="1389"/>
      <c r="AJ11" s="1389"/>
      <c r="AK11" s="1390"/>
      <c r="AM11" s="1625"/>
      <c r="AN11" s="1625" t="str">
        <f>IF(T11="","",T11)</f>
        <v/>
      </c>
      <c r="AO11" s="1625"/>
      <c r="AP11" s="1625"/>
      <c r="AQ11" s="1637">
        <v>0</v>
      </c>
    </row>
    <row s="1643" customFormat="1" customHeight="1" ht="0.75" hidden="1">
      <c r="A12" s="1376"/>
      <c r="B12" s="1376"/>
      <c r="C12" s="1376"/>
      <c r="D12" s="1375"/>
      <c r="E12" s="2291"/>
      <c r="F12" s="2291"/>
      <c r="G12" s="2290"/>
      <c r="H12" s="1375"/>
      <c r="I12" s="1375"/>
      <c r="J12" s="1375"/>
      <c r="K12" s="1375"/>
      <c r="L12" s="1378"/>
      <c r="M12" s="1379"/>
      <c r="N12" s="1379"/>
      <c r="O12" s="352"/>
      <c r="P12" s="1317"/>
      <c r="Q12" s="1318"/>
      <c r="R12" s="1317"/>
      <c r="S12" s="1323"/>
      <c r="T12" s="1326" t="s">
        <v>177</v>
      </c>
      <c r="U12" s="1325"/>
      <c r="V12" s="1325"/>
      <c r="W12" s="1325"/>
      <c r="X12" s="1325"/>
      <c r="Y12" s="1325"/>
      <c r="Z12" s="1325"/>
      <c r="AA12" s="1325"/>
      <c r="AB12" s="1325"/>
      <c r="AC12" s="1325"/>
      <c r="AD12" s="1325"/>
      <c r="AE12" s="1325"/>
      <c r="AF12" s="1325"/>
      <c r="AG12" s="1325"/>
      <c r="AH12" s="1325"/>
      <c r="AI12" s="1325"/>
      <c r="AJ12" s="1325"/>
      <c r="AK12" s="1325"/>
      <c r="AM12" s="1252"/>
      <c r="AN12" s="1252" t="str">
        <f>IF(T12="","",T12)</f>
        <v>Добавить источник для дифференциации</v>
      </c>
      <c r="AO12" s="1252"/>
      <c r="AP12" s="1252"/>
      <c r="AQ12" s="1643">
        <v>0</v>
      </c>
    </row>
    <row s="1643" customFormat="1" customHeight="1" ht="0.75" hidden="1">
      <c r="A13" s="1376"/>
      <c r="B13" s="1376"/>
      <c r="C13" s="1375"/>
      <c r="D13" s="1375"/>
      <c r="E13" s="2291"/>
      <c r="F13" s="2290"/>
      <c r="G13" s="1375"/>
      <c r="H13" s="1375"/>
      <c r="I13" s="1375"/>
      <c r="J13" s="1375"/>
      <c r="K13" s="1375"/>
      <c r="L13" s="1378"/>
      <c r="M13" s="1380"/>
      <c r="N13" s="1380"/>
      <c r="O13" s="352"/>
      <c r="P13" s="1317"/>
      <c r="Q13" s="1318"/>
      <c r="R13" s="1317"/>
      <c r="S13" s="1323"/>
      <c r="T13" s="1326" t="s">
        <v>178</v>
      </c>
      <c r="U13" s="1325"/>
      <c r="V13" s="1325"/>
      <c r="W13" s="1325"/>
      <c r="X13" s="1325"/>
      <c r="Y13" s="1325"/>
      <c r="Z13" s="1325"/>
      <c r="AA13" s="1325"/>
      <c r="AB13" s="1325"/>
      <c r="AC13" s="1325"/>
      <c r="AD13" s="1325"/>
      <c r="AE13" s="1325"/>
      <c r="AF13" s="1325"/>
      <c r="AG13" s="1325"/>
      <c r="AH13" s="1325"/>
      <c r="AI13" s="1325"/>
      <c r="AJ13" s="1325"/>
      <c r="AK13" s="1325"/>
      <c r="AM13" s="1252"/>
      <c r="AN13" s="1252" t="str">
        <f>IF(T13="","",T13)</f>
        <v>Добавить централизованную систему для дифференциации</v>
      </c>
      <c r="AO13" s="1252"/>
      <c r="AP13" s="1252"/>
      <c r="AQ13" s="1643">
        <v>0</v>
      </c>
    </row>
    <row s="1643" customFormat="1" customHeight="1" ht="0.75" hidden="1">
      <c r="A14" s="1376"/>
      <c r="B14" s="1376"/>
      <c r="C14" s="1376"/>
      <c r="D14" s="1376"/>
      <c r="E14" s="2290"/>
      <c r="F14" s="1376"/>
      <c r="G14" s="1376"/>
      <c r="H14" s="1376"/>
      <c r="I14" s="1376"/>
      <c r="J14" s="1376"/>
      <c r="K14" s="1376"/>
      <c r="L14" s="1382"/>
      <c r="M14" s="1380"/>
      <c r="N14" s="1380"/>
      <c r="O14" s="352"/>
      <c r="P14" s="381"/>
      <c r="Q14" s="1345"/>
      <c r="R14" s="381"/>
      <c r="S14" s="1323"/>
      <c r="T14" s="1326" t="s">
        <v>183</v>
      </c>
      <c r="U14" s="1325"/>
      <c r="V14" s="1325"/>
      <c r="W14" s="1325"/>
      <c r="X14" s="1325"/>
      <c r="Y14" s="1325"/>
      <c r="Z14" s="1325"/>
      <c r="AA14" s="1325"/>
      <c r="AB14" s="1325"/>
      <c r="AC14" s="1325"/>
      <c r="AD14" s="1325"/>
      <c r="AE14" s="1325"/>
      <c r="AF14" s="1325"/>
      <c r="AG14" s="1325"/>
      <c r="AH14" s="1325"/>
      <c r="AI14" s="1325"/>
      <c r="AJ14" s="1325"/>
      <c r="AK14" s="1325"/>
      <c r="AM14" s="1625"/>
      <c r="AN14" s="1625" t="str">
        <f>IF(T14="","",T14)</f>
        <v>Добавить территорию для дифференциации</v>
      </c>
      <c r="AO14" s="1625"/>
      <c r="AP14" s="1625"/>
      <c r="AQ14" s="1637">
        <v>0</v>
      </c>
    </row>
    <row customHeight="1" ht="14.25" hidden="1">
      <c r="AQ15" s="1632">
        <v>0</v>
      </c>
    </row>
    <row customHeight="1" ht="14.25" hidden="1">
      <c r="AC16" s="1503"/>
      <c r="AD16" s="1404"/>
      <c r="AE16" s="1405"/>
      <c r="AF16" s="1737"/>
      <c r="AG16" s="1967" t="s">
        <v>65</v>
      </c>
      <c r="AH16" s="1737"/>
      <c r="AI16" s="1967" t="s">
        <v>65</v>
      </c>
      <c r="AQ16" s="1632">
        <v>0</v>
      </c>
    </row>
    <row customHeight="1" ht="14.25" hidden="1">
      <c r="AL17" s="1642"/>
      <c r="AM17" s="1642"/>
      <c r="AN17" s="1642"/>
      <c r="AO17" s="1642"/>
      <c r="AP17" s="1642"/>
      <c r="AQ17" s="1632">
        <v>0</v>
      </c>
    </row>
    <row customHeight="1" ht="14.25" hidden="1">
      <c r="O18" s="1346" t="s">
        <v>544</v>
      </c>
      <c r="X18" s="1346"/>
      <c r="Z18" s="1346"/>
      <c r="AF18" s="1346"/>
      <c r="AH18" s="1346"/>
      <c r="AL18" s="1642"/>
      <c r="AM18" s="1642"/>
      <c r="AN18" s="1642"/>
      <c r="AO18" s="1642"/>
      <c r="AP18" s="1642"/>
      <c r="AQ18" s="1632">
        <v>0</v>
      </c>
    </row>
    <row customHeight="1" ht="14.25" hidden="1">
      <c r="AL19" s="1642"/>
      <c r="AM19" s="1642"/>
      <c r="AN19" s="1642"/>
      <c r="AO19" s="1642"/>
      <c r="AP19" s="1642"/>
      <c r="AQ19" s="1632">
        <v>0</v>
      </c>
    </row>
    <row s="1510" customFormat="1" customHeight="1" ht="14.25" hidden="1">
      <c r="A20" s="1972"/>
      <c r="B20" s="1972"/>
      <c r="C20" s="1972"/>
      <c r="D20" s="1972"/>
      <c r="E20" s="1972"/>
      <c r="F20" s="1972"/>
      <c r="G20" s="1972"/>
      <c r="H20" s="1972"/>
      <c r="I20" s="1972"/>
      <c r="J20" s="1972"/>
      <c r="K20" s="1972"/>
      <c r="L20" s="1972"/>
      <c r="M20" s="1973"/>
      <c r="N20" s="1973"/>
      <c r="O20" s="1974" t="s">
        <v>545</v>
      </c>
      <c r="P20" s="1509"/>
      <c r="Q20" s="1511"/>
      <c r="R20" s="1511"/>
      <c r="Y20" s="1508" t="s">
        <v>547</v>
      </c>
      <c r="AA20" s="1508" t="s">
        <v>548</v>
      </c>
      <c r="AC20" s="1508" t="s">
        <v>601</v>
      </c>
      <c r="AG20" s="1508" t="s">
        <v>547</v>
      </c>
      <c r="AI20" s="1508" t="s">
        <v>548</v>
      </c>
      <c r="AL20" s="1512"/>
      <c r="AM20" s="1512"/>
      <c r="AN20" s="1512"/>
      <c r="AO20" s="1512"/>
      <c r="AP20" s="1512"/>
      <c r="AQ20" s="1508">
        <v>0</v>
      </c>
    </row>
    <row customHeight="1" ht="14.25" hidden="1">
      <c r="O21" s="1311"/>
      <c r="AL21" s="1642"/>
      <c r="AM21" s="1642"/>
      <c r="AN21" s="1642"/>
      <c r="AO21" s="1642"/>
      <c r="AP21" s="1642"/>
      <c r="AQ21" s="1632">
        <v>0</v>
      </c>
    </row>
    <row customHeight="1" ht="14.25" hidden="1">
      <c r="O22" s="1311"/>
      <c r="AL22" s="1642"/>
      <c r="AM22" s="1642"/>
      <c r="AN22" s="1642"/>
      <c r="AO22" s="1642"/>
      <c r="AP22" s="1642"/>
      <c r="AQ22" s="1632">
        <v>0</v>
      </c>
    </row>
    <row customHeight="1" ht="14.699999999999998">
      <c r="Q23" s="292"/>
      <c r="R23" s="377"/>
      <c r="S23" s="1276"/>
      <c r="T23" s="458"/>
      <c r="U23" s="458"/>
      <c r="V23" s="1636"/>
      <c r="W23" s="1636"/>
      <c r="X23" s="1636"/>
      <c r="Y23" s="1636"/>
      <c r="Z23" s="1636"/>
      <c r="AA23" s="1636"/>
      <c r="AB23" s="1636"/>
      <c r="AC23" s="1636"/>
      <c r="AD23" s="1636"/>
      <c r="AE23" s="1636"/>
      <c r="AF23" s="1636"/>
      <c r="AG23" s="1636"/>
      <c r="AH23" s="1636"/>
      <c r="AI23" s="1636"/>
      <c r="AQ23" s="1632">
        <v>14</v>
      </c>
    </row>
    <row customHeight="1" ht="39.75">
      <c r="Q24" s="292"/>
      <c r="R24" s="377"/>
      <c r="S24" s="2249" t="str">
        <f>IF(TEMPLATE_GROUP="P",PT_P_FORM_HEAT_7_NAME_FORM,PT_R_FORM_HEAT_24_NAME_FORM)</f>
        <v>Форма 6. Информация об установленной плате за подключение (технологическое присоединение) к системе теплоснабжения, о плате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v>
      </c>
      <c r="T24" s="2249"/>
      <c r="U24" s="2249"/>
      <c r="V24" s="2249"/>
      <c r="W24" s="2249"/>
      <c r="X24" s="2249"/>
      <c r="Y24" s="2249"/>
      <c r="Z24" s="2249"/>
      <c r="AA24" s="2249"/>
      <c r="AB24" s="2249"/>
      <c r="AC24" s="2249"/>
      <c r="AD24" s="2249"/>
      <c r="AE24" s="2249"/>
      <c r="AF24" s="2249"/>
      <c r="AG24" s="2249"/>
      <c r="AH24" s="2249"/>
      <c r="AI24" s="1244"/>
      <c r="AQ24" s="1632">
        <v>38</v>
      </c>
    </row>
    <row customHeight="1" ht="14.699999999999998">
      <c r="Q25" s="292"/>
      <c r="R25" s="377"/>
      <c r="S25" s="2250" t="str">
        <f>IF(org=0,"Не определено",org)</f>
        <v>ПАО "ТГК-1" (филиал "Кольский")</v>
      </c>
      <c r="T25" s="2250"/>
      <c r="U25" s="2250"/>
      <c r="V25" s="2250"/>
      <c r="W25" s="2250"/>
      <c r="X25" s="2250"/>
      <c r="Y25" s="2250"/>
      <c r="Z25" s="2250"/>
      <c r="AA25" s="2250"/>
      <c r="AB25" s="2250"/>
      <c r="AC25" s="2250"/>
      <c r="AD25" s="2250"/>
      <c r="AE25" s="2250"/>
      <c r="AF25" s="2250"/>
      <c r="AG25" s="2250"/>
      <c r="AH25" s="2250"/>
      <c r="AI25" s="1244"/>
      <c r="AQ25" s="1632">
        <v>14</v>
      </c>
    </row>
    <row customHeight="1" ht="14.25" hidden="1">
      <c r="Q26" s="292"/>
      <c r="R26" s="377"/>
      <c r="S26" s="1276"/>
      <c r="T26" s="458"/>
      <c r="U26" s="458"/>
      <c r="V26" s="323"/>
      <c r="W26" s="323"/>
      <c r="X26" s="323"/>
      <c r="Y26" s="323"/>
      <c r="Z26" s="323"/>
      <c r="AA26" s="323"/>
      <c r="AB26" s="323"/>
      <c r="AC26" s="323"/>
      <c r="AD26" s="323"/>
      <c r="AE26" s="323"/>
      <c r="AF26" s="323"/>
      <c r="AG26" s="323"/>
      <c r="AH26" s="323"/>
      <c r="AI26" s="323"/>
      <c r="AJ26" s="1636"/>
      <c r="AQ26" s="1632">
        <v>0</v>
      </c>
    </row>
    <row s="1854" customFormat="1" customHeight="1" ht="25.5" hidden="1">
      <c r="A27" s="1249"/>
      <c r="B27" s="1249"/>
      <c r="C27" s="1249"/>
      <c r="D27" s="1249"/>
      <c r="E27" s="1249"/>
      <c r="F27" s="1249"/>
      <c r="G27" s="1249"/>
      <c r="H27" s="1249"/>
      <c r="I27" s="1249"/>
      <c r="J27" s="1249"/>
      <c r="K27" s="1249"/>
      <c r="L27" s="1381"/>
      <c r="M27" s="1249"/>
      <c r="N27" s="1249"/>
      <c r="O27" s="1249"/>
      <c r="P27" s="1369"/>
      <c r="Q27" s="1369"/>
      <c r="S27" s="2251" t="s">
        <v>42</v>
      </c>
      <c r="T27" s="2251"/>
      <c r="U27" s="1373"/>
      <c r="V27" s="2252" t="str">
        <f>IF(TITLE_NAME_OR_PR_CHANGE="",IF(TITLE_NAME_OR_PR="","",TITLE_NAME_OR_PR),TITLE_NAME_OR_PR_CHANGE)</f>
        <v>Комитет по тарифному регулированию Мурманской области</v>
      </c>
      <c r="W27" s="2252"/>
      <c r="X27" s="2252"/>
      <c r="Y27" s="2252"/>
      <c r="Z27" s="2252"/>
      <c r="AA27" s="1636"/>
      <c r="AB27" s="1636"/>
      <c r="AC27" s="2252"/>
      <c r="AD27" s="2252"/>
      <c r="AE27" s="2252"/>
      <c r="AF27" s="2252"/>
      <c r="AG27" s="2252"/>
      <c r="AH27" s="2252"/>
      <c r="AI27" s="1636"/>
      <c r="AJ27" s="1636"/>
      <c r="AK27" s="281"/>
      <c r="AL27" s="369"/>
      <c r="AM27" s="369"/>
      <c r="AN27" s="369"/>
      <c r="AO27" s="369"/>
      <c r="AP27" s="369"/>
      <c r="AQ27" s="419">
        <v>0</v>
      </c>
    </row>
    <row s="1854" customFormat="1" customHeight="1" ht="18.75" hidden="1">
      <c r="A28" s="1249"/>
      <c r="B28" s="1249"/>
      <c r="C28" s="1249"/>
      <c r="D28" s="1249"/>
      <c r="E28" s="1249"/>
      <c r="F28" s="1249"/>
      <c r="G28" s="1249"/>
      <c r="H28" s="1249"/>
      <c r="I28" s="1249"/>
      <c r="J28" s="1249"/>
      <c r="K28" s="1249"/>
      <c r="L28" s="1381"/>
      <c r="M28" s="1249"/>
      <c r="N28" s="1249"/>
      <c r="O28" s="1249"/>
      <c r="P28" s="1369"/>
      <c r="Q28" s="1369"/>
      <c r="S28" s="2251" t="s">
        <v>550</v>
      </c>
      <c r="T28" s="2251"/>
      <c r="U28" s="1373"/>
      <c r="V28" s="2265" t="str">
        <f>IF(TITLE_DATE_PR_CHANGE="",IF(TITLE_DATE_PR="","",TITLE_DATE_PR),TITLE_DATE_PR_CHANGE)</f>
        <v>46010</v>
      </c>
      <c r="W28" s="2265"/>
      <c r="X28" s="2265"/>
      <c r="Y28" s="2265"/>
      <c r="Z28" s="2265"/>
      <c r="AA28" s="1636"/>
      <c r="AB28" s="1636"/>
      <c r="AC28" s="2265"/>
      <c r="AD28" s="2265"/>
      <c r="AE28" s="2265"/>
      <c r="AF28" s="2265"/>
      <c r="AG28" s="2265"/>
      <c r="AH28" s="2265"/>
      <c r="AI28" s="1636"/>
      <c r="AJ28" s="1636"/>
      <c r="AK28" s="281"/>
      <c r="AL28" s="369"/>
      <c r="AM28" s="369"/>
      <c r="AN28" s="369"/>
      <c r="AO28" s="369"/>
      <c r="AP28" s="369"/>
      <c r="AQ28" s="419">
        <v>0</v>
      </c>
    </row>
    <row s="1854" customFormat="1" customHeight="1" ht="18.75" hidden="1">
      <c r="A29" s="1249"/>
      <c r="B29" s="1249"/>
      <c r="C29" s="1249"/>
      <c r="D29" s="1249"/>
      <c r="E29" s="1249"/>
      <c r="F29" s="1249"/>
      <c r="G29" s="1249"/>
      <c r="H29" s="1249"/>
      <c r="I29" s="1249"/>
      <c r="J29" s="1249"/>
      <c r="K29" s="1249"/>
      <c r="L29" s="1381"/>
      <c r="M29" s="1249"/>
      <c r="N29" s="1249"/>
      <c r="O29" s="1249"/>
      <c r="P29" s="1369"/>
      <c r="Q29" s="1369"/>
      <c r="S29" s="2251" t="s">
        <v>551</v>
      </c>
      <c r="T29" s="2251"/>
      <c r="U29" s="1373"/>
      <c r="V29" s="2252" t="str">
        <f>IF(TITLE_NUMBER_PR_CHANGE="",IF(TITLE_NUMBER_PR="","",TITLE_NUMBER_PR),TITLE_NUMBER_PR_CHANGE)</f>
        <v>53/77; 53/49</v>
      </c>
      <c r="W29" s="2252"/>
      <c r="X29" s="2252"/>
      <c r="Y29" s="2252"/>
      <c r="Z29" s="2252"/>
      <c r="AA29" s="1636"/>
      <c r="AB29" s="1636"/>
      <c r="AC29" s="2252"/>
      <c r="AD29" s="2252"/>
      <c r="AE29" s="2252"/>
      <c r="AF29" s="2252"/>
      <c r="AG29" s="2252"/>
      <c r="AH29" s="2252"/>
      <c r="AI29" s="1636"/>
      <c r="AJ29" s="1636"/>
      <c r="AK29" s="281"/>
      <c r="AL29" s="369"/>
      <c r="AM29" s="369"/>
      <c r="AN29" s="369"/>
      <c r="AO29" s="369"/>
      <c r="AP29" s="369"/>
      <c r="AQ29" s="419">
        <v>0</v>
      </c>
    </row>
    <row s="1854" customFormat="1" customHeight="1" ht="18.75" hidden="1">
      <c r="A30" s="1249"/>
      <c r="B30" s="1249"/>
      <c r="C30" s="1249"/>
      <c r="D30" s="1249"/>
      <c r="E30" s="1249"/>
      <c r="F30" s="1249"/>
      <c r="G30" s="1249"/>
      <c r="H30" s="1249"/>
      <c r="I30" s="1249"/>
      <c r="J30" s="1249"/>
      <c r="K30" s="1249"/>
      <c r="L30" s="1381"/>
      <c r="M30" s="1249"/>
      <c r="N30" s="1249"/>
      <c r="O30" s="1249"/>
      <c r="P30" s="1369"/>
      <c r="Q30" s="1369"/>
      <c r="S30" s="2251" t="s">
        <v>44</v>
      </c>
      <c r="T30" s="2251"/>
      <c r="U30" s="1373"/>
      <c r="V30" s="2252" t="str">
        <f>IF(TITLE_IST_PUB_CHANGE="",IF(TITLE_IST_PUB="","",TITLE_IST_PUB),TITLE_IST_PUB_CHANGE)</f>
        <v>Официальный электронный бюллетень Правительства Мурманской области</v>
      </c>
      <c r="W30" s="2252"/>
      <c r="X30" s="2252"/>
      <c r="Y30" s="2252"/>
      <c r="Z30" s="2252"/>
      <c r="AA30" s="1636"/>
      <c r="AB30" s="1636"/>
      <c r="AC30" s="2252"/>
      <c r="AD30" s="2252"/>
      <c r="AE30" s="2252"/>
      <c r="AF30" s="2252"/>
      <c r="AG30" s="2252"/>
      <c r="AH30" s="2252"/>
      <c r="AI30" s="1636"/>
      <c r="AJ30" s="1636"/>
      <c r="AK30" s="281"/>
      <c r="AL30" s="369"/>
      <c r="AM30" s="369"/>
      <c r="AN30" s="369"/>
      <c r="AO30" s="369"/>
      <c r="AP30" s="369"/>
      <c r="AQ30" s="419">
        <v>0</v>
      </c>
    </row>
    <row customHeight="1" ht="14.25" hidden="1">
      <c r="Q31" s="292"/>
      <c r="R31" s="377"/>
      <c r="S31" s="1276"/>
      <c r="T31" s="458"/>
      <c r="U31" s="458"/>
      <c r="V31" s="323"/>
      <c r="W31" s="323"/>
      <c r="X31" s="323"/>
      <c r="Y31" s="323"/>
      <c r="Z31" s="323"/>
      <c r="AA31" s="323"/>
      <c r="AB31" s="323"/>
      <c r="AC31" s="323"/>
      <c r="AD31" s="323"/>
      <c r="AE31" s="323"/>
      <c r="AF31" s="323"/>
      <c r="AG31" s="323"/>
      <c r="AH31" s="323"/>
      <c r="AI31" s="323"/>
      <c r="AJ31" s="1636"/>
      <c r="AQ31" s="1632">
        <v>0</v>
      </c>
    </row>
    <row s="1854" customFormat="1" customHeight="1" ht="18.75" hidden="1">
      <c r="A32" s="1249"/>
      <c r="B32" s="1249"/>
      <c r="C32" s="1249"/>
      <c r="D32" s="1249"/>
      <c r="E32" s="1249"/>
      <c r="F32" s="1249"/>
      <c r="G32" s="1249"/>
      <c r="H32" s="1249"/>
      <c r="I32" s="1249"/>
      <c r="J32" s="1249"/>
      <c r="K32" s="1249"/>
      <c r="L32" s="1381"/>
      <c r="M32" s="1249"/>
      <c r="N32" s="1249"/>
      <c r="O32" s="1249"/>
      <c r="P32" s="1369"/>
      <c r="Q32" s="1369"/>
      <c r="S32" s="2251" t="s">
        <v>550</v>
      </c>
      <c r="T32" s="2251"/>
      <c r="U32" s="1373"/>
      <c r="V32" s="2265" t="str">
        <f>IF(TITLE_DATE_PR_CHANGE="",IF(TITLE_DATE_PR="","",TITLE_DATE_PR),TITLE_DATE_PR_CHANGE)</f>
        <v>46010</v>
      </c>
      <c r="W32" s="2265"/>
      <c r="X32" s="2265"/>
      <c r="Y32" s="2265"/>
      <c r="Z32" s="2265"/>
      <c r="AA32" s="1636"/>
      <c r="AB32" s="1636"/>
      <c r="AC32" s="2265"/>
      <c r="AD32" s="2265"/>
      <c r="AE32" s="2265"/>
      <c r="AF32" s="2265"/>
      <c r="AG32" s="2265"/>
      <c r="AH32" s="2265"/>
      <c r="AI32" s="1636"/>
      <c r="AJ32" s="1636"/>
      <c r="AK32" s="281"/>
      <c r="AL32" s="369"/>
      <c r="AM32" s="369"/>
      <c r="AN32" s="369"/>
      <c r="AO32" s="369"/>
      <c r="AP32" s="369"/>
      <c r="AQ32" s="419">
        <v>0</v>
      </c>
    </row>
    <row s="1854" customFormat="1" customHeight="1" ht="18" hidden="1">
      <c r="A33" s="1249"/>
      <c r="B33" s="1249"/>
      <c r="C33" s="1249"/>
      <c r="D33" s="1249"/>
      <c r="E33" s="1249"/>
      <c r="F33" s="1249"/>
      <c r="G33" s="1249"/>
      <c r="H33" s="1249"/>
      <c r="I33" s="1249"/>
      <c r="J33" s="1249"/>
      <c r="K33" s="1249"/>
      <c r="L33" s="1381"/>
      <c r="M33" s="1249"/>
      <c r="N33" s="1249"/>
      <c r="O33" s="1249"/>
      <c r="P33" s="1369"/>
      <c r="Q33" s="1369"/>
      <c r="S33" s="2251" t="s">
        <v>551</v>
      </c>
      <c r="T33" s="2251"/>
      <c r="U33" s="1373"/>
      <c r="V33" s="2252" t="str">
        <f>IF(TITLE_NUMBER_PR_CHANGE="",IF(TITLE_NUMBER_PR="","",TITLE_NUMBER_PR),TITLE_NUMBER_PR_CHANGE)</f>
        <v>53/77; 53/49</v>
      </c>
      <c r="W33" s="2252"/>
      <c r="X33" s="2252"/>
      <c r="Y33" s="2252"/>
      <c r="Z33" s="2252"/>
      <c r="AA33" s="1636"/>
      <c r="AB33" s="1636"/>
      <c r="AC33" s="2252"/>
      <c r="AD33" s="2252"/>
      <c r="AE33" s="2252"/>
      <c r="AF33" s="2252"/>
      <c r="AG33" s="2252"/>
      <c r="AH33" s="2252"/>
      <c r="AI33" s="1636"/>
      <c r="AJ33" s="1636"/>
      <c r="AK33" s="281"/>
      <c r="AL33" s="369"/>
      <c r="AM33" s="369"/>
      <c r="AN33" s="369"/>
      <c r="AO33" s="369"/>
      <c r="AP33" s="369"/>
      <c r="AQ33" s="419">
        <v>0</v>
      </c>
    </row>
    <row s="1854" customFormat="1" customHeight="1" ht="1.05">
      <c r="A34" s="1249"/>
      <c r="B34" s="1249"/>
      <c r="C34" s="1249"/>
      <c r="D34" s="1249"/>
      <c r="E34" s="1249"/>
      <c r="F34" s="1249"/>
      <c r="G34" s="1249"/>
      <c r="H34" s="1249"/>
      <c r="I34" s="1249"/>
      <c r="J34" s="1249"/>
      <c r="K34" s="1249"/>
      <c r="L34" s="1381"/>
      <c r="M34" s="1249"/>
      <c r="N34" s="1249"/>
      <c r="O34" s="1249"/>
      <c r="P34" s="1369"/>
      <c r="Q34" s="1369"/>
      <c r="S34" s="1636"/>
      <c r="T34" s="1636"/>
      <c r="U34" s="1971"/>
      <c r="V34" s="1636"/>
      <c r="W34" s="1636"/>
      <c r="X34" s="1636"/>
      <c r="Y34" s="1636"/>
      <c r="Z34" s="1636"/>
      <c r="AA34" s="1643" t="s">
        <v>554</v>
      </c>
      <c r="AB34" s="1643"/>
      <c r="AC34" s="1636"/>
      <c r="AD34" s="1636"/>
      <c r="AE34" s="1636"/>
      <c r="AF34" s="1636"/>
      <c r="AG34" s="1636"/>
      <c r="AH34" s="1636"/>
      <c r="AI34" s="1643" t="s">
        <v>554</v>
      </c>
      <c r="AL34" s="369"/>
      <c r="AM34" s="369"/>
      <c r="AN34" s="369"/>
      <c r="AO34" s="369"/>
      <c r="AP34" s="369"/>
      <c r="AQ34" s="419">
        <v>1</v>
      </c>
    </row>
    <row customHeight="1" ht="14.699999999999998">
      <c r="Q35" s="292"/>
      <c r="R35" s="377"/>
      <c r="S35" s="1276"/>
      <c r="T35" s="458"/>
      <c r="U35" s="1245"/>
      <c r="V35" s="2253"/>
      <c r="W35" s="2253"/>
      <c r="X35" s="2253"/>
      <c r="Y35" s="2253"/>
      <c r="Z35" s="2253"/>
      <c r="AA35" s="2253"/>
      <c r="AB35" s="1958"/>
      <c r="AC35" s="2253"/>
      <c r="AD35" s="2253"/>
      <c r="AE35" s="2253"/>
      <c r="AF35" s="2253"/>
      <c r="AG35" s="2253"/>
      <c r="AH35" s="2253"/>
      <c r="AI35" s="2253"/>
      <c r="AQ35" s="1632">
        <v>14</v>
      </c>
    </row>
    <row customHeight="1" ht="14.699999999999998">
      <c r="Q36" s="292"/>
      <c r="R36" s="377"/>
      <c r="S36" s="2128" t="s">
        <v>430</v>
      </c>
      <c r="T36" s="2128"/>
      <c r="U36" s="2128"/>
      <c r="V36" s="2128"/>
      <c r="W36" s="2128"/>
      <c r="X36" s="2128"/>
      <c r="Y36" s="2128"/>
      <c r="Z36" s="2128"/>
      <c r="AA36" s="2176"/>
      <c r="AB36" s="2176"/>
      <c r="AC36" s="2176"/>
      <c r="AD36" s="2128"/>
      <c r="AE36" s="2128"/>
      <c r="AF36" s="2128"/>
      <c r="AG36" s="2128"/>
      <c r="AH36" s="2128"/>
      <c r="AI36" s="2128"/>
      <c r="AJ36" s="2128"/>
      <c r="AK36" s="2128" t="s">
        <v>431</v>
      </c>
      <c r="AQ36" s="1632">
        <v>14</v>
      </c>
    </row>
    <row customHeight="1" ht="14.699999999999998">
      <c r="Q37" s="292"/>
      <c r="R37" s="377"/>
      <c r="S37" s="2274" t="s">
        <v>92</v>
      </c>
      <c r="T37" s="2210" t="s">
        <v>630</v>
      </c>
      <c r="U37" s="338"/>
      <c r="V37" s="2276"/>
      <c r="W37" s="2276"/>
      <c r="X37" s="2276"/>
      <c r="Y37" s="2276"/>
      <c r="Z37" s="2276"/>
      <c r="AA37" s="2210" t="s">
        <v>557</v>
      </c>
      <c r="AB37" s="2209" t="s">
        <v>631</v>
      </c>
      <c r="AC37" s="2209" t="s">
        <v>605</v>
      </c>
      <c r="AD37" s="2292" t="s">
        <v>556</v>
      </c>
      <c r="AE37" s="2292"/>
      <c r="AF37" s="2276"/>
      <c r="AG37" s="2276"/>
      <c r="AH37" s="2277"/>
      <c r="AI37" s="2278" t="s">
        <v>557</v>
      </c>
      <c r="AJ37" s="2281" t="s">
        <v>559</v>
      </c>
      <c r="AK37" s="2128"/>
      <c r="AQ37" s="1632">
        <v>14</v>
      </c>
    </row>
    <row customHeight="1" ht="35.699999999999996">
      <c r="Q38" s="292"/>
      <c r="R38" s="377"/>
      <c r="S38" s="2274"/>
      <c r="T38" s="2210"/>
      <c r="U38" s="1032"/>
      <c r="V38" s="2104" t="s">
        <v>608</v>
      </c>
      <c r="W38" s="2128"/>
      <c r="X38" s="2295" t="s">
        <v>563</v>
      </c>
      <c r="Y38" s="2314"/>
      <c r="Z38" s="2314"/>
      <c r="AA38" s="2210"/>
      <c r="AB38" s="2209"/>
      <c r="AC38" s="2209"/>
      <c r="AD38" s="2104" t="s">
        <v>608</v>
      </c>
      <c r="AE38" s="2128"/>
      <c r="AF38" s="2314" t="s">
        <v>563</v>
      </c>
      <c r="AG38" s="2314"/>
      <c r="AH38" s="2315"/>
      <c r="AI38" s="2279"/>
      <c r="AJ38" s="2282"/>
      <c r="AK38" s="2128"/>
      <c r="AQ38" s="1632">
        <v>34</v>
      </c>
    </row>
    <row customHeight="1" ht="14.699999999999998">
      <c r="Q39" s="292"/>
      <c r="R39" s="377"/>
      <c r="S39" s="2274"/>
      <c r="T39" s="2210"/>
      <c r="U39" s="1032"/>
      <c r="V39" s="2341" t="str">
        <f>IF($AD$39&lt;&gt;"",$AD$39,"")</f>
        <v/>
      </c>
      <c r="W39" s="2341"/>
      <c r="X39" s="2296"/>
      <c r="Y39" s="2316"/>
      <c r="Z39" s="2316"/>
      <c r="AA39" s="2210"/>
      <c r="AB39" s="2209"/>
      <c r="AC39" s="2209"/>
      <c r="AD39" s="2357"/>
      <c r="AE39" s="2340"/>
      <c r="AF39" s="2316"/>
      <c r="AG39" s="2316"/>
      <c r="AH39" s="2317"/>
      <c r="AI39" s="2279"/>
      <c r="AJ39" s="2282"/>
      <c r="AK39" s="2128"/>
      <c r="AQ39" s="1632">
        <v>14</v>
      </c>
    </row>
    <row customHeight="1" ht="14.699999999999998">
      <c r="A40" s="1267"/>
      <c r="B40" s="1267" t="s">
        <v>148</v>
      </c>
      <c r="C40" s="1267" t="s">
        <v>149</v>
      </c>
      <c r="D40" s="1267" t="s">
        <v>150</v>
      </c>
      <c r="E40" s="1311" t="s">
        <v>564</v>
      </c>
      <c r="F40" s="1311" t="s">
        <v>565</v>
      </c>
      <c r="G40" s="1311" t="s">
        <v>566</v>
      </c>
      <c r="H40" s="1311" t="s">
        <v>567</v>
      </c>
      <c r="I40" s="1311" t="s">
        <v>568</v>
      </c>
      <c r="J40" s="1311" t="s">
        <v>569</v>
      </c>
      <c r="K40" s="1311" t="s">
        <v>570</v>
      </c>
      <c r="L40" s="1311" t="s">
        <v>545</v>
      </c>
      <c r="Q40" s="292"/>
      <c r="R40" s="377"/>
      <c r="S40" s="2274"/>
      <c r="T40" s="2210"/>
      <c r="U40" s="303"/>
      <c r="V40" s="1951" t="s">
        <v>609</v>
      </c>
      <c r="W40" s="1951" t="s">
        <v>610</v>
      </c>
      <c r="X40" s="1939" t="s">
        <v>573</v>
      </c>
      <c r="Y40" s="2271" t="s">
        <v>574</v>
      </c>
      <c r="Z40" s="2321"/>
      <c r="AA40" s="2210"/>
      <c r="AB40" s="2209"/>
      <c r="AC40" s="2209"/>
      <c r="AD40" s="1969" t="s">
        <v>609</v>
      </c>
      <c r="AE40" s="1960" t="s">
        <v>610</v>
      </c>
      <c r="AF40" s="1939" t="s">
        <v>573</v>
      </c>
      <c r="AG40" s="2271" t="s">
        <v>574</v>
      </c>
      <c r="AH40" s="2272"/>
      <c r="AI40" s="2280"/>
      <c r="AJ40" s="2283"/>
      <c r="AK40" s="2128"/>
      <c r="AQ40" s="1632">
        <v>14</v>
      </c>
    </row>
    <row s="1642" customFormat="1" customHeight="1" ht="11.25" hidden="1">
      <c r="A41" s="1267"/>
      <c r="B41" s="1267"/>
      <c r="C41" s="1267"/>
      <c r="D41" s="1267"/>
      <c r="E41" s="1267"/>
      <c r="F41" s="1267"/>
      <c r="G41" s="1267"/>
      <c r="H41" s="1267"/>
      <c r="I41" s="1267"/>
      <c r="J41" s="1267"/>
      <c r="K41" s="1267"/>
      <c r="L41" s="1311"/>
      <c r="M41" s="1966"/>
      <c r="N41" s="1966"/>
      <c r="O41" s="1966"/>
      <c r="P41" s="511"/>
      <c r="Q41" s="1255"/>
      <c r="R41" s="1255">
        <v>1</v>
      </c>
      <c r="S41" s="1278" t="s">
        <v>123</v>
      </c>
      <c r="T41" s="1256" t="s">
        <v>107</v>
      </c>
      <c r="U41" s="1246" t="str">
        <f>OFFSET(U41,0,-1)</f>
        <v>2</v>
      </c>
      <c r="V41" s="1957">
        <f>OFFSET(V41,0,-1)+1</f>
        <v>3</v>
      </c>
      <c r="W41" s="1957">
        <f>OFFSET(W41,0,-1)+1</f>
        <v>4</v>
      </c>
      <c r="X41" s="1957">
        <f>OFFSET(X41,0,-1)+1</f>
        <v>5</v>
      </c>
      <c r="Y41" s="2273">
        <f>OFFSET(Y41,0,-1)+1</f>
        <v>6</v>
      </c>
      <c r="Z41" s="2273"/>
      <c r="AA41" s="1342">
        <f>OFFSET(AA41,0,-2)+1</f>
        <v>7</v>
      </c>
      <c r="AB41" s="1342"/>
      <c r="AC41" s="1342"/>
      <c r="AD41" s="1957">
        <f>OFFSET(AD41,0,-1)+1</f>
        <v>1</v>
      </c>
      <c r="AE41" s="1957">
        <f>OFFSET(AE41,0,-1)+1</f>
        <v>2</v>
      </c>
      <c r="AF41" s="1957">
        <f>OFFSET(AF41,0,-1)+1</f>
        <v>3</v>
      </c>
      <c r="AG41" s="2273">
        <f>OFFSET(AG41,0,-1)+1</f>
        <v>4</v>
      </c>
      <c r="AH41" s="2273"/>
      <c r="AI41" s="1957">
        <f>OFFSET(AI41,0,-2)+1</f>
        <v>5</v>
      </c>
      <c r="AJ41" s="1246">
        <f>OFFSET(AJ41,0,-1)</f>
        <v>5</v>
      </c>
      <c r="AK41" s="1957">
        <f>OFFSET(AK41,0,-1)+1</f>
        <v>6</v>
      </c>
      <c r="AL41" s="1637"/>
      <c r="AM41" s="1637"/>
      <c r="AN41" s="1637"/>
      <c r="AO41" s="1637"/>
      <c r="AP41" s="1637"/>
      <c r="AQ41" s="1642">
        <v>0</v>
      </c>
    </row>
    <row customHeight="1" ht="107.25">
      <c r="A42" s="1268" t="s">
        <v>336</v>
      </c>
      <c r="B42" s="1268"/>
      <c r="C42" s="1268"/>
      <c r="D42" s="1268"/>
      <c r="E42" s="2290">
        <v>1</v>
      </c>
      <c r="F42" s="1268"/>
      <c r="G42" s="1268"/>
      <c r="H42" s="1268"/>
      <c r="I42" s="1268"/>
      <c r="J42" s="1268"/>
      <c r="K42" s="1268"/>
      <c r="L42" s="1311"/>
      <c r="M42" s="1611"/>
      <c r="N42" s="1611"/>
      <c r="O42" s="1611"/>
      <c r="P42" s="1410"/>
      <c r="Q42" s="874"/>
      <c r="R42" s="356"/>
      <c r="S42" s="1959">
        <f>INDEX(PT_DIFFERENTIATION_NUM_NTAR,MATCH(A42,PT_DIFFERENTIATION_NTAR_ID,0))</f>
        <v>0</v>
      </c>
      <c r="T42" s="1526" t="s">
        <v>136</v>
      </c>
      <c r="U42" s="301"/>
      <c r="V42" s="2244"/>
      <c r="W42" s="2244"/>
      <c r="X42" s="2244"/>
      <c r="Y42" s="2244"/>
      <c r="Z42" s="2244"/>
      <c r="AA42" s="2245"/>
      <c r="AB42" s="1953"/>
      <c r="AC42" s="2244" t="str">
        <f>INDEX(PT_DIFFERENTIATION_NTAR,MATCH(A42,PT_DIFFERENTIATION_NTAR_ID,0))</f>
        <v/>
      </c>
      <c r="AD42" s="2244"/>
      <c r="AE42" s="2244"/>
      <c r="AF42" s="2244"/>
      <c r="AG42" s="2244"/>
      <c r="AH42" s="2244"/>
      <c r="AI42" s="2244"/>
      <c r="AJ42" s="2245"/>
      <c r="AK42" s="1259" t="str">
        <f>IF(TEMPLATE_GROUP="P","По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г."&amp;" N 190-ФЗ ""О теплоснабжении"", теплоснабжающей организации, теплосетевой организации в ценовых зонах теплоснабжения. "&amp;"Указывается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
"&amp;"Указываются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"&amp;"цены (тарифа), источник официального опубликования решения об установлении цены (тарифа) в сфере теплоснабжения.","По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статьи"&amp;" 23 4 Федерального закона от 27 июля 2010 г. N 190-ФЗ ""О теплоснабжении"".
"&amp;"По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190-ФЗ"&amp;" Федерального закона ""О теплоснабжении"", теплоснабжающей организации, теплосетевой организации в ценовых зонах теплоснабжения.
"&amp;"В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индивидуальном"&amp;" порядке - в тыс.руб.; в отношении льготного размера платы за подключение - в руб.
"&amp;"Указывается наименование тарифа в случае расчета нескольких тарифов. 
"&amp;"В случае наличия нескольких тарифов информация по ним указывается в отдельных строках.")</f>
        <v>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 N 190-ФЗ "О теплоснабжении", теплоснабжающей организации, теплосетевой организации в ценовых зонах теплоснабжения. 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 (тарифа), источник официального опубликования решения об установлении цены (тарифа) в сфере теплоснабжения.</v>
      </c>
      <c r="AM42" s="1625"/>
      <c r="AN42" s="1625" t="str">
        <f>IF(T42="","",T42)</f>
        <v>Наименование тарифа</v>
      </c>
      <c r="AO42" s="1625"/>
      <c r="AP42" s="1625"/>
      <c r="AQ42" s="1632">
        <v>102</v>
      </c>
    </row>
    <row customHeight="1" ht="22.049999999999997">
      <c r="A43" s="1268" t="s">
        <v>336</v>
      </c>
      <c r="B43" s="1268" t="s">
        <v>337</v>
      </c>
      <c r="C43" s="1268"/>
      <c r="D43" s="1268"/>
      <c r="E43" s="2291"/>
      <c r="F43" s="2290">
        <v>1</v>
      </c>
      <c r="G43" s="1268"/>
      <c r="H43" s="1268"/>
      <c r="I43" s="1268"/>
      <c r="J43" s="1268"/>
      <c r="K43" s="1268"/>
      <c r="L43" s="1311"/>
      <c r="M43" s="1611"/>
      <c r="N43" s="1611"/>
      <c r="O43" s="1611"/>
      <c r="P43" s="1970"/>
      <c r="Q43" s="1412"/>
      <c r="R43" s="354"/>
      <c r="S43" s="1959" t="str">
        <f>INDEX(PT_DIFFERENTIATION_NUM_TER,MATCH(B43,PT_DIFFERENTIATION_TER_ID,0))</f>
        <v>.</v>
      </c>
      <c r="T43" s="1523" t="s">
        <v>527</v>
      </c>
      <c r="U43" s="301"/>
      <c r="V43" s="2244"/>
      <c r="W43" s="2244"/>
      <c r="X43" s="2244"/>
      <c r="Y43" s="2244"/>
      <c r="Z43" s="2244"/>
      <c r="AA43" s="2245"/>
      <c r="AB43" s="1953"/>
      <c r="AC43" s="2244" t="str">
        <f>INDEX(PT_DIFFERENTIATION_TER,MATCH(B43,PT_DIFFERENTIATION_TER_ID,0))</f>
        <v/>
      </c>
      <c r="AD43" s="2244"/>
      <c r="AE43" s="2244"/>
      <c r="AF43" s="2244"/>
      <c r="AG43" s="2244"/>
      <c r="AH43" s="2244"/>
      <c r="AI43" s="2244"/>
      <c r="AJ43" s="2245"/>
      <c r="AK43" s="1259" t="s">
        <v>528</v>
      </c>
      <c r="AM43" s="1625"/>
      <c r="AN43" s="1625" t="str">
        <f>IF(T43="","",T43)</f>
        <v>Территория действия тарифа</v>
      </c>
      <c r="AO43" s="1625"/>
      <c r="AP43" s="1625"/>
      <c r="AQ43" s="1632">
        <v>21</v>
      </c>
    </row>
    <row customHeight="1" ht="24">
      <c r="A44" s="1268" t="s">
        <v>336</v>
      </c>
      <c r="B44" s="1268" t="s">
        <v>337</v>
      </c>
      <c r="C44" s="1268" t="s">
        <v>338</v>
      </c>
      <c r="D44" s="1268"/>
      <c r="E44" s="2291"/>
      <c r="F44" s="2291"/>
      <c r="G44" s="2290">
        <v>1</v>
      </c>
      <c r="H44" s="1268"/>
      <c r="I44" s="1268"/>
      <c r="J44" s="1268"/>
      <c r="K44" s="1268"/>
      <c r="L44" s="1311"/>
      <c r="M44" s="1611"/>
      <c r="N44" s="1611"/>
      <c r="O44" s="1611"/>
      <c r="P44" s="1413"/>
      <c r="Q44" s="1412"/>
      <c r="R44" s="354"/>
      <c r="S44" s="1959" t="str">
        <f>INDEX(PT_DIFFERENTIATION_NUM_CS,MATCH(C44,PT_DIFFERENTIATION_CS_ID,0))</f>
        <v>..</v>
      </c>
      <c r="T44" s="310" t="s">
        <v>529</v>
      </c>
      <c r="U44" s="301"/>
      <c r="V44" s="2244"/>
      <c r="W44" s="2244"/>
      <c r="X44" s="2244"/>
      <c r="Y44" s="2244"/>
      <c r="Z44" s="2244"/>
      <c r="AA44" s="2245"/>
      <c r="AB44" s="1953"/>
      <c r="AC44" s="2244" t="str">
        <f>INDEX(PT_DIFFERENTIATION_CS,MATCH(C44,PT_DIFFERENTIATION_CS_ID,0))</f>
        <v/>
      </c>
      <c r="AD44" s="2244"/>
      <c r="AE44" s="2244"/>
      <c r="AF44" s="2244"/>
      <c r="AG44" s="2244"/>
      <c r="AH44" s="2244"/>
      <c r="AI44" s="2244"/>
      <c r="AJ44" s="2245"/>
      <c r="AK44" s="1259" t="s">
        <v>530</v>
      </c>
      <c r="AM44" s="1625"/>
      <c r="AN44" s="1625" t="str">
        <f>IF(T44="","",T44)</f>
        <v>Наименование системы теплоснабжения </v>
      </c>
      <c r="AO44" s="1625"/>
      <c r="AP44" s="1625"/>
      <c r="AQ44" s="1632">
        <v>23</v>
      </c>
    </row>
    <row customHeight="1" ht="22.049999999999997">
      <c r="A45" s="1268" t="s">
        <v>336</v>
      </c>
      <c r="B45" s="1268" t="s">
        <v>337</v>
      </c>
      <c r="C45" s="1268" t="s">
        <v>338</v>
      </c>
      <c r="D45" s="1268" t="s">
        <v>339</v>
      </c>
      <c r="E45" s="2291"/>
      <c r="F45" s="2291"/>
      <c r="G45" s="2291"/>
      <c r="H45" s="2290">
        <v>1</v>
      </c>
      <c r="I45" s="1268"/>
      <c r="J45" s="1268"/>
      <c r="K45" s="1268"/>
      <c r="L45" s="1311"/>
      <c r="M45" s="1611"/>
      <c r="N45" s="1611"/>
      <c r="O45" s="1611"/>
      <c r="P45" s="1413"/>
      <c r="Q45" s="1412"/>
      <c r="R45" s="354"/>
      <c r="S45" s="1959" t="str">
        <f>INDEX(PT_DIFFERENTIATION_NUM_IST_TE,MATCH(D45,PT_DIFFERENTIATION_IST_TE_ID,0))</f>
        <v>...</v>
      </c>
      <c r="T45" s="311" t="s">
        <v>531</v>
      </c>
      <c r="U45" s="301"/>
      <c r="V45" s="2244"/>
      <c r="W45" s="2244"/>
      <c r="X45" s="2244"/>
      <c r="Y45" s="2244"/>
      <c r="Z45" s="2244"/>
      <c r="AA45" s="2245"/>
      <c r="AB45" s="1953"/>
      <c r="AC45" s="2244" t="str">
        <f>INDEX(PT_DIFFERENTIATION_IST_TE,MATCH(D45,PT_DIFFERENTIATION_IST_TE_ID,0))</f>
        <v/>
      </c>
      <c r="AD45" s="2244"/>
      <c r="AE45" s="2244"/>
      <c r="AF45" s="2244"/>
      <c r="AG45" s="2244"/>
      <c r="AH45" s="2244"/>
      <c r="AI45" s="2244"/>
      <c r="AJ45" s="2245"/>
      <c r="AK45" s="1259" t="s">
        <v>532</v>
      </c>
      <c r="AM45" s="1625"/>
      <c r="AN45" s="1625" t="str">
        <f>IF(T45="","",T45)</f>
        <v>Источник тепловой энергии  </v>
      </c>
      <c r="AO45" s="1625"/>
      <c r="AP45" s="1625"/>
      <c r="AQ45" s="1632">
        <v>21</v>
      </c>
    </row>
    <row s="1643" customFormat="1" customHeight="1" ht="0">
      <c r="A46" s="1376" t="s">
        <v>336</v>
      </c>
      <c r="B46" s="1376" t="s">
        <v>337</v>
      </c>
      <c r="C46" s="1376" t="s">
        <v>338</v>
      </c>
      <c r="D46" s="1376" t="s">
        <v>339</v>
      </c>
      <c r="E46" s="2291"/>
      <c r="F46" s="2291"/>
      <c r="G46" s="2291"/>
      <c r="H46" s="2291"/>
      <c r="I46" s="2128" t="str">
        <f>S45&amp;".1"</f>
        <v>....1</v>
      </c>
      <c r="J46" s="1376"/>
      <c r="K46" s="1376"/>
      <c r="L46" s="1382" t="s">
        <v>533</v>
      </c>
      <c r="M46" s="1247"/>
      <c r="N46" s="1247"/>
      <c r="O46" s="1247"/>
      <c r="P46" s="2258">
        <v>1</v>
      </c>
      <c r="Q46" s="1955"/>
      <c r="R46" s="357"/>
      <c r="S46" s="1043"/>
      <c r="T46" s="1384"/>
      <c r="U46" s="1385"/>
      <c r="V46" s="2298"/>
      <c r="W46" s="2298"/>
      <c r="X46" s="2298"/>
      <c r="Y46" s="2298"/>
      <c r="Z46" s="2298"/>
      <c r="AA46" s="2299"/>
      <c r="AB46" s="1961"/>
      <c r="AC46" s="2298"/>
      <c r="AD46" s="2298"/>
      <c r="AE46" s="2298"/>
      <c r="AF46" s="2298"/>
      <c r="AG46" s="2298"/>
      <c r="AH46" s="2298"/>
      <c r="AI46" s="2298"/>
      <c r="AJ46" s="2299"/>
      <c r="AK46" s="1386"/>
      <c r="AM46" s="1625"/>
      <c r="AN46" s="1625" t="str">
        <f>IF(T46="","",T46)</f>
        <v/>
      </c>
      <c r="AO46" s="1625"/>
      <c r="AP46" s="1625"/>
      <c r="AQ46" s="1637">
        <v>0</v>
      </c>
    </row>
    <row s="1643" customFormat="1" customHeight="1" ht="0">
      <c r="A47" s="1376" t="s">
        <v>336</v>
      </c>
      <c r="B47" s="1376" t="s">
        <v>337</v>
      </c>
      <c r="C47" s="1376" t="s">
        <v>338</v>
      </c>
      <c r="D47" s="1376" t="s">
        <v>339</v>
      </c>
      <c r="E47" s="2291"/>
      <c r="F47" s="2291"/>
      <c r="G47" s="2291"/>
      <c r="H47" s="2291"/>
      <c r="I47" s="2102"/>
      <c r="J47" s="2128" t="str">
        <f>S45&amp;".1"</f>
        <v>....1</v>
      </c>
      <c r="K47" s="1376"/>
      <c r="L47" s="1382"/>
      <c r="M47" s="1247"/>
      <c r="N47" s="1247"/>
      <c r="O47" s="1247"/>
      <c r="P47" s="2258"/>
      <c r="Q47" s="2258">
        <v>1</v>
      </c>
      <c r="R47" s="358"/>
      <c r="S47" s="1043"/>
      <c r="T47" s="1400"/>
      <c r="U47" s="1385"/>
      <c r="V47" s="2298"/>
      <c r="W47" s="2298"/>
      <c r="X47" s="2298"/>
      <c r="Y47" s="2298"/>
      <c r="Z47" s="2298"/>
      <c r="AA47" s="2299"/>
      <c r="AB47" s="1961"/>
      <c r="AC47" s="2298"/>
      <c r="AD47" s="2298"/>
      <c r="AE47" s="2298"/>
      <c r="AF47" s="2298"/>
      <c r="AG47" s="2298"/>
      <c r="AH47" s="2298"/>
      <c r="AI47" s="2298"/>
      <c r="AJ47" s="2299"/>
      <c r="AK47" s="1386"/>
      <c r="AM47" s="1625"/>
      <c r="AN47" s="1625" t="str">
        <f>IF(T47="","",T47)</f>
        <v/>
      </c>
      <c r="AO47" s="1625"/>
      <c r="AP47" s="1625"/>
      <c r="AQ47" s="1637">
        <v>0</v>
      </c>
    </row>
    <row customHeight="1" ht="22.049999999999997">
      <c r="A48" s="1268" t="s">
        <v>336</v>
      </c>
      <c r="B48" s="1268" t="s">
        <v>337</v>
      </c>
      <c r="C48" s="1268" t="s">
        <v>338</v>
      </c>
      <c r="D48" s="1268" t="s">
        <v>339</v>
      </c>
      <c r="E48" s="2291"/>
      <c r="F48" s="2291"/>
      <c r="G48" s="2291"/>
      <c r="H48" s="2291"/>
      <c r="I48" s="2102"/>
      <c r="J48" s="2102"/>
      <c r="K48" s="1942" t="str">
        <f>S45&amp;".1"</f>
        <v>....1</v>
      </c>
      <c r="L48" s="1311"/>
      <c r="P48" s="2258"/>
      <c r="Q48" s="2258"/>
      <c r="R48" s="358">
        <v>1</v>
      </c>
      <c r="S48" s="1963" t="str">
        <f>$K48</f>
        <v>....1</v>
      </c>
      <c r="T48" s="1962"/>
      <c r="U48" s="301"/>
      <c r="V48" s="752"/>
      <c r="W48" s="1258"/>
      <c r="X48" s="1956"/>
      <c r="Y48" s="1943" t="s">
        <v>65</v>
      </c>
      <c r="Z48" s="1956"/>
      <c r="AA48" s="1943" t="s">
        <v>65</v>
      </c>
      <c r="AB48" s="1965"/>
      <c r="AC48" s="1964" t="s">
        <v>28</v>
      </c>
      <c r="AD48" s="752"/>
      <c r="AE48" s="1258"/>
      <c r="AF48" s="1956"/>
      <c r="AG48" s="1943" t="s">
        <v>65</v>
      </c>
      <c r="AH48" s="1956"/>
      <c r="AI48" s="1943" t="s">
        <v>65</v>
      </c>
      <c r="AJ48" s="1349"/>
      <c r="AK48" s="2254" t="s">
        <v>611</v>
      </c>
      <c r="AL48" s="1637">
        <f>STRCHECKDATE(#REF!)</f>
      </c>
      <c r="AM48" s="1625"/>
      <c r="AN48" s="1625" t="str">
        <f>IF(T48="","",T48)</f>
        <v/>
      </c>
      <c r="AO48" s="1625"/>
      <c r="AP48" s="1625"/>
      <c r="AQ48" s="1632">
        <v>21</v>
      </c>
    </row>
    <row customHeight="1" ht="11.549999999999999">
      <c r="A49" s="1268" t="s">
        <v>336</v>
      </c>
      <c r="B49" s="1268" t="s">
        <v>337</v>
      </c>
      <c r="C49" s="1268" t="s">
        <v>338</v>
      </c>
      <c r="D49" s="1268" t="s">
        <v>339</v>
      </c>
      <c r="E49" s="2291"/>
      <c r="F49" s="2291"/>
      <c r="G49" s="2291"/>
      <c r="H49" s="2291"/>
      <c r="I49" s="2102"/>
      <c r="J49" s="2128"/>
      <c r="K49" s="1268"/>
      <c r="L49" s="1311"/>
      <c r="P49" s="2258"/>
      <c r="Q49" s="2258"/>
      <c r="R49" s="357"/>
      <c r="S49" s="1279"/>
      <c r="T49" s="288" t="s">
        <v>599</v>
      </c>
      <c r="U49" s="601"/>
      <c r="V49" s="601"/>
      <c r="W49" s="601"/>
      <c r="X49" s="601"/>
      <c r="Y49" s="601"/>
      <c r="Z49" s="601"/>
      <c r="AA49" s="325"/>
      <c r="AB49" s="601"/>
      <c r="AC49" s="601"/>
      <c r="AD49" s="601"/>
      <c r="AE49" s="601"/>
      <c r="AF49" s="601"/>
      <c r="AG49" s="601"/>
      <c r="AH49" s="601"/>
      <c r="AI49" s="601"/>
      <c r="AJ49" s="325"/>
      <c r="AK49" s="2256"/>
      <c r="AM49" s="1625"/>
      <c r="AN49" s="1625" t="str">
        <f>IF(T49="","",T49)</f>
        <v>Добавить строку</v>
      </c>
      <c r="AO49" s="1625"/>
      <c r="AP49" s="1625"/>
      <c r="AQ49" s="1632">
        <v>11</v>
      </c>
    </row>
    <row s="1643" customFormat="1" customHeight="1" ht="1.05">
      <c r="A50" s="1376" t="s">
        <v>336</v>
      </c>
      <c r="B50" s="1376" t="s">
        <v>337</v>
      </c>
      <c r="C50" s="1376" t="s">
        <v>338</v>
      </c>
      <c r="D50" s="1376" t="s">
        <v>339</v>
      </c>
      <c r="E50" s="2291"/>
      <c r="F50" s="2291"/>
      <c r="G50" s="2291"/>
      <c r="H50" s="2291"/>
      <c r="I50" s="2128"/>
      <c r="J50" s="1376"/>
      <c r="K50" s="1376"/>
      <c r="L50" s="1382"/>
      <c r="M50" s="1247"/>
      <c r="N50" s="1247"/>
      <c r="O50" s="1247"/>
      <c r="P50" s="2258"/>
      <c r="Q50" s="1955"/>
      <c r="R50" s="357"/>
      <c r="S50" s="1387"/>
      <c r="T50" s="1388" t="s">
        <v>542</v>
      </c>
      <c r="U50" s="1389"/>
      <c r="V50" s="1389"/>
      <c r="W50" s="1389"/>
      <c r="X50" s="1389"/>
      <c r="Y50" s="1389"/>
      <c r="Z50" s="1389"/>
      <c r="AA50" s="1389"/>
      <c r="AB50" s="1389"/>
      <c r="AC50" s="1389"/>
      <c r="AD50" s="1389"/>
      <c r="AE50" s="1389"/>
      <c r="AF50" s="1389"/>
      <c r="AG50" s="1389"/>
      <c r="AH50" s="1389"/>
      <c r="AI50" s="1389"/>
      <c r="AJ50" s="1389"/>
      <c r="AK50" s="1390"/>
      <c r="AM50" s="1625"/>
      <c r="AN50" s="1625" t="str">
        <f>IF(T50="","",T50)</f>
        <v>Добавить группу потребителей</v>
      </c>
      <c r="AO50" s="1625"/>
      <c r="AP50" s="1625"/>
      <c r="AQ50" s="1637">
        <v>1</v>
      </c>
    </row>
    <row s="1642" customFormat="1" customHeight="1" ht="1.05">
      <c r="A51" s="1376" t="s">
        <v>336</v>
      </c>
      <c r="B51" s="1376" t="s">
        <v>337</v>
      </c>
      <c r="C51" s="1376" t="s">
        <v>338</v>
      </c>
      <c r="D51" s="1376" t="s">
        <v>339</v>
      </c>
      <c r="E51" s="2291"/>
      <c r="F51" s="2291"/>
      <c r="G51" s="2291"/>
      <c r="H51" s="2290"/>
      <c r="I51" s="1376"/>
      <c r="J51" s="1376"/>
      <c r="K51" s="1376"/>
      <c r="L51" s="1382"/>
      <c r="M51" s="1379"/>
      <c r="N51" s="1379"/>
      <c r="O51" s="352"/>
      <c r="P51" s="381"/>
      <c r="Q51" s="1345"/>
      <c r="R51" s="1401"/>
      <c r="S51" s="1387"/>
      <c r="T51" s="1388"/>
      <c r="U51" s="1389"/>
      <c r="V51" s="1389"/>
      <c r="W51" s="1389"/>
      <c r="X51" s="1389"/>
      <c r="Y51" s="1389"/>
      <c r="Z51" s="1389"/>
      <c r="AA51" s="1389"/>
      <c r="AB51" s="1389"/>
      <c r="AC51" s="1389"/>
      <c r="AD51" s="1389"/>
      <c r="AE51" s="1389"/>
      <c r="AF51" s="1389"/>
      <c r="AG51" s="1389"/>
      <c r="AH51" s="1389"/>
      <c r="AI51" s="1389"/>
      <c r="AJ51" s="1389"/>
      <c r="AK51" s="1390"/>
      <c r="AL51" s="1637"/>
      <c r="AM51" s="1625"/>
      <c r="AN51" s="1625" t="str">
        <f>IF(T51="","",T51)</f>
        <v/>
      </c>
      <c r="AO51" s="1625"/>
      <c r="AP51" s="1625"/>
      <c r="AQ51" s="1642">
        <v>1</v>
      </c>
    </row>
    <row s="1643" customFormat="1" customHeight="1" ht="1.05">
      <c r="A52" s="1376" t="s">
        <v>336</v>
      </c>
      <c r="B52" s="1376" t="s">
        <v>337</v>
      </c>
      <c r="C52" s="1376" t="s">
        <v>338</v>
      </c>
      <c r="D52" s="1375"/>
      <c r="E52" s="2291"/>
      <c r="F52" s="2291"/>
      <c r="G52" s="2290"/>
      <c r="H52" s="1375"/>
      <c r="I52" s="1375"/>
      <c r="J52" s="1375"/>
      <c r="K52" s="1375"/>
      <c r="L52" s="1378"/>
      <c r="M52" s="1379"/>
      <c r="N52" s="1379"/>
      <c r="O52" s="352"/>
      <c r="P52" s="1317"/>
      <c r="Q52" s="1318"/>
      <c r="R52" s="1317"/>
      <c r="S52" s="1323"/>
      <c r="T52" s="1326" t="s">
        <v>177</v>
      </c>
      <c r="U52" s="1325"/>
      <c r="V52" s="1325"/>
      <c r="W52" s="1325"/>
      <c r="X52" s="1325"/>
      <c r="Y52" s="1325"/>
      <c r="Z52" s="1325"/>
      <c r="AA52" s="1325"/>
      <c r="AB52" s="1325"/>
      <c r="AC52" s="1325"/>
      <c r="AD52" s="1325"/>
      <c r="AE52" s="1325"/>
      <c r="AF52" s="1325"/>
      <c r="AG52" s="1325"/>
      <c r="AH52" s="1325"/>
      <c r="AI52" s="1325"/>
      <c r="AJ52" s="1325"/>
      <c r="AK52" s="1325"/>
      <c r="AM52" s="1252"/>
      <c r="AN52" s="1252" t="str">
        <f>IF(T52="","",T52)</f>
        <v>Добавить источник для дифференциации</v>
      </c>
      <c r="AO52" s="1252"/>
      <c r="AP52" s="1252"/>
      <c r="AQ52" s="1643">
        <v>1</v>
      </c>
    </row>
    <row s="1643" customFormat="1" customHeight="1" ht="1.05">
      <c r="A53" s="1376" t="s">
        <v>336</v>
      </c>
      <c r="B53" s="1376" t="s">
        <v>337</v>
      </c>
      <c r="C53" s="1375"/>
      <c r="D53" s="1375"/>
      <c r="E53" s="2291"/>
      <c r="F53" s="2290"/>
      <c r="G53" s="1375"/>
      <c r="H53" s="1375"/>
      <c r="I53" s="1375"/>
      <c r="J53" s="1375"/>
      <c r="K53" s="1375"/>
      <c r="L53" s="1378"/>
      <c r="M53" s="1380"/>
      <c r="N53" s="1380"/>
      <c r="O53" s="352"/>
      <c r="P53" s="1317"/>
      <c r="Q53" s="1318"/>
      <c r="R53" s="1317"/>
      <c r="S53" s="1323"/>
      <c r="T53" s="1326" t="s">
        <v>178</v>
      </c>
      <c r="U53" s="1325"/>
      <c r="V53" s="1325"/>
      <c r="W53" s="1325"/>
      <c r="X53" s="1325"/>
      <c r="Y53" s="1325"/>
      <c r="Z53" s="1325"/>
      <c r="AA53" s="1325"/>
      <c r="AB53" s="1325"/>
      <c r="AC53" s="1325"/>
      <c r="AD53" s="1325"/>
      <c r="AE53" s="1325"/>
      <c r="AF53" s="1325"/>
      <c r="AG53" s="1325"/>
      <c r="AH53" s="1325"/>
      <c r="AI53" s="1325"/>
      <c r="AJ53" s="1325"/>
      <c r="AK53" s="1325"/>
      <c r="AM53" s="1252"/>
      <c r="AN53" s="1252" t="str">
        <f>IF(T53="","",T53)</f>
        <v>Добавить централизованную систему для дифференциации</v>
      </c>
      <c r="AO53" s="1252"/>
      <c r="AP53" s="1252"/>
      <c r="AQ53" s="1643">
        <v>1</v>
      </c>
    </row>
    <row s="1643" customFormat="1" customHeight="1" ht="1.05">
      <c r="A54" s="1376" t="s">
        <v>336</v>
      </c>
      <c r="B54" s="1376"/>
      <c r="C54" s="1376"/>
      <c r="D54" s="1376"/>
      <c r="E54" s="2291"/>
      <c r="F54" s="1376"/>
      <c r="G54" s="1376"/>
      <c r="H54" s="1376"/>
      <c r="I54" s="1376"/>
      <c r="J54" s="1376"/>
      <c r="K54" s="1376"/>
      <c r="L54" s="1382"/>
      <c r="M54" s="1380"/>
      <c r="N54" s="1380"/>
      <c r="O54" s="352"/>
      <c r="P54" s="381"/>
      <c r="Q54" s="1345"/>
      <c r="R54" s="381"/>
      <c r="S54" s="1323"/>
      <c r="T54" s="1326" t="s">
        <v>183</v>
      </c>
      <c r="U54" s="1325"/>
      <c r="V54" s="1325"/>
      <c r="W54" s="1325"/>
      <c r="X54" s="1325"/>
      <c r="Y54" s="1325"/>
      <c r="Z54" s="1325"/>
      <c r="AA54" s="1325"/>
      <c r="AB54" s="1325"/>
      <c r="AC54" s="1325"/>
      <c r="AD54" s="1325"/>
      <c r="AE54" s="1325"/>
      <c r="AF54" s="1325"/>
      <c r="AG54" s="1325"/>
      <c r="AH54" s="1325"/>
      <c r="AI54" s="1325"/>
      <c r="AJ54" s="1325"/>
      <c r="AK54" s="1325"/>
      <c r="AM54" s="1625"/>
      <c r="AN54" s="1625" t="str">
        <f>IF(T54="","",T54)</f>
        <v>Добавить территорию для дифференциации</v>
      </c>
      <c r="AO54" s="1625"/>
      <c r="AP54" s="1625"/>
      <c r="AQ54" s="1637">
        <v>1</v>
      </c>
    </row>
    <row s="1643" customFormat="1" customHeight="1" ht="1.05">
      <c r="A55" s="1376" t="s">
        <v>336</v>
      </c>
      <c r="B55" s="1376"/>
      <c r="C55" s="1376"/>
      <c r="D55" s="1376"/>
      <c r="E55" s="2290"/>
      <c r="F55" s="1376"/>
      <c r="G55" s="1376"/>
      <c r="H55" s="1376"/>
      <c r="I55" s="1376"/>
      <c r="J55" s="1376"/>
      <c r="K55" s="1376"/>
      <c r="L55" s="1382"/>
      <c r="M55" s="1380"/>
      <c r="N55" s="1380"/>
      <c r="O55" s="352"/>
      <c r="P55" s="381"/>
      <c r="Q55" s="1345"/>
      <c r="R55" s="381"/>
      <c r="S55" s="1323"/>
      <c r="T55" s="1326" t="s">
        <v>183</v>
      </c>
      <c r="U55" s="1325"/>
      <c r="V55" s="1325"/>
      <c r="W55" s="1325"/>
      <c r="X55" s="1325"/>
      <c r="Y55" s="1325"/>
      <c r="Z55" s="1325"/>
      <c r="AA55" s="1325"/>
      <c r="AB55" s="1325"/>
      <c r="AC55" s="1325"/>
      <c r="AD55" s="1325"/>
      <c r="AE55" s="1325"/>
      <c r="AF55" s="1325"/>
      <c r="AG55" s="1325"/>
      <c r="AH55" s="1325"/>
      <c r="AI55" s="1325"/>
      <c r="AJ55" s="1325"/>
      <c r="AK55" s="1325"/>
      <c r="AM55" s="1625"/>
      <c r="AN55" s="1625" t="str">
        <f>IF(T55="","",T55)</f>
        <v>Добавить территорию для дифференциации</v>
      </c>
      <c r="AO55" s="1625"/>
      <c r="AP55" s="1625"/>
      <c r="AQ55" s="1637">
        <v>1</v>
      </c>
    </row>
    <row s="1643" customFormat="1" customHeight="1" ht="1.05">
      <c r="A56" s="1375"/>
      <c r="B56" s="1375"/>
      <c r="C56" s="1375"/>
      <c r="D56" s="1375"/>
      <c r="E56" s="1376"/>
      <c r="F56" s="1375"/>
      <c r="G56" s="1375"/>
      <c r="H56" s="1375"/>
      <c r="I56" s="1375"/>
      <c r="J56" s="1375"/>
      <c r="K56" s="1375"/>
      <c r="L56" s="1378"/>
      <c r="M56" s="1380"/>
      <c r="N56" s="1380"/>
      <c r="O56" s="352"/>
      <c r="P56" s="1317"/>
      <c r="Q56" s="1318"/>
      <c r="R56" s="1317"/>
      <c r="S56" s="1323"/>
      <c r="T56" s="1326" t="s">
        <v>222</v>
      </c>
      <c r="U56" s="1325"/>
      <c r="V56" s="1325"/>
      <c r="W56" s="1325"/>
      <c r="X56" s="1325"/>
      <c r="Y56" s="1325"/>
      <c r="Z56" s="1325"/>
      <c r="AA56" s="1325"/>
      <c r="AB56" s="1325"/>
      <c r="AC56" s="1325"/>
      <c r="AD56" s="1325"/>
      <c r="AE56" s="1325"/>
      <c r="AF56" s="1325"/>
      <c r="AG56" s="1325"/>
      <c r="AH56" s="1325"/>
      <c r="AI56" s="1325"/>
      <c r="AJ56" s="1325"/>
      <c r="AK56" s="1325"/>
      <c r="AM56" s="1252"/>
      <c r="AN56" s="1252" t="str">
        <f>IF(T56="","",T56)</f>
        <v>Добавить наименование тарифа</v>
      </c>
      <c r="AO56" s="1252"/>
      <c r="AP56" s="1252"/>
      <c r="AQ56" s="1643">
        <v>1</v>
      </c>
    </row>
    <row customHeight="1" ht="11.549999999999999">
      <c r="M57" s="1632"/>
      <c r="N57" s="1632"/>
      <c r="O57" s="1636"/>
      <c r="P57" s="1367"/>
      <c r="Q57" s="1367"/>
      <c r="R57" s="1632"/>
      <c r="S57" s="1632"/>
      <c r="AL57" s="1632"/>
      <c r="AM57" s="1632"/>
      <c r="AN57" s="1632"/>
      <c r="AO57" s="1632"/>
      <c r="AP57" s="1632"/>
      <c r="AQ57" s="1632">
        <v>11</v>
      </c>
    </row>
    <row customHeight="1" ht="19.95">
      <c r="O58" s="1636"/>
      <c r="S58" s="1254"/>
      <c r="T58" s="2286"/>
      <c r="U58" s="2286"/>
      <c r="V58" s="2286"/>
      <c r="W58" s="2286"/>
      <c r="X58" s="2286"/>
      <c r="Y58" s="2286"/>
      <c r="Z58" s="2286"/>
      <c r="AA58" s="2286"/>
      <c r="AB58" s="2286"/>
      <c r="AC58" s="2286"/>
      <c r="AD58" s="2286"/>
      <c r="AE58" s="2286"/>
      <c r="AF58" s="2286"/>
      <c r="AG58" s="2286"/>
      <c r="AH58" s="2286"/>
      <c r="AI58" s="2286"/>
      <c r="AJ58" s="2286"/>
      <c r="AK58" s="2286"/>
      <c r="AQ58" s="1632">
        <v>19</v>
      </c>
    </row>
    <row customHeight="1" ht="21">
      <c r="O59" s="1636"/>
      <c r="T59" s="2286"/>
      <c r="U59" s="2286"/>
      <c r="V59" s="2286"/>
      <c r="W59" s="2286"/>
      <c r="X59" s="2286"/>
      <c r="Y59" s="2286"/>
      <c r="Z59" s="2286"/>
      <c r="AA59" s="2286"/>
      <c r="AB59" s="2286"/>
      <c r="AC59" s="2286"/>
      <c r="AD59" s="2286"/>
      <c r="AE59" s="2286"/>
      <c r="AF59" s="2286"/>
      <c r="AG59" s="2286"/>
      <c r="AH59" s="2286"/>
      <c r="AI59" s="2286"/>
      <c r="AJ59" s="2286"/>
      <c r="AK59" s="2286"/>
      <c r="AQ59" s="1632">
        <v>20</v>
      </c>
    </row>
    <row customHeight="1" ht="14.699999999999998">
      <c r="O60" s="1636"/>
      <c r="T60" s="1954"/>
      <c r="U60" s="1954"/>
      <c r="V60" s="1954"/>
      <c r="W60" s="1954"/>
      <c r="X60" s="1954"/>
      <c r="Y60" s="1954"/>
      <c r="Z60" s="1954"/>
      <c r="AA60" s="1954"/>
      <c r="AB60" s="1954"/>
      <c r="AC60" s="1954"/>
      <c r="AD60" s="1954"/>
      <c r="AE60" s="1954"/>
      <c r="AF60" s="1954"/>
      <c r="AG60" s="1954"/>
      <c r="AH60" s="1954"/>
      <c r="AI60" s="1954"/>
      <c r="AJ60" s="1954"/>
      <c r="AK60" s="1954"/>
      <c r="AQ60" s="1632">
        <v>14</v>
      </c>
    </row>
    <row customHeight="1" ht="19.95">
      <c r="O61" s="1636"/>
      <c r="T61" s="2286"/>
      <c r="U61" s="2286"/>
      <c r="V61" s="2286"/>
      <c r="W61" s="2286"/>
      <c r="X61" s="2286"/>
      <c r="Y61" s="2286"/>
      <c r="Z61" s="2286"/>
      <c r="AA61" s="2286"/>
      <c r="AB61" s="2286"/>
      <c r="AC61" s="2286"/>
      <c r="AD61" s="2286"/>
      <c r="AE61" s="2286"/>
      <c r="AF61" s="2286"/>
      <c r="AG61" s="2286"/>
      <c r="AH61" s="2286"/>
      <c r="AI61" s="2286"/>
      <c r="AJ61" s="2286"/>
      <c r="AK61" s="2286"/>
      <c r="AQ61" s="1632">
        <v>19</v>
      </c>
    </row>
    <row customHeight="1" ht="16.8">
      <c r="O62" s="1636"/>
      <c r="T62" s="2286"/>
      <c r="U62" s="2286"/>
      <c r="V62" s="2286"/>
      <c r="W62" s="2286"/>
      <c r="X62" s="2286"/>
      <c r="Y62" s="2286"/>
      <c r="Z62" s="2286"/>
      <c r="AA62" s="2286"/>
      <c r="AB62" s="2286"/>
      <c r="AC62" s="2286"/>
      <c r="AD62" s="2286"/>
      <c r="AE62" s="2286"/>
      <c r="AF62" s="2286"/>
      <c r="AG62" s="2286"/>
      <c r="AH62" s="2286"/>
      <c r="AI62" s="2286"/>
      <c r="AJ62" s="2286"/>
      <c r="AK62" s="2286"/>
      <c r="AQ62" s="1632">
        <v>16</v>
      </c>
    </row>
    <row customHeight="1" ht="14.699999999999998">
      <c r="O63" s="1636"/>
      <c r="AQ63" s="1632">
        <v>14</v>
      </c>
    </row>
    <row customHeight="1" ht="22.5" hidden="1">
      <c r="A64" s="1632" t="s">
        <v>86</v>
      </c>
      <c r="B64" s="1632">
        <v>0</v>
      </c>
      <c r="C64" s="1632">
        <v>0</v>
      </c>
      <c r="D64" s="1632">
        <v>0</v>
      </c>
      <c r="E64" s="1632">
        <v>0</v>
      </c>
      <c r="F64" s="1632">
        <v>0</v>
      </c>
      <c r="G64" s="1632">
        <v>0</v>
      </c>
      <c r="H64" s="1632">
        <v>0</v>
      </c>
      <c r="I64" s="1632">
        <v>0</v>
      </c>
      <c r="J64" s="1632">
        <v>0</v>
      </c>
      <c r="K64" s="1632">
        <v>0</v>
      </c>
      <c r="L64" s="1940">
        <v>0</v>
      </c>
      <c r="M64" s="1966">
        <v>0</v>
      </c>
      <c r="N64" s="1966">
        <v>0</v>
      </c>
      <c r="O64" s="1966">
        <v>0</v>
      </c>
      <c r="P64" s="1363">
        <v>3</v>
      </c>
      <c r="Q64" s="1372">
        <v>3</v>
      </c>
      <c r="R64" s="345">
        <v>3</v>
      </c>
      <c r="S64" s="582">
        <v>12</v>
      </c>
      <c r="T64" s="1632">
        <v>31</v>
      </c>
      <c r="U64" s="1632">
        <v>0</v>
      </c>
      <c r="V64" s="1632">
        <v>0</v>
      </c>
      <c r="W64" s="1632">
        <v>0</v>
      </c>
      <c r="X64" s="1632">
        <v>0</v>
      </c>
      <c r="Y64" s="1632">
        <v>0</v>
      </c>
      <c r="Z64" s="1632">
        <v>0</v>
      </c>
      <c r="AA64" s="1632">
        <v>0</v>
      </c>
      <c r="AB64" s="1632">
        <v>27</v>
      </c>
      <c r="AC64" s="1632">
        <v>24</v>
      </c>
      <c r="AD64" s="1632">
        <v>21</v>
      </c>
      <c r="AE64" s="1632">
        <v>21</v>
      </c>
      <c r="AF64" s="1632">
        <v>11</v>
      </c>
      <c r="AG64" s="1632">
        <v>3</v>
      </c>
      <c r="AH64" s="1632">
        <v>11</v>
      </c>
      <c r="AI64" s="1632">
        <v>8</v>
      </c>
      <c r="AJ64" s="1632">
        <v>4</v>
      </c>
      <c r="AK64" s="1632">
        <v>115</v>
      </c>
      <c r="AL64" s="1637">
        <v>10</v>
      </c>
      <c r="AM64" s="1637">
        <v>10</v>
      </c>
      <c r="AN64" s="1637">
        <v>10</v>
      </c>
      <c r="AO64" s="1637">
        <v>10</v>
      </c>
      <c r="AP64" s="1637">
        <v>10</v>
      </c>
      <c r="AQ64" s="1632">
        <v>23</v>
      </c>
    </row>
  </sheetData>
  <sheetProtection sort="0" autoFilter="0" insertRows="0" insertColumns="1" deleteRows="0" deleteColumns="0"/>
  <mergeCells count="89">
    <mergeCell ref="V38:W38"/>
    <mergeCell ref="V39:W39"/>
    <mergeCell ref="E2:E14"/>
    <mergeCell ref="V2:AA2"/>
    <mergeCell ref="AC2:AJ2"/>
    <mergeCell ref="F3:F13"/>
    <mergeCell ref="V3:AA3"/>
    <mergeCell ref="AC3:AJ3"/>
    <mergeCell ref="G4:G12"/>
    <mergeCell ref="V4:AA4"/>
    <mergeCell ref="AC4:AJ4"/>
    <mergeCell ref="H5:H11"/>
    <mergeCell ref="V5:AA5"/>
    <mergeCell ref="AC5:AJ5"/>
    <mergeCell ref="I6:I10"/>
    <mergeCell ref="P6:P10"/>
    <mergeCell ref="V6:AA6"/>
    <mergeCell ref="AC6:AJ6"/>
    <mergeCell ref="J7:J9"/>
    <mergeCell ref="Q7:Q9"/>
    <mergeCell ref="V7:AA7"/>
    <mergeCell ref="AC7:AJ7"/>
    <mergeCell ref="AK8:AK9"/>
    <mergeCell ref="S24:AH24"/>
    <mergeCell ref="S27:T27"/>
    <mergeCell ref="V27:Z27"/>
    <mergeCell ref="AC27:AH27"/>
    <mergeCell ref="S25:AH25"/>
    <mergeCell ref="S28:T28"/>
    <mergeCell ref="V28:Z28"/>
    <mergeCell ref="AC28:AH28"/>
    <mergeCell ref="S29:T29"/>
    <mergeCell ref="V29:Z29"/>
    <mergeCell ref="AC29:AH29"/>
    <mergeCell ref="S30:T30"/>
    <mergeCell ref="V30:Z30"/>
    <mergeCell ref="AC30:AH30"/>
    <mergeCell ref="S32:T32"/>
    <mergeCell ref="V32:Z32"/>
    <mergeCell ref="AC32:AH32"/>
    <mergeCell ref="S33:T33"/>
    <mergeCell ref="V33:Z33"/>
    <mergeCell ref="AC33:AH33"/>
    <mergeCell ref="V35:AA35"/>
    <mergeCell ref="AC35:AI35"/>
    <mergeCell ref="S36:AJ36"/>
    <mergeCell ref="AK36:AK40"/>
    <mergeCell ref="S37:S40"/>
    <mergeCell ref="T37:T40"/>
    <mergeCell ref="V37:Z37"/>
    <mergeCell ref="AA37:AA40"/>
    <mergeCell ref="AB37:AB40"/>
    <mergeCell ref="AC37:AC40"/>
    <mergeCell ref="AD37:AH37"/>
    <mergeCell ref="AI37:AI40"/>
    <mergeCell ref="AJ37:AJ40"/>
    <mergeCell ref="X38:Z39"/>
    <mergeCell ref="AD38:AE38"/>
    <mergeCell ref="AF38:AH39"/>
    <mergeCell ref="AD39:AE39"/>
    <mergeCell ref="Y40:Z40"/>
    <mergeCell ref="AG40:AH40"/>
    <mergeCell ref="Y41:Z41"/>
    <mergeCell ref="AG41:AH41"/>
    <mergeCell ref="E42:E55"/>
    <mergeCell ref="V42:AA42"/>
    <mergeCell ref="AC42:AJ42"/>
    <mergeCell ref="F43:F53"/>
    <mergeCell ref="V43:AA43"/>
    <mergeCell ref="AC43:AJ43"/>
    <mergeCell ref="G44:G52"/>
    <mergeCell ref="V44:AA44"/>
    <mergeCell ref="AC44:AJ44"/>
    <mergeCell ref="H45:H51"/>
    <mergeCell ref="V45:AA45"/>
    <mergeCell ref="AC45:AJ45"/>
    <mergeCell ref="I46:I50"/>
    <mergeCell ref="P46:P50"/>
    <mergeCell ref="V46:AA46"/>
    <mergeCell ref="AC46:AJ46"/>
    <mergeCell ref="J47:J49"/>
    <mergeCell ref="Q47:Q49"/>
    <mergeCell ref="T62:AK62"/>
    <mergeCell ref="V47:AA47"/>
    <mergeCell ref="AC47:AJ47"/>
    <mergeCell ref="AK48:AK49"/>
    <mergeCell ref="T58:AK58"/>
    <mergeCell ref="T59:AK59"/>
    <mergeCell ref="T61:AK61"/>
  </mergeCells>
  <dataValidations count="11">
    <dataValidation allowBlank="1" errorTitle="Ошибка" error="Выберите значение из списка" sqref="V39:W39"/>
    <dataValidation type="list" allowBlank="1" showInputMessage="1" showErrorMessage="1" errorTitle="Ошибка" error="Выберите значение из списка" prompt="Выберите значение из списка" sqref="AD39:AE39">
      <formula1>UNIT_CONNECT_LIST</formula1>
    </dataValidation>
    <dataValidation type="list" allowBlank="1" showInputMessage="1" showErrorMessage="1" errorTitle="Ошибка" error="Выберите значение из списка" sqref="T65584 T131120 T196656 T262192 T327728 T393264 T458800 T524336 T589872 T655408 T720944 T786480 T852016 T917552 T983088">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X65584 X131120 X196656 X262192 X327728 X393264 X458800 X524336 X589872 X655408 X720944 X786480 X852016 X917552 X983088 Z65584 Z131120 Z196656 Z262192 Z327728 Z393264 Z458800 Z524336 Z589872 Z655408 Z720944 Z786480 Z852016 Z917552 Z983088 X8 Z8 AF65584 AF131120 AF196656 AF262192 AF327728 AF393264 AF458800 AF524336 AF589872 AF655408 AF720944 AF786480 AF852016 AF917552 AF983088 AH65584 AH131120 AH196656 AH262192 AH327728 AH393264 AH458800 AH524336 AH589872 AH655408 AH720944 AH786480 AH852016 AH917552 AH983088 AH8 AH48 AH16 AF16 AF8 AF48 Z48 X48"/>
    <dataValidation allowBlank="1" promptTitle="checkPeriodRange" sqref="W65585 W131121 W196657 W262193 W327729 W393265 W458801 W524337 W589873 W655409 W720945 W786481 W852017 W917553 W983089 AE65585 AE131121 AE196657 AE262193 AE327729 AE393265 AE458801 AE524337 AE589873 AE655409 AE720945 AE786481 AE852017 AE917553 AE983089"/>
    <dataValidation type="textLength" operator="lessThanOrEqual" allowBlank="1" showInputMessage="1" showErrorMessage="1" errorTitle="Ошибка" error="Допускается ввод не более 900 символов!" sqref="AK65578:AK65585 AK131114:AK131121 AK196650:AK196657 AK262186:AK262193 AK327722:AK327729 AK393258:AK393265 AK458794:AK458801 AK524330:AK524337 AK589866:AK589873 AK655402:AK655409 AK720938:AK720945 AK786474:AK786481 AK852010:AK852017 AK917546:AK917553 AK983082:AK983089 T8 T48 AB48 AB8">
      <formula1>900</formula1>
    </dataValidation>
    <dataValidation allowBlank="1" showInputMessage="1" showErrorMessage="1" prompt="Для выбора выполните двойной щелчок левой клавиши мыши по соответствующей ячейке." sqref="Y65584 Y131120 Y196656 Y262192 Y327728 Y393264 Y458800 Y524336 Y589872 Y655408 Y720944 Y786480 Y852016 Y917552 Y983088 AA131120:AB131120 AA458800:AB458800 AA196656:AB196656 AA262192:AB262192 AA327728:AB327728 AA393264:AB393264 AA524336:AB524336 AA589872:AB589872 AA655408:AB655408 AA720944:AB720944 AA786480:AB786480 AA852016:AB852016 AA917552:AB917552 AA983088:AB983088 AA65584:AB65584 AG48 Y8 AG65584 AG131120 AG196656 AG262192 AG327728 AG393264 AG458800 AG524336 AG589872 AG655408 AG720944 AG786480 AG852016 AG917552 AG983088 AI131120 AI458800 AI196656 AI262192 AI327728 AI393264 AI524336 AI589872 AI655408 AI720944 AI786480 AI852016 AI917552 AI983088 AI65584 AG8 AA48 AG16 AI48 AI16 AC16 Y48 AI8 AA8"/>
    <dataValidation type="list" allowBlank="1" showInputMessage="1" showErrorMessage="1" errorTitle="Ошибка" error="Выберите значение из списка" sqref="AC983086 AC917550 AC852014 AC786478 AC720942 AC655406 AC589870 AC524334 AC458798 AC393262 AC327726 AC262190 AC196654 AC131118 AC65582">
      <formula1>kind_of_scheme_in</formula1>
    </dataValidation>
    <dataValidation type="list" allowBlank="1" showInputMessage="1" errorTitle="Ошибка" error="Выберите значение из списка" prompt="Выберите значение из списка" sqref="V917551:AJ917551 V983087:AJ983087 V65583:AJ65583 V131119:AJ131119 V196655:AJ196655 V262191:AJ262191 V327727:AJ327727 V393263:AJ393263 V458799:AJ458799 V524335:AJ524335 V589871:AJ589871 V655407:AJ655407 V720943:AJ720943 V786479:AJ786479 V852015:AJ852015">
      <formula1>kind_of_cons</formula1>
    </dataValidation>
    <dataValidation allowBlank="1" sqref="S131122:AK131128 S196658:AK196664 S262194:AK262200 S327730:AK327736 S393266:AK393272 S458802:AK458808 S524338:AK524344 S589874:AK589880 S655410:AK655416 S720946:AK720952 S786482:AK786488 S852018:AK852024 S917554:AK917560 S983090:AK983096 S65586:AK65592"/>
    <dataValidation type="decimal" allowBlank="1" showErrorMessage="1" errorTitle="Ошибка" error="Допускается ввод только действительных чисел!" sqref="AC48 AC8">
      <formula1>-9.99999999999999E+23</formula1>
      <formula2>9.99999999999999E+23</formula2>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49295E3-A43D-D618-8921-1239293F84D9}" mc:Ignorable="x14ac xr xr2 xr3">
  <sheetPr>
    <tabColor theme="6" tint="0.4"/>
  </sheetPr>
  <dimension ref="A1:BI69"/>
  <sheetViews>
    <sheetView showGridLines="0" zoomScale="90" workbookViewId="0">
      <pane xSplit="29" ySplit="45" topLeftCell="AD46" activePane="bottomRight" state="frozen"/>
      <selection pane="bottomLeft" activeCell="A46" sqref="A46"/>
      <selection pane="topRight" activeCell="AD1" sqref="AD1"/>
      <selection pane="bottomRight" activeCell="A1" sqref="A1"/>
    </sheetView>
  </sheetViews>
  <sheetFormatPr defaultColWidth="10.57421875" customHeight="1" defaultRowHeight="14.25"/>
  <cols>
    <col min="1" max="1" style="1367" width="11.57421875" hidden="1" customWidth="1"/>
    <col min="2" max="2" style="1367" width="11.00390625" hidden="1" customWidth="1"/>
    <col min="3" max="3" style="1367" width="10.57421875" hidden="1"/>
    <col min="4" max="4" style="1367" width="12.8515625" hidden="1" customWidth="1"/>
    <col min="5" max="5" style="1367" width="10.00390625" hidden="1" customWidth="1"/>
    <col min="6" max="6" style="1367" width="8.7109375" hidden="1" customWidth="1"/>
    <col min="7" max="7" style="1367" width="7.57421875" hidden="1" customWidth="1"/>
    <col min="8" max="8" style="1367" width="11.421875" hidden="1" customWidth="1"/>
    <col min="9" max="9" style="1367" width="12.00390625" hidden="1" customWidth="1"/>
    <col min="10" max="10" style="1367" width="9.8515625" hidden="1" customWidth="1"/>
    <col min="11" max="11" style="1367" width="11.421875" hidden="1" customWidth="1"/>
    <col min="12" max="12" style="2608" width="19.140625" hidden="1" customWidth="1"/>
    <col min="13" max="14" style="1777" width="12.28125" hidden="1" customWidth="1"/>
    <col min="15" max="15" style="1777" width="23.421875" hidden="1" customWidth="1"/>
    <col min="16" max="16" style="1777" width="3.7109375" hidden="1" customWidth="1"/>
    <col min="17" max="17" style="1372" width="3.7109375" hidden="1" customWidth="1"/>
    <col min="18" max="18" style="345" width="3.00390625" customWidth="1"/>
    <col min="19" max="19" style="2408" width="12.00390625" customWidth="1"/>
    <col min="20" max="20" style="1636" width="31.00390625" customWidth="1"/>
    <col min="21" max="21" style="1636" width="0.140625" customWidth="1"/>
    <col min="22" max="25" style="1636" width="21.7109375" hidden="1" customWidth="1"/>
    <col min="26" max="26" style="1636" width="11.7109375" hidden="1" customWidth="1"/>
    <col min="27" max="27" style="1636" width="3.7109375" hidden="1" customWidth="1"/>
    <col min="28" max="28" style="1636" width="11.7109375" hidden="1" customWidth="1"/>
    <col min="29" max="29" style="1636" width="8.57421875" hidden="1" customWidth="1"/>
    <col min="30" max="30" style="1636" width="3.7109375" customWidth="1"/>
    <col min="31" max="32" style="1636" width="3.00390625" customWidth="1"/>
    <col min="33" max="33" style="1636" width="24.00390625" customWidth="1"/>
    <col min="34" max="34" style="1636" width="3.7109375" customWidth="1"/>
    <col min="35" max="36" style="1636" width="3.00390625" customWidth="1"/>
    <col min="37" max="37" style="1636" width="24.00390625" customWidth="1"/>
    <col min="38" max="38" style="1636" width="3.7109375" customWidth="1"/>
    <col min="39" max="40" style="1636" width="3.00390625" customWidth="1"/>
    <col min="41" max="41" style="1636" width="18.00390625" customWidth="1"/>
    <col min="42" max="42" style="1636" width="3.7109375" customWidth="1"/>
    <col min="43" max="44" style="1636" width="3.00390625" customWidth="1"/>
    <col min="45" max="45" style="1636" width="18.00390625" customWidth="1"/>
    <col min="46" max="49" style="1636" width="21.00390625" customWidth="1"/>
    <col min="50" max="50" style="1636" width="11.00390625" customWidth="1"/>
    <col min="51" max="51" style="1636" width="3.7109375" customWidth="1"/>
    <col min="52" max="52" style="1636" width="11.00390625" customWidth="1"/>
    <col min="53" max="53" style="1636" width="8.57421875" hidden="1" customWidth="1"/>
    <col min="54" max="54" style="1636" width="4.00390625" customWidth="1"/>
    <col min="55" max="55" style="1636" width="115.00390625" customWidth="1"/>
    <col min="56" max="60" style="1643" width="10.00390625" customWidth="1"/>
    <col min="61" max="61" style="1636" width="10.57421875" hidden="1"/>
  </cols>
  <sheetData>
    <row customHeight="1" ht="22.5" hidden="1">
      <c r="W1" s="328"/>
      <c r="Y1" s="328"/>
      <c r="Z1" s="328"/>
      <c r="AW1" s="328"/>
      <c r="AX1" s="328"/>
      <c r="BI1" s="1156" t="s">
        <v>14</v>
      </c>
    </row>
    <row customHeight="1" ht="21" hidden="1">
      <c r="A2" s="1364"/>
      <c r="B2" s="1364"/>
      <c r="C2" s="1364"/>
      <c r="D2" s="1364"/>
      <c r="E2" s="2259">
        <v>1</v>
      </c>
      <c r="F2" s="1364"/>
      <c r="G2" s="1364"/>
      <c r="H2" s="1364"/>
      <c r="I2" s="1364"/>
      <c r="J2" s="1364"/>
      <c r="K2" s="1364"/>
      <c r="L2" s="1365"/>
      <c r="M2" s="1366"/>
      <c r="N2" s="1366"/>
      <c r="O2" s="1366"/>
      <c r="P2" s="1410"/>
      <c r="Q2" s="874"/>
      <c r="R2" s="356"/>
      <c r="S2" s="1466">
        <f>INDEX(PT_DIFFERENTIATION_NUM_NTAR,MATCH(A2,PT_DIFFERENTIATION_NTAR_ID,0))</f>
      </c>
      <c r="T2" s="299" t="s">
        <v>136</v>
      </c>
      <c r="U2" s="301"/>
      <c r="V2" s="2244"/>
      <c r="W2" s="2244"/>
      <c r="X2" s="2244"/>
      <c r="Y2" s="2244"/>
      <c r="Z2" s="2244"/>
      <c r="AA2" s="2244"/>
      <c r="AB2" s="2244"/>
      <c r="AC2" s="2245"/>
      <c r="AD2" s="2243">
        <f>INDEX(PT_DIFFERENTIATION_NTAR,MATCH(A2,PT_DIFFERENTIATION_NTAR_ID,0))</f>
      </c>
      <c r="AE2" s="2244"/>
      <c r="AF2" s="2244"/>
      <c r="AG2" s="2244"/>
      <c r="AH2" s="2244"/>
      <c r="AI2" s="2244"/>
      <c r="AJ2" s="2244"/>
      <c r="AK2" s="2244"/>
      <c r="AL2" s="2244"/>
      <c r="AM2" s="2244"/>
      <c r="AN2" s="2244"/>
      <c r="AO2" s="2244"/>
      <c r="AP2" s="2244"/>
      <c r="AQ2" s="2244"/>
      <c r="AR2" s="2244"/>
      <c r="AS2" s="2244"/>
      <c r="AT2" s="2244"/>
      <c r="AU2" s="2244"/>
      <c r="AV2" s="2244"/>
      <c r="AW2" s="2244"/>
      <c r="AX2" s="2244"/>
      <c r="AY2" s="2244"/>
      <c r="AZ2" s="2244"/>
      <c r="BA2" s="2244"/>
      <c r="BB2" s="2245"/>
      <c r="BC2" s="125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BE2" s="501"/>
      <c r="BF2" s="501" t="str">
        <f>IF(T2="","",T2)</f>
        <v>Наименование тарифа</v>
      </c>
      <c r="BG2" s="501"/>
      <c r="BH2" s="501"/>
      <c r="BI2" s="1156">
        <v>0</v>
      </c>
    </row>
    <row customHeight="1" ht="21" hidden="1">
      <c r="A3" s="1364"/>
      <c r="B3" s="1364"/>
      <c r="C3" s="1364"/>
      <c r="D3" s="1364"/>
      <c r="E3" s="2260"/>
      <c r="F3" s="2259">
        <v>1</v>
      </c>
      <c r="G3" s="1364"/>
      <c r="H3" s="1364"/>
      <c r="I3" s="1364"/>
      <c r="J3" s="1364"/>
      <c r="K3" s="1364"/>
      <c r="L3" s="1365"/>
      <c r="M3" s="1366"/>
      <c r="N3" s="1366"/>
      <c r="O3" s="1366"/>
      <c r="P3" s="1411"/>
      <c r="Q3" s="1412"/>
      <c r="R3" s="354"/>
      <c r="S3" s="1466">
        <f>INDEX(PT_DIFFERENTIATION_NUM_TER,MATCH(B3,PT_DIFFERENTIATION_TER_ID,0))</f>
      </c>
      <c r="T3" s="309" t="s">
        <v>527</v>
      </c>
      <c r="U3" s="301"/>
      <c r="V3" s="2244"/>
      <c r="W3" s="2244"/>
      <c r="X3" s="2244"/>
      <c r="Y3" s="2244"/>
      <c r="Z3" s="2244"/>
      <c r="AA3" s="2244"/>
      <c r="AB3" s="2244"/>
      <c r="AC3" s="2245"/>
      <c r="AD3" s="2243">
        <f>INDEX(PT_DIFFERENTIATION_TER,MATCH(B3,PT_DIFFERENTIATION_TER_ID,0))</f>
      </c>
      <c r="AE3" s="2244"/>
      <c r="AF3" s="2244"/>
      <c r="AG3" s="2244"/>
      <c r="AH3" s="2244"/>
      <c r="AI3" s="2244"/>
      <c r="AJ3" s="2244"/>
      <c r="AK3" s="2244"/>
      <c r="AL3" s="2244"/>
      <c r="AM3" s="2244"/>
      <c r="AN3" s="2244"/>
      <c r="AO3" s="2244"/>
      <c r="AP3" s="2244"/>
      <c r="AQ3" s="2244"/>
      <c r="AR3" s="2244"/>
      <c r="AS3" s="2244"/>
      <c r="AT3" s="2244"/>
      <c r="AU3" s="2244"/>
      <c r="AV3" s="2244"/>
      <c r="AW3" s="2244"/>
      <c r="AX3" s="2244"/>
      <c r="AY3" s="2244"/>
      <c r="AZ3" s="2244"/>
      <c r="BA3" s="2244"/>
      <c r="BB3" s="2245"/>
      <c r="BC3" s="1259" t="s">
        <v>528</v>
      </c>
      <c r="BE3" s="501"/>
      <c r="BF3" s="501" t="str">
        <f>IF(T3="","",T3)</f>
        <v>Территория действия тарифа</v>
      </c>
      <c r="BG3" s="501"/>
      <c r="BH3" s="501"/>
      <c r="BI3" s="1156">
        <v>0</v>
      </c>
    </row>
    <row customHeight="1" ht="42" hidden="1">
      <c r="A4" s="1364"/>
      <c r="B4" s="1364"/>
      <c r="C4" s="1364"/>
      <c r="D4" s="1364"/>
      <c r="E4" s="2260"/>
      <c r="F4" s="2260"/>
      <c r="G4" s="2259">
        <v>1</v>
      </c>
      <c r="H4" s="1364"/>
      <c r="I4" s="1364"/>
      <c r="J4" s="1364"/>
      <c r="K4" s="1364"/>
      <c r="L4" s="1365"/>
      <c r="M4" s="1366"/>
      <c r="N4" s="1366"/>
      <c r="O4" s="1366"/>
      <c r="P4" s="1413"/>
      <c r="Q4" s="1412"/>
      <c r="R4" s="354"/>
      <c r="S4" s="1466">
        <f>INDEX(PT_DIFFERENTIATION_NUM_CS,MATCH(C4,PT_DIFFERENTIATION_CS_ID,0))</f>
      </c>
      <c r="T4" s="310" t="s">
        <v>612</v>
      </c>
      <c r="U4" s="301"/>
      <c r="V4" s="2244"/>
      <c r="W4" s="2244"/>
      <c r="X4" s="2244"/>
      <c r="Y4" s="2244"/>
      <c r="Z4" s="2244"/>
      <c r="AA4" s="2244"/>
      <c r="AB4" s="2244"/>
      <c r="AC4" s="2245"/>
      <c r="AD4" s="2243">
        <f>INDEX(PT_DIFFERENTIATION_CS,MATCH(C4,PT_DIFFERENTIATION_CS_ID,0))</f>
      </c>
      <c r="AE4" s="2244"/>
      <c r="AF4" s="2244"/>
      <c r="AG4" s="2244"/>
      <c r="AH4" s="2244"/>
      <c r="AI4" s="2244"/>
      <c r="AJ4" s="2244"/>
      <c r="AK4" s="2244"/>
      <c r="AL4" s="2244"/>
      <c r="AM4" s="2244"/>
      <c r="AN4" s="2244"/>
      <c r="AO4" s="2244"/>
      <c r="AP4" s="2244"/>
      <c r="AQ4" s="2244"/>
      <c r="AR4" s="2244"/>
      <c r="AS4" s="2244"/>
      <c r="AT4" s="2244"/>
      <c r="AU4" s="2244"/>
      <c r="AV4" s="2244"/>
      <c r="AW4" s="2244"/>
      <c r="AX4" s="2244"/>
      <c r="AY4" s="2244"/>
      <c r="AZ4" s="2244"/>
      <c r="BA4" s="2244"/>
      <c r="BB4" s="2245"/>
      <c r="BC4" s="1259" t="s">
        <v>613</v>
      </c>
      <c r="BE4" s="501"/>
      <c r="BF4" s="501" t="str">
        <f>IF(T4="","",T4)</f>
        <v>Наименование централизованной системы холодного водоснабжения</v>
      </c>
      <c r="BG4" s="501"/>
      <c r="BH4" s="501"/>
      <c r="BI4" s="1156">
        <v>0</v>
      </c>
    </row>
    <row s="1643" customFormat="1" customHeight="1" ht="14.25" hidden="1">
      <c r="A5" s="1344"/>
      <c r="B5" s="1344"/>
      <c r="C5" s="1344"/>
      <c r="D5" s="1344"/>
      <c r="E5" s="2260"/>
      <c r="F5" s="2260"/>
      <c r="G5" s="2260"/>
      <c r="H5" s="2259">
        <v>1</v>
      </c>
      <c r="I5" s="1344"/>
      <c r="J5" s="1344"/>
      <c r="K5" s="1344"/>
      <c r="L5" s="1347"/>
      <c r="M5" s="1316"/>
      <c r="N5" s="1316"/>
      <c r="O5" s="1316"/>
      <c r="P5" s="1498"/>
      <c r="Q5" s="1499"/>
      <c r="R5" s="358"/>
      <c r="S5" s="1043"/>
      <c r="T5" s="1500"/>
      <c r="U5" s="1385"/>
      <c r="V5" s="2298"/>
      <c r="W5" s="2298"/>
      <c r="X5" s="2298"/>
      <c r="Y5" s="2298"/>
      <c r="Z5" s="2298"/>
      <c r="AA5" s="2298"/>
      <c r="AB5" s="2298"/>
      <c r="AC5" s="2299"/>
      <c r="AD5" s="2297"/>
      <c r="AE5" s="2298"/>
      <c r="AF5" s="2298"/>
      <c r="AG5" s="2298"/>
      <c r="AH5" s="2298"/>
      <c r="AI5" s="2298"/>
      <c r="AJ5" s="2298"/>
      <c r="AK5" s="2298"/>
      <c r="AL5" s="2298"/>
      <c r="AM5" s="2298"/>
      <c r="AN5" s="2298"/>
      <c r="AO5" s="2298"/>
      <c r="AP5" s="2298"/>
      <c r="AQ5" s="2298"/>
      <c r="AR5" s="2298"/>
      <c r="AS5" s="2298"/>
      <c r="AT5" s="2298"/>
      <c r="AU5" s="2298"/>
      <c r="AV5" s="2298"/>
      <c r="AW5" s="2298"/>
      <c r="AX5" s="2298"/>
      <c r="AY5" s="2298"/>
      <c r="AZ5" s="2298"/>
      <c r="BA5" s="2298"/>
      <c r="BB5" s="2299"/>
      <c r="BC5" s="1386" t="s">
        <v>532</v>
      </c>
      <c r="BE5" s="501"/>
      <c r="BF5" s="501" t="str">
        <f>IF(T5="","",T5)</f>
        <v/>
      </c>
      <c r="BG5" s="501"/>
      <c r="BH5" s="501"/>
      <c r="BI5" s="512">
        <v>0</v>
      </c>
    </row>
    <row s="1643" customFormat="1" customHeight="1" ht="14.25" hidden="1">
      <c r="A6" s="1344"/>
      <c r="B6" s="1344"/>
      <c r="C6" s="1344"/>
      <c r="D6" s="1344"/>
      <c r="E6" s="2260"/>
      <c r="F6" s="2260"/>
      <c r="G6" s="2260"/>
      <c r="H6" s="2260"/>
      <c r="I6" s="2257" t="str">
        <f>S5&amp;".1"</f>
        <v>.1</v>
      </c>
      <c r="J6" s="1344"/>
      <c r="K6" s="1344"/>
      <c r="L6" s="1347" t="s">
        <v>533</v>
      </c>
      <c r="M6" s="511"/>
      <c r="N6" s="511"/>
      <c r="O6" s="511"/>
      <c r="P6" s="2258">
        <v>1</v>
      </c>
      <c r="Q6" s="1463"/>
      <c r="R6" s="357"/>
      <c r="S6" s="1043"/>
      <c r="T6" s="1384"/>
      <c r="U6" s="1385"/>
      <c r="V6" s="2298"/>
      <c r="W6" s="2298"/>
      <c r="X6" s="2298"/>
      <c r="Y6" s="2298"/>
      <c r="Z6" s="2298"/>
      <c r="AA6" s="2298"/>
      <c r="AB6" s="2298"/>
      <c r="AC6" s="2299"/>
      <c r="AD6" s="2297"/>
      <c r="AE6" s="2298"/>
      <c r="AF6" s="2298"/>
      <c r="AG6" s="2298"/>
      <c r="AH6" s="2298"/>
      <c r="AI6" s="2298"/>
      <c r="AJ6" s="2298"/>
      <c r="AK6" s="2298"/>
      <c r="AL6" s="2298"/>
      <c r="AM6" s="2298"/>
      <c r="AN6" s="2298"/>
      <c r="AO6" s="2298"/>
      <c r="AP6" s="2298"/>
      <c r="AQ6" s="2298"/>
      <c r="AR6" s="2298"/>
      <c r="AS6" s="2298"/>
      <c r="AT6" s="2298"/>
      <c r="AU6" s="2298"/>
      <c r="AV6" s="2298"/>
      <c r="AW6" s="2298"/>
      <c r="AX6" s="2298"/>
      <c r="AY6" s="2298"/>
      <c r="AZ6" s="2298"/>
      <c r="BA6" s="2298"/>
      <c r="BB6" s="2299"/>
      <c r="BC6" s="1386"/>
      <c r="BE6" s="501"/>
      <c r="BF6" s="501" t="str">
        <f>IF(T6="","",T6)</f>
        <v/>
      </c>
      <c r="BG6" s="501"/>
      <c r="BH6" s="501"/>
      <c r="BI6" s="512">
        <v>0</v>
      </c>
    </row>
    <row s="1643" customFormat="1" customHeight="1" ht="14.25" hidden="1">
      <c r="A7" s="1344"/>
      <c r="B7" s="1344"/>
      <c r="C7" s="1344"/>
      <c r="D7" s="1344"/>
      <c r="E7" s="2260"/>
      <c r="F7" s="2260"/>
      <c r="G7" s="2260"/>
      <c r="H7" s="2260"/>
      <c r="I7" s="2287"/>
      <c r="J7" s="2257" t="str">
        <f>S5&amp;".1"</f>
        <v>.1</v>
      </c>
      <c r="K7" s="1344"/>
      <c r="L7" s="1347"/>
      <c r="M7" s="511"/>
      <c r="N7" s="511"/>
      <c r="O7" s="511"/>
      <c r="P7" s="2258"/>
      <c r="Q7" s="2258">
        <v>1</v>
      </c>
      <c r="R7" s="358"/>
      <c r="S7" s="1043"/>
      <c r="T7" s="1400"/>
      <c r="U7" s="1385"/>
      <c r="V7" s="2298"/>
      <c r="W7" s="2298"/>
      <c r="X7" s="2298"/>
      <c r="Y7" s="2298"/>
      <c r="Z7" s="2298"/>
      <c r="AA7" s="2298"/>
      <c r="AB7" s="2298"/>
      <c r="AC7" s="2299"/>
      <c r="AD7" s="2297"/>
      <c r="AE7" s="2298"/>
      <c r="AF7" s="2298"/>
      <c r="AG7" s="2298"/>
      <c r="AH7" s="2298"/>
      <c r="AI7" s="2298"/>
      <c r="AJ7" s="2298"/>
      <c r="AK7" s="2298"/>
      <c r="AL7" s="2298"/>
      <c r="AM7" s="2298"/>
      <c r="AN7" s="2298"/>
      <c r="AO7" s="2298"/>
      <c r="AP7" s="2298"/>
      <c r="AQ7" s="2298"/>
      <c r="AR7" s="2298"/>
      <c r="AS7" s="2298"/>
      <c r="AT7" s="2298"/>
      <c r="AU7" s="2298"/>
      <c r="AV7" s="2298"/>
      <c r="AW7" s="2298"/>
      <c r="AX7" s="2298"/>
      <c r="AY7" s="2298"/>
      <c r="AZ7" s="2298"/>
      <c r="BA7" s="2298"/>
      <c r="BB7" s="2299"/>
      <c r="BC7" s="1386"/>
      <c r="BE7" s="501"/>
      <c r="BF7" s="501" t="str">
        <f>IF(T7="","",T7)</f>
        <v/>
      </c>
      <c r="BG7" s="501"/>
      <c r="BH7" s="501"/>
      <c r="BI7" s="512">
        <v>0</v>
      </c>
    </row>
    <row customHeight="1" ht="11.25" hidden="1">
      <c r="A8" s="1364"/>
      <c r="B8" s="1364"/>
      <c r="C8" s="1364"/>
      <c r="D8" s="1364"/>
      <c r="E8" s="2260"/>
      <c r="F8" s="2260"/>
      <c r="G8" s="2260"/>
      <c r="H8" s="2260"/>
      <c r="I8" s="2287"/>
      <c r="J8" s="2287"/>
      <c r="K8" s="2257">
        <f>S4&amp;".1"</f>
      </c>
      <c r="L8" s="1365"/>
      <c r="P8" s="2258"/>
      <c r="Q8" s="2258"/>
      <c r="R8" s="2348">
        <v>1</v>
      </c>
      <c r="S8" s="2342">
        <f>$K8</f>
      </c>
      <c r="T8" s="2361"/>
      <c r="U8" s="301"/>
      <c r="V8" s="752"/>
      <c r="W8" s="1258"/>
      <c r="X8" s="752"/>
      <c r="Y8" s="1258"/>
      <c r="Z8" s="1735"/>
      <c r="AA8" s="1460" t="s">
        <v>65</v>
      </c>
      <c r="AB8" s="1735"/>
      <c r="AC8" s="1460" t="s">
        <v>65</v>
      </c>
      <c r="AD8" s="2186" t="s">
        <v>65</v>
      </c>
      <c r="AE8" s="2327"/>
      <c r="AF8" s="2206">
        <v>1</v>
      </c>
      <c r="AG8" s="2364"/>
      <c r="AH8" s="2108" t="s">
        <v>65</v>
      </c>
      <c r="AI8" s="2327"/>
      <c r="AJ8" s="2206">
        <v>1</v>
      </c>
      <c r="AK8" s="2328" t="s">
        <v>28</v>
      </c>
      <c r="AL8" s="2108" t="s">
        <v>65</v>
      </c>
      <c r="AM8" s="2193"/>
      <c r="AN8" s="2206">
        <v>1</v>
      </c>
      <c r="AO8" s="2358"/>
      <c r="AP8" s="2359" t="s">
        <v>65</v>
      </c>
      <c r="AQ8" s="312"/>
      <c r="AR8" s="1464">
        <v>1</v>
      </c>
      <c r="AS8" s="1467" t="s">
        <v>28</v>
      </c>
      <c r="AT8" s="752"/>
      <c r="AU8" s="1258"/>
      <c r="AV8" s="752"/>
      <c r="AW8" s="1258"/>
      <c r="AX8" s="1735"/>
      <c r="AY8" s="1460" t="s">
        <v>65</v>
      </c>
      <c r="AZ8" s="1735"/>
      <c r="BA8" s="1460" t="s">
        <v>65</v>
      </c>
      <c r="BB8" s="1349"/>
      <c r="BC8" s="2254" t="s">
        <v>632</v>
      </c>
      <c r="BE8" s="501"/>
      <c r="BF8" s="501" t="str">
        <f>IF(T8="","",T8)</f>
        <v/>
      </c>
      <c r="BG8" s="501"/>
      <c r="BH8" s="501"/>
      <c r="BI8" s="1156">
        <v>0</v>
      </c>
    </row>
    <row customHeight="1" ht="11.25" hidden="1">
      <c r="A9" s="1364"/>
      <c r="B9" s="1364"/>
      <c r="C9" s="1364"/>
      <c r="D9" s="1364"/>
      <c r="E9" s="2260"/>
      <c r="F9" s="2260"/>
      <c r="G9" s="2260"/>
      <c r="H9" s="2260"/>
      <c r="I9" s="2287"/>
      <c r="J9" s="2287"/>
      <c r="K9" s="2257"/>
      <c r="L9" s="1365"/>
      <c r="P9" s="2258"/>
      <c r="Q9" s="2258"/>
      <c r="R9" s="2348"/>
      <c r="S9" s="2343"/>
      <c r="T9" s="2362"/>
      <c r="U9" s="301"/>
      <c r="V9" s="1394"/>
      <c r="W9" s="1497"/>
      <c r="X9" s="1394"/>
      <c r="Y9" s="1497"/>
      <c r="Z9" s="1394"/>
      <c r="AA9" s="1394"/>
      <c r="AB9" s="1394"/>
      <c r="AC9" s="1394"/>
      <c r="AD9" s="2187"/>
      <c r="AE9" s="2327"/>
      <c r="AF9" s="2206"/>
      <c r="AG9" s="2364"/>
      <c r="AH9" s="2108"/>
      <c r="AI9" s="2327"/>
      <c r="AJ9" s="2206"/>
      <c r="AK9" s="2328"/>
      <c r="AL9" s="2108"/>
      <c r="AM9" s="2201"/>
      <c r="AN9" s="2206"/>
      <c r="AO9" s="2358"/>
      <c r="AP9" s="2360"/>
      <c r="AQ9" s="317"/>
      <c r="AR9" s="417"/>
      <c r="AS9" s="417" t="s">
        <v>633</v>
      </c>
      <c r="AT9" s="1394"/>
      <c r="AU9" s="1497"/>
      <c r="AV9" s="1394"/>
      <c r="AW9" s="1497"/>
      <c r="AX9" s="1394"/>
      <c r="AY9" s="1394"/>
      <c r="AZ9" s="1394"/>
      <c r="BA9" s="1394"/>
      <c r="BB9" s="1398"/>
      <c r="BC9" s="2255"/>
      <c r="BE9" s="501"/>
      <c r="BF9" s="501"/>
      <c r="BG9" s="501"/>
      <c r="BH9" s="501"/>
      <c r="BI9" s="1156">
        <v>0</v>
      </c>
    </row>
    <row customHeight="1" ht="11.25" hidden="1">
      <c r="A10" s="1364"/>
      <c r="B10" s="1364"/>
      <c r="C10" s="1364"/>
      <c r="D10" s="1364"/>
      <c r="E10" s="2260"/>
      <c r="F10" s="2260"/>
      <c r="G10" s="2260"/>
      <c r="H10" s="2260"/>
      <c r="I10" s="2287"/>
      <c r="J10" s="2287"/>
      <c r="K10" s="2257"/>
      <c r="L10" s="1365"/>
      <c r="P10" s="2258"/>
      <c r="Q10" s="2258"/>
      <c r="R10" s="2348"/>
      <c r="S10" s="2343"/>
      <c r="T10" s="2362"/>
      <c r="U10" s="301"/>
      <c r="V10" s="1394"/>
      <c r="W10" s="1497"/>
      <c r="X10" s="1394"/>
      <c r="Y10" s="1497"/>
      <c r="Z10" s="1394"/>
      <c r="AA10" s="1394"/>
      <c r="AB10" s="1394"/>
      <c r="AC10" s="1394"/>
      <c r="AD10" s="2187"/>
      <c r="AE10" s="2327"/>
      <c r="AF10" s="2206"/>
      <c r="AG10" s="2364"/>
      <c r="AH10" s="2108"/>
      <c r="AI10" s="2327"/>
      <c r="AJ10" s="2206"/>
      <c r="AK10" s="2328"/>
      <c r="AL10" s="2108"/>
      <c r="AM10" s="317"/>
      <c r="AN10" s="1501"/>
      <c r="AO10" s="1501" t="s">
        <v>634</v>
      </c>
      <c r="AP10" s="417"/>
      <c r="AQ10" s="417"/>
      <c r="AR10" s="417"/>
      <c r="AS10" s="1394"/>
      <c r="AT10" s="1394"/>
      <c r="AU10" s="1497"/>
      <c r="AV10" s="1394"/>
      <c r="AW10" s="1497"/>
      <c r="AX10" s="1394"/>
      <c r="AY10" s="1394"/>
      <c r="AZ10" s="1394"/>
      <c r="BA10" s="1394"/>
      <c r="BB10" s="1398"/>
      <c r="BC10" s="2255"/>
      <c r="BE10" s="501"/>
      <c r="BF10" s="501"/>
      <c r="BG10" s="501"/>
      <c r="BH10" s="501"/>
      <c r="BI10" s="1156">
        <v>0</v>
      </c>
    </row>
    <row customHeight="1" ht="11.25" hidden="1">
      <c r="A11" s="1364"/>
      <c r="B11" s="1364"/>
      <c r="C11" s="1364"/>
      <c r="D11" s="1364"/>
      <c r="E11" s="2260"/>
      <c r="F11" s="2260"/>
      <c r="G11" s="2260"/>
      <c r="H11" s="2260"/>
      <c r="I11" s="2287"/>
      <c r="J11" s="2287"/>
      <c r="K11" s="2257"/>
      <c r="L11" s="1365"/>
      <c r="P11" s="2258"/>
      <c r="Q11" s="2258"/>
      <c r="R11" s="2348"/>
      <c r="S11" s="2343"/>
      <c r="T11" s="2362"/>
      <c r="U11" s="301"/>
      <c r="V11" s="1394"/>
      <c r="W11" s="1497"/>
      <c r="X11" s="1394"/>
      <c r="Y11" s="1497"/>
      <c r="Z11" s="1394"/>
      <c r="AA11" s="1394"/>
      <c r="AB11" s="1394"/>
      <c r="AC11" s="1394"/>
      <c r="AD11" s="2187"/>
      <c r="AE11" s="2327"/>
      <c r="AF11" s="2206"/>
      <c r="AG11" s="2364"/>
      <c r="AH11" s="2108"/>
      <c r="AI11" s="295"/>
      <c r="AJ11" s="416"/>
      <c r="AK11" s="314" t="s">
        <v>635</v>
      </c>
      <c r="AL11" s="1394"/>
      <c r="AM11" s="1394"/>
      <c r="AN11" s="1394"/>
      <c r="AO11" s="1394"/>
      <c r="AP11" s="1394"/>
      <c r="AQ11" s="1394"/>
      <c r="AR11" s="1394"/>
      <c r="AS11" s="1394"/>
      <c r="AT11" s="1394"/>
      <c r="AU11" s="1497"/>
      <c r="AV11" s="1394"/>
      <c r="AW11" s="1497"/>
      <c r="AX11" s="1394"/>
      <c r="AY11" s="1394"/>
      <c r="AZ11" s="1394"/>
      <c r="BA11" s="1394"/>
      <c r="BB11" s="1398"/>
      <c r="BC11" s="2255"/>
      <c r="BE11" s="501"/>
      <c r="BF11" s="501"/>
      <c r="BG11" s="501"/>
      <c r="BH11" s="501"/>
      <c r="BI11" s="1156">
        <v>0</v>
      </c>
    </row>
    <row customHeight="1" ht="11.25" hidden="1">
      <c r="A12" s="1364"/>
      <c r="B12" s="1364"/>
      <c r="C12" s="1364"/>
      <c r="D12" s="1364"/>
      <c r="E12" s="2260"/>
      <c r="F12" s="2260"/>
      <c r="G12" s="2260"/>
      <c r="H12" s="2260"/>
      <c r="I12" s="2287"/>
      <c r="J12" s="2287"/>
      <c r="K12" s="2257"/>
      <c r="L12" s="1365"/>
      <c r="P12" s="2258"/>
      <c r="Q12" s="2258"/>
      <c r="R12" s="2348"/>
      <c r="S12" s="2344"/>
      <c r="T12" s="2363"/>
      <c r="U12" s="301"/>
      <c r="V12" s="1394"/>
      <c r="W12" s="1395" t="str">
        <f>Z8&amp;"-"&amp;AB8</f>
        <v>-</v>
      </c>
      <c r="X12" s="1394"/>
      <c r="Y12" s="1395" t="str">
        <f>AB8&amp;"-"&amp;AD8</f>
        <v>-да</v>
      </c>
      <c r="Z12" s="1394"/>
      <c r="AA12" s="1394"/>
      <c r="AB12" s="1394"/>
      <c r="AC12" s="1394"/>
      <c r="AD12" s="2113"/>
      <c r="AE12" s="313"/>
      <c r="AF12" s="315"/>
      <c r="AG12" s="417" t="s">
        <v>636</v>
      </c>
      <c r="AH12" s="1394"/>
      <c r="AI12" s="1394"/>
      <c r="AJ12" s="1394"/>
      <c r="AK12" s="1394"/>
      <c r="AL12" s="1394"/>
      <c r="AM12" s="1394"/>
      <c r="AN12" s="1394"/>
      <c r="AO12" s="1394"/>
      <c r="AP12" s="1394"/>
      <c r="AQ12" s="1394"/>
      <c r="AR12" s="1394"/>
      <c r="AS12" s="1394"/>
      <c r="AT12" s="1394"/>
      <c r="AU12" s="1395" t="str">
        <f>AX8&amp;"-"&amp;AZ8</f>
        <v>-</v>
      </c>
      <c r="AV12" s="1394"/>
      <c r="AW12" s="1395" t="str">
        <f>AZ8&amp;"-"&amp;BB8</f>
        <v>-</v>
      </c>
      <c r="AX12" s="1394"/>
      <c r="AY12" s="1394"/>
      <c r="AZ12" s="1394"/>
      <c r="BA12" s="1394"/>
      <c r="BB12" s="1397" t="str">
        <f>BE8&amp;"-"&amp;BG8</f>
        <v>-</v>
      </c>
      <c r="BC12" s="2255"/>
      <c r="BE12" s="501"/>
      <c r="BF12" s="501" t="str">
        <f>IF(T12="","",T12)</f>
        <v/>
      </c>
      <c r="BG12" s="501"/>
      <c r="BH12" s="501"/>
      <c r="BI12" s="1156">
        <v>0</v>
      </c>
    </row>
    <row customHeight="1" ht="11.25" hidden="1">
      <c r="A13" s="1364"/>
      <c r="B13" s="1364"/>
      <c r="C13" s="1364"/>
      <c r="D13" s="1364"/>
      <c r="E13" s="2260"/>
      <c r="F13" s="2260"/>
      <c r="G13" s="2260"/>
      <c r="H13" s="2260"/>
      <c r="I13" s="2287"/>
      <c r="J13" s="2257"/>
      <c r="K13" s="1364"/>
      <c r="L13" s="1365"/>
      <c r="P13" s="2258"/>
      <c r="Q13" s="2258"/>
      <c r="R13" s="357"/>
      <c r="S13" s="1279"/>
      <c r="T13" s="288" t="s">
        <v>599</v>
      </c>
      <c r="U13" s="368"/>
      <c r="V13" s="368"/>
      <c r="W13" s="368"/>
      <c r="X13" s="368"/>
      <c r="Y13" s="368"/>
      <c r="Z13" s="368"/>
      <c r="AA13" s="368"/>
      <c r="AB13" s="368"/>
      <c r="AC13" s="368"/>
      <c r="AD13" s="1506"/>
      <c r="AE13" s="368"/>
      <c r="AF13" s="368"/>
      <c r="AG13" s="368"/>
      <c r="AH13" s="368"/>
      <c r="AI13" s="368"/>
      <c r="AJ13" s="368"/>
      <c r="AK13" s="368"/>
      <c r="AL13" s="368"/>
      <c r="AM13" s="368"/>
      <c r="AN13" s="368"/>
      <c r="AO13" s="368"/>
      <c r="AP13" s="368"/>
      <c r="AQ13" s="368"/>
      <c r="AR13" s="368"/>
      <c r="AS13" s="368"/>
      <c r="AT13" s="368"/>
      <c r="AU13" s="368"/>
      <c r="AV13" s="368"/>
      <c r="AW13" s="368"/>
      <c r="AX13" s="368"/>
      <c r="AY13" s="368"/>
      <c r="AZ13" s="368"/>
      <c r="BA13" s="368"/>
      <c r="BB13" s="325"/>
      <c r="BC13" s="2256"/>
      <c r="BE13" s="501"/>
      <c r="BF13" s="501" t="str">
        <f>IF(T13="","",T13)</f>
        <v>Добавить строку</v>
      </c>
      <c r="BG13" s="501"/>
      <c r="BH13" s="501"/>
      <c r="BI13" s="1156">
        <v>0</v>
      </c>
    </row>
    <row s="1643" customFormat="1" customHeight="1" ht="14.25" hidden="1">
      <c r="A14" s="1344"/>
      <c r="B14" s="1344"/>
      <c r="C14" s="1344"/>
      <c r="D14" s="1344"/>
      <c r="E14" s="2260"/>
      <c r="F14" s="2260"/>
      <c r="G14" s="2260"/>
      <c r="H14" s="2260"/>
      <c r="I14" s="2257"/>
      <c r="J14" s="1344"/>
      <c r="K14" s="1344"/>
      <c r="L14" s="1347"/>
      <c r="M14" s="511"/>
      <c r="N14" s="511"/>
      <c r="O14" s="511"/>
      <c r="P14" s="2258"/>
      <c r="Q14" s="1463"/>
      <c r="R14" s="357"/>
      <c r="S14" s="1387"/>
      <c r="T14" s="1388"/>
      <c r="U14" s="1389"/>
      <c r="V14" s="1389"/>
      <c r="W14" s="1389"/>
      <c r="X14" s="1389"/>
      <c r="Y14" s="1389"/>
      <c r="Z14" s="1389"/>
      <c r="AA14" s="1389"/>
      <c r="AB14" s="1389"/>
      <c r="AC14" s="1389"/>
      <c r="AD14" s="1389"/>
      <c r="AE14" s="1389"/>
      <c r="AF14" s="1389"/>
      <c r="AG14" s="1389"/>
      <c r="AH14" s="1389"/>
      <c r="AI14" s="1389"/>
      <c r="AJ14" s="1389"/>
      <c r="AK14" s="1389"/>
      <c r="AL14" s="1389"/>
      <c r="AM14" s="1389"/>
      <c r="AN14" s="1389"/>
      <c r="AO14" s="1389"/>
      <c r="AP14" s="1389"/>
      <c r="AQ14" s="1389"/>
      <c r="AR14" s="1389"/>
      <c r="AS14" s="1389"/>
      <c r="AT14" s="1389"/>
      <c r="AU14" s="1389"/>
      <c r="AV14" s="1389"/>
      <c r="AW14" s="1389"/>
      <c r="AX14" s="1389"/>
      <c r="AY14" s="1389"/>
      <c r="AZ14" s="1389"/>
      <c r="BA14" s="1389"/>
      <c r="BB14" s="1389"/>
      <c r="BC14" s="1390"/>
      <c r="BE14" s="501"/>
      <c r="BF14" s="501" t="str">
        <f>IF(T14="","",T14)</f>
        <v/>
      </c>
      <c r="BG14" s="501"/>
      <c r="BH14" s="501"/>
      <c r="BI14" s="512">
        <v>0</v>
      </c>
    </row>
    <row s="1643" customFormat="1" customHeight="1" ht="14.25" hidden="1">
      <c r="A15" s="1344"/>
      <c r="B15" s="1344"/>
      <c r="C15" s="1344"/>
      <c r="D15" s="1344"/>
      <c r="E15" s="2260"/>
      <c r="F15" s="2260"/>
      <c r="G15" s="2260"/>
      <c r="H15" s="2259"/>
      <c r="I15" s="1344"/>
      <c r="J15" s="1344"/>
      <c r="K15" s="1344"/>
      <c r="L15" s="1347"/>
      <c r="M15" s="1316"/>
      <c r="N15" s="1316"/>
      <c r="O15" s="519"/>
      <c r="P15" s="381"/>
      <c r="Q15" s="1345"/>
      <c r="R15" s="1402"/>
      <c r="S15" s="1387"/>
      <c r="T15" s="1388"/>
      <c r="U15" s="1389"/>
      <c r="V15" s="1389"/>
      <c r="W15" s="1389"/>
      <c r="X15" s="1389"/>
      <c r="Y15" s="1389"/>
      <c r="Z15" s="1389"/>
      <c r="AA15" s="1389"/>
      <c r="AB15" s="1389"/>
      <c r="AC15" s="1389"/>
      <c r="AD15" s="1389"/>
      <c r="AE15" s="1389"/>
      <c r="AF15" s="1389"/>
      <c r="AG15" s="1389"/>
      <c r="AH15" s="1389"/>
      <c r="AI15" s="1389"/>
      <c r="AJ15" s="1389"/>
      <c r="AK15" s="1389"/>
      <c r="AL15" s="1389"/>
      <c r="AM15" s="1389"/>
      <c r="AN15" s="1389"/>
      <c r="AO15" s="1389"/>
      <c r="AP15" s="1389"/>
      <c r="AQ15" s="1389"/>
      <c r="AR15" s="1389"/>
      <c r="AS15" s="1389"/>
      <c r="AT15" s="1389"/>
      <c r="AU15" s="1389"/>
      <c r="AV15" s="1389"/>
      <c r="AW15" s="1389"/>
      <c r="AX15" s="1389"/>
      <c r="AY15" s="1389"/>
      <c r="AZ15" s="1389"/>
      <c r="BA15" s="1389"/>
      <c r="BB15" s="1389"/>
      <c r="BC15" s="1390"/>
      <c r="BE15" s="501"/>
      <c r="BF15" s="501" t="str">
        <f>IF(T15="","",T15)</f>
        <v/>
      </c>
      <c r="BG15" s="501"/>
      <c r="BH15" s="501"/>
      <c r="BI15" s="512">
        <v>0</v>
      </c>
    </row>
    <row s="1643" customFormat="1" customHeight="1" ht="14.25" hidden="1">
      <c r="A16" s="1344"/>
      <c r="B16" s="1344"/>
      <c r="C16" s="1344"/>
      <c r="D16" s="1315"/>
      <c r="E16" s="2260"/>
      <c r="F16" s="2260"/>
      <c r="G16" s="2259"/>
      <c r="H16" s="1315"/>
      <c r="I16" s="1315"/>
      <c r="J16" s="1315"/>
      <c r="K16" s="1315"/>
      <c r="L16" s="1465"/>
      <c r="M16" s="1316"/>
      <c r="N16" s="1316"/>
      <c r="P16" s="1317"/>
      <c r="Q16" s="1318"/>
      <c r="R16" s="1317"/>
      <c r="S16" s="1323"/>
      <c r="T16" s="1326"/>
      <c r="U16" s="1325"/>
      <c r="V16" s="1325"/>
      <c r="W16" s="1325"/>
      <c r="X16" s="1325"/>
      <c r="Y16" s="1325"/>
      <c r="Z16" s="1325"/>
      <c r="AA16" s="1325"/>
      <c r="AB16" s="1325"/>
      <c r="AC16" s="1325"/>
      <c r="AD16" s="1325"/>
      <c r="AE16" s="1325"/>
      <c r="AF16" s="1325"/>
      <c r="AG16" s="1325"/>
      <c r="AH16" s="1325"/>
      <c r="AI16" s="1325"/>
      <c r="AJ16" s="1325"/>
      <c r="AK16" s="1325"/>
      <c r="AL16" s="1325"/>
      <c r="AM16" s="1325"/>
      <c r="AN16" s="1325"/>
      <c r="AO16" s="1325"/>
      <c r="AP16" s="1325"/>
      <c r="AQ16" s="1325"/>
      <c r="AR16" s="1325"/>
      <c r="AS16" s="1325"/>
      <c r="AT16" s="1325"/>
      <c r="AU16" s="1325"/>
      <c r="AV16" s="1325"/>
      <c r="AW16" s="1325"/>
      <c r="AX16" s="1325"/>
      <c r="AY16" s="1325"/>
      <c r="AZ16" s="1325"/>
      <c r="BA16" s="1325"/>
      <c r="BB16" s="1325"/>
      <c r="BC16" s="1325"/>
      <c r="BE16" s="790"/>
      <c r="BF16" s="790" t="str">
        <f>IF(T16="","",T16)</f>
        <v/>
      </c>
      <c r="BG16" s="790"/>
      <c r="BH16" s="790"/>
      <c r="BI16" s="519">
        <v>0</v>
      </c>
    </row>
    <row s="1643" customFormat="1" customHeight="1" ht="14.25" hidden="1">
      <c r="A17" s="1344"/>
      <c r="B17" s="1344"/>
      <c r="C17" s="1315"/>
      <c r="D17" s="1315"/>
      <c r="E17" s="2260"/>
      <c r="F17" s="2259"/>
      <c r="G17" s="1315"/>
      <c r="H17" s="1315"/>
      <c r="I17" s="1315"/>
      <c r="J17" s="1315"/>
      <c r="K17" s="1315"/>
      <c r="L17" s="1465"/>
      <c r="M17" s="1322"/>
      <c r="N17" s="1322"/>
      <c r="P17" s="1317"/>
      <c r="Q17" s="1318"/>
      <c r="R17" s="1317"/>
      <c r="S17" s="1323"/>
      <c r="T17" s="1326" t="s">
        <v>178</v>
      </c>
      <c r="U17" s="1325"/>
      <c r="V17" s="1325"/>
      <c r="W17" s="1325"/>
      <c r="X17" s="1325"/>
      <c r="Y17" s="1325"/>
      <c r="Z17" s="1325"/>
      <c r="AA17" s="1325"/>
      <c r="AB17" s="1325"/>
      <c r="AC17" s="1325"/>
      <c r="AD17" s="1325"/>
      <c r="AE17" s="1325"/>
      <c r="AF17" s="1325"/>
      <c r="AG17" s="1325"/>
      <c r="AH17" s="1325"/>
      <c r="AI17" s="1325"/>
      <c r="AJ17" s="1325"/>
      <c r="AK17" s="1325"/>
      <c r="AL17" s="1325"/>
      <c r="AM17" s="1325"/>
      <c r="AN17" s="1325"/>
      <c r="AO17" s="1325"/>
      <c r="AP17" s="1325"/>
      <c r="AQ17" s="1325"/>
      <c r="AR17" s="1325"/>
      <c r="AS17" s="1325"/>
      <c r="AT17" s="1325"/>
      <c r="AU17" s="1325"/>
      <c r="AV17" s="1325"/>
      <c r="AW17" s="1325"/>
      <c r="AX17" s="1325"/>
      <c r="AY17" s="1325"/>
      <c r="AZ17" s="1325"/>
      <c r="BA17" s="1325"/>
      <c r="BB17" s="1325"/>
      <c r="BC17" s="1325"/>
      <c r="BE17" s="790"/>
      <c r="BF17" s="790" t="str">
        <f>IF(T17="","",T17)</f>
        <v>Добавить централизованную систему для дифференциации</v>
      </c>
      <c r="BG17" s="790"/>
      <c r="BH17" s="790"/>
      <c r="BI17" s="519">
        <v>0</v>
      </c>
    </row>
    <row s="1643" customFormat="1" customHeight="1" ht="14.25" hidden="1">
      <c r="A18" s="1344"/>
      <c r="B18" s="1344"/>
      <c r="C18" s="1344"/>
      <c r="D18" s="1344"/>
      <c r="E18" s="2259"/>
      <c r="F18" s="1344"/>
      <c r="G18" s="1344"/>
      <c r="H18" s="1344"/>
      <c r="I18" s="1344"/>
      <c r="J18" s="1344"/>
      <c r="K18" s="1344"/>
      <c r="L18" s="1347"/>
      <c r="M18" s="1322"/>
      <c r="N18" s="1322"/>
      <c r="O18" s="519"/>
      <c r="P18" s="381"/>
      <c r="Q18" s="1345"/>
      <c r="R18" s="381"/>
      <c r="S18" s="1323"/>
      <c r="T18" s="1326" t="s">
        <v>183</v>
      </c>
      <c r="U18" s="1325"/>
      <c r="V18" s="1325"/>
      <c r="W18" s="1325"/>
      <c r="X18" s="1325"/>
      <c r="Y18" s="1325"/>
      <c r="Z18" s="1325"/>
      <c r="AA18" s="1325"/>
      <c r="AB18" s="1325"/>
      <c r="AC18" s="1325"/>
      <c r="AD18" s="1325"/>
      <c r="AE18" s="1325"/>
      <c r="AF18" s="1325"/>
      <c r="AG18" s="1325"/>
      <c r="AH18" s="1325"/>
      <c r="AI18" s="1325"/>
      <c r="AJ18" s="1325"/>
      <c r="AK18" s="1325"/>
      <c r="AL18" s="1325"/>
      <c r="AM18" s="1325"/>
      <c r="AN18" s="1325"/>
      <c r="AO18" s="1325"/>
      <c r="AP18" s="1325"/>
      <c r="AQ18" s="1325"/>
      <c r="AR18" s="1325"/>
      <c r="AS18" s="1325"/>
      <c r="AT18" s="1325"/>
      <c r="AU18" s="1325"/>
      <c r="AV18" s="1325"/>
      <c r="AW18" s="1325"/>
      <c r="AX18" s="1325"/>
      <c r="AY18" s="1325"/>
      <c r="AZ18" s="1325"/>
      <c r="BA18" s="1325"/>
      <c r="BB18" s="1325"/>
      <c r="BC18" s="1325"/>
      <c r="BE18" s="501"/>
      <c r="BF18" s="501" t="str">
        <f>IF(T18="","",T18)</f>
        <v>Добавить территорию для дифференциации</v>
      </c>
      <c r="BG18" s="501"/>
      <c r="BH18" s="501"/>
      <c r="BI18" s="512">
        <v>0</v>
      </c>
    </row>
    <row customHeight="1" ht="14.25" hidden="1">
      <c r="AC19" s="328"/>
      <c r="BA19" s="328"/>
      <c r="BI19" s="1156">
        <v>0</v>
      </c>
    </row>
    <row customHeight="1" ht="14.25" hidden="1">
      <c r="AD20" s="1325" t="s">
        <v>19</v>
      </c>
      <c r="AE20" s="1502"/>
      <c r="AF20" s="549">
        <v>1</v>
      </c>
      <c r="AG20" s="1503"/>
      <c r="AH20" s="1325" t="s">
        <v>19</v>
      </c>
      <c r="AI20" s="1502"/>
      <c r="AJ20" s="549">
        <v>1</v>
      </c>
      <c r="AK20" s="1503"/>
      <c r="AL20" s="1325" t="s">
        <v>19</v>
      </c>
      <c r="AM20" s="1504"/>
      <c r="AN20" s="549">
        <v>1</v>
      </c>
      <c r="AO20" s="1505"/>
      <c r="AP20" s="1325" t="s">
        <v>19</v>
      </c>
      <c r="AQ20" s="1504"/>
      <c r="AR20" s="549">
        <v>1</v>
      </c>
      <c r="AS20" s="1505"/>
      <c r="AT20" s="326"/>
      <c r="AU20" s="385"/>
      <c r="AV20" s="326"/>
      <c r="AW20" s="385"/>
      <c r="AX20" s="1737"/>
      <c r="AY20" s="1461" t="s">
        <v>65</v>
      </c>
      <c r="AZ20" s="1737"/>
      <c r="BA20" s="1461" t="s">
        <v>65</v>
      </c>
      <c r="BI20" s="1156">
        <v>0</v>
      </c>
    </row>
    <row customHeight="1" ht="14.25" hidden="1">
      <c r="BD21" s="497"/>
      <c r="BE21" s="497"/>
      <c r="BF21" s="497"/>
      <c r="BG21" s="497"/>
      <c r="BH21" s="497"/>
      <c r="BI21" s="1156">
        <v>0</v>
      </c>
    </row>
    <row customHeight="1" ht="14.25" hidden="1">
      <c r="O22" s="1368" t="s">
        <v>544</v>
      </c>
      <c r="Z22" s="1346"/>
      <c r="AB22" s="1346"/>
      <c r="AC22" s="328"/>
      <c r="AX22" s="1346"/>
      <c r="AZ22" s="1346"/>
      <c r="BA22" s="328"/>
      <c r="BD22" s="497"/>
      <c r="BE22" s="497"/>
      <c r="BF22" s="497"/>
      <c r="BG22" s="497"/>
      <c r="BH22" s="497"/>
      <c r="BI22" s="1156">
        <v>0</v>
      </c>
    </row>
    <row customHeight="1" ht="14.25" hidden="1">
      <c r="AC23" s="328"/>
      <c r="BA23" s="328"/>
      <c r="BD23" s="497"/>
      <c r="BE23" s="497"/>
      <c r="BF23" s="497"/>
      <c r="BG23" s="497"/>
      <c r="BH23" s="497"/>
      <c r="BI23" s="1156">
        <v>0</v>
      </c>
    </row>
    <row s="1510" customFormat="1" customHeight="1" ht="14.25" hidden="1">
      <c r="M24" s="1509"/>
      <c r="N24" s="1509"/>
      <c r="O24" s="1510" t="s">
        <v>545</v>
      </c>
      <c r="P24" s="1509"/>
      <c r="Q24" s="1511"/>
      <c r="R24" s="1511"/>
      <c r="AA24" s="1508" t="s">
        <v>547</v>
      </c>
      <c r="AC24" s="1508" t="s">
        <v>548</v>
      </c>
      <c r="AD24" s="1508" t="s">
        <v>600</v>
      </c>
      <c r="AH24" s="1508" t="s">
        <v>600</v>
      </c>
      <c r="AK24" s="1508" t="s">
        <v>637</v>
      </c>
      <c r="AL24" s="1508" t="s">
        <v>600</v>
      </c>
      <c r="AP24" s="1508" t="s">
        <v>600</v>
      </c>
      <c r="AY24" s="1508" t="s">
        <v>547</v>
      </c>
      <c r="BA24" s="1508" t="s">
        <v>548</v>
      </c>
      <c r="BD24" s="1512"/>
      <c r="BE24" s="1512"/>
      <c r="BF24" s="1512"/>
      <c r="BG24" s="1512"/>
      <c r="BH24" s="1512"/>
      <c r="BI24" s="1508">
        <v>0</v>
      </c>
    </row>
    <row customHeight="1" ht="14.25" hidden="1">
      <c r="O25" s="1365"/>
      <c r="BD25" s="497"/>
      <c r="BE25" s="497"/>
      <c r="BF25" s="497"/>
      <c r="BG25" s="497"/>
      <c r="BH25" s="497"/>
      <c r="BI25" s="1156">
        <v>0</v>
      </c>
    </row>
    <row customHeight="1" ht="14.25" hidden="1">
      <c r="O26" s="1365"/>
      <c r="BD26" s="497"/>
      <c r="BE26" s="497"/>
      <c r="BF26" s="497"/>
      <c r="BG26" s="497"/>
      <c r="BH26" s="497"/>
      <c r="BI26" s="1156">
        <v>0</v>
      </c>
    </row>
    <row customHeight="1" ht="14.699999999999998">
      <c r="Q27" s="292"/>
      <c r="R27" s="377"/>
      <c r="S27" s="1276"/>
      <c r="T27" s="364"/>
      <c r="U27" s="364"/>
      <c r="V27" s="510"/>
      <c r="W27" s="510"/>
      <c r="X27" s="510"/>
      <c r="Y27" s="510"/>
      <c r="Z27" s="510"/>
      <c r="AA27" s="510"/>
      <c r="AB27" s="510"/>
      <c r="AC27" s="510"/>
      <c r="AD27" s="510"/>
      <c r="AE27" s="510"/>
      <c r="AF27" s="510"/>
      <c r="AG27" s="510"/>
      <c r="AH27" s="510"/>
      <c r="AI27" s="510"/>
      <c r="AJ27" s="510"/>
      <c r="AK27" s="510"/>
      <c r="AL27" s="510"/>
      <c r="AM27" s="510"/>
      <c r="AN27" s="510"/>
      <c r="AO27" s="510"/>
      <c r="AP27" s="510"/>
      <c r="AQ27" s="510"/>
      <c r="AR27" s="510"/>
      <c r="AS27" s="510"/>
      <c r="AT27" s="510"/>
      <c r="AU27" s="510"/>
      <c r="AV27" s="510"/>
      <c r="AW27" s="510"/>
      <c r="AX27" s="510"/>
      <c r="AY27" s="510"/>
      <c r="AZ27" s="510"/>
      <c r="BA27" s="510"/>
      <c r="BI27" s="1156">
        <v>14</v>
      </c>
    </row>
    <row customHeight="1" ht="14.699999999999998">
      <c r="Q28" s="292"/>
      <c r="R28" s="377"/>
      <c r="S28" s="2249" t="str">
        <f>IF(TEMPLATE_GROUP="P",PT_P_FORM_COLDVSNA_5_NAME_FORM,PT_R_FORM_COLDVSNA_17_NAME_FORM)</f>
        <v>Форма 3. Информация об установленных тарифах на подключение (технологическое присоединение) к централизованной системе холодного водоснабжения</v>
      </c>
      <c r="T28" s="2249"/>
      <c r="U28" s="2249"/>
      <c r="V28" s="2249"/>
      <c r="W28" s="2249"/>
      <c r="X28" s="2249"/>
      <c r="Y28" s="2249"/>
      <c r="Z28" s="2249"/>
      <c r="AA28" s="2249"/>
      <c r="AB28" s="2249"/>
      <c r="AC28" s="2249"/>
      <c r="AD28" s="2249"/>
      <c r="AE28" s="2249"/>
      <c r="AF28" s="2249"/>
      <c r="AG28" s="2249"/>
      <c r="AH28" s="2249"/>
      <c r="AI28" s="2249"/>
      <c r="AJ28" s="2249"/>
      <c r="AK28" s="2249"/>
      <c r="AL28" s="2249"/>
      <c r="AM28" s="2249"/>
      <c r="AN28" s="2249"/>
      <c r="AO28" s="2249"/>
      <c r="AP28" s="2249"/>
      <c r="AQ28" s="2249"/>
      <c r="AR28" s="2249"/>
      <c r="AS28" s="2249"/>
      <c r="AT28" s="2249"/>
      <c r="AU28" s="2249"/>
      <c r="AV28" s="2249"/>
      <c r="AW28" s="2249"/>
      <c r="AX28" s="2249"/>
      <c r="AY28" s="2249"/>
      <c r="AZ28" s="2249"/>
      <c r="BA28" s="1244"/>
      <c r="BI28" s="1156">
        <v>14</v>
      </c>
    </row>
    <row customHeight="1" ht="14.699999999999998">
      <c r="Q29" s="292"/>
      <c r="R29" s="377"/>
      <c r="S29" s="2250" t="str">
        <f>IF(org=0,"Не определено",org)</f>
        <v>ПАО "ТГК-1" (филиал "Кольский")</v>
      </c>
      <c r="T29" s="2250"/>
      <c r="U29" s="2250"/>
      <c r="V29" s="2250"/>
      <c r="W29" s="2250"/>
      <c r="X29" s="2250"/>
      <c r="Y29" s="2250"/>
      <c r="Z29" s="2250"/>
      <c r="AA29" s="2250"/>
      <c r="AB29" s="2250"/>
      <c r="AC29" s="2250"/>
      <c r="AD29" s="2250"/>
      <c r="AE29" s="2250"/>
      <c r="AF29" s="2250"/>
      <c r="AG29" s="2250"/>
      <c r="AH29" s="2250"/>
      <c r="AI29" s="2250"/>
      <c r="AJ29" s="2250"/>
      <c r="AK29" s="2250"/>
      <c r="AL29" s="2250"/>
      <c r="AM29" s="2250"/>
      <c r="AN29" s="2250"/>
      <c r="AO29" s="2250"/>
      <c r="AP29" s="2250"/>
      <c r="AQ29" s="2250"/>
      <c r="AR29" s="2250"/>
      <c r="AS29" s="2250"/>
      <c r="AT29" s="2250"/>
      <c r="AU29" s="2250"/>
      <c r="AV29" s="2250"/>
      <c r="AW29" s="2250"/>
      <c r="AX29" s="2250"/>
      <c r="AY29" s="2250"/>
      <c r="AZ29" s="2250"/>
      <c r="BA29" s="1244"/>
      <c r="BI29" s="1156">
        <v>14</v>
      </c>
    </row>
    <row customHeight="1" ht="14.25">
      <c r="Q30" s="292"/>
      <c r="R30" s="377"/>
      <c r="S30" s="1276"/>
      <c r="T30" s="364"/>
      <c r="U30" s="364"/>
      <c r="V30" s="323"/>
      <c r="W30" s="323"/>
      <c r="X30" s="323"/>
      <c r="Y30" s="323"/>
      <c r="Z30" s="323"/>
      <c r="AA30" s="323"/>
      <c r="AB30" s="323"/>
      <c r="AC30" s="323"/>
      <c r="AD30" s="323"/>
      <c r="AE30" s="323"/>
      <c r="AF30" s="323"/>
      <c r="AG30" s="323"/>
      <c r="AH30" s="323"/>
      <c r="AI30" s="323"/>
      <c r="AJ30" s="323"/>
      <c r="AK30" s="323"/>
      <c r="AL30" s="323"/>
      <c r="AM30" s="323"/>
      <c r="AN30" s="323"/>
      <c r="AO30" s="323"/>
      <c r="AP30" s="323"/>
      <c r="AQ30" s="323"/>
      <c r="AR30" s="323"/>
      <c r="AS30" s="323"/>
      <c r="AT30" s="323"/>
      <c r="AU30" s="323"/>
      <c r="AV30" s="323"/>
      <c r="AW30" s="323"/>
      <c r="AX30" s="323"/>
      <c r="AY30" s="323"/>
      <c r="AZ30" s="323"/>
      <c r="BA30" s="323"/>
      <c r="BB30" s="510"/>
      <c r="BI30" s="1156">
        <v>0</v>
      </c>
    </row>
    <row s="1854" customFormat="1" customHeight="1" ht="25.5">
      <c r="A31" s="1369"/>
      <c r="B31" s="1369"/>
      <c r="C31" s="1369"/>
      <c r="D31" s="1369"/>
      <c r="E31" s="1369"/>
      <c r="F31" s="1369"/>
      <c r="G31" s="1369"/>
      <c r="H31" s="1369"/>
      <c r="I31" s="1369"/>
      <c r="J31" s="1369"/>
      <c r="K31" s="1369"/>
      <c r="L31" s="1370"/>
      <c r="M31" s="1369"/>
      <c r="N31" s="1369"/>
      <c r="O31" s="1369"/>
      <c r="P31" s="1369"/>
      <c r="Q31" s="1369"/>
      <c r="S31" s="2251" t="s">
        <v>42</v>
      </c>
      <c r="T31" s="2251"/>
      <c r="U31" s="1373"/>
      <c r="V31" s="2252" t="str">
        <f>IF(TITLE_NAME_OR_PR_CHANGE="",IF(TITLE_NAME_OR_PR="","",TITLE_NAME_OR_PR),TITLE_NAME_OR_PR_CHANGE)</f>
        <v>Комитет по тарифному регулированию Мурманской области</v>
      </c>
      <c r="W31" s="2252"/>
      <c r="X31" s="2252"/>
      <c r="Y31" s="2252"/>
      <c r="Z31" s="2252"/>
      <c r="AA31" s="2252"/>
      <c r="AB31" s="2252"/>
      <c r="AC31" s="327"/>
      <c r="AD31" s="2252" t="str">
        <f>IF(TITLE_NAME_OR_PR_CHANGE="",IF(TITLE_NAME_OR_PR="","",TITLE_NAME_OR_PR),TITLE_NAME_OR_PR_CHANGE)</f>
        <v>Комитет по тарифному регулированию Мурманской области</v>
      </c>
      <c r="AE31" s="2252"/>
      <c r="AF31" s="2252"/>
      <c r="AG31" s="2252"/>
      <c r="AH31" s="2252"/>
      <c r="AI31" s="2252"/>
      <c r="AJ31" s="2252"/>
      <c r="AK31" s="2252"/>
      <c r="AL31" s="2252"/>
      <c r="AM31" s="2252"/>
      <c r="AN31" s="2252"/>
      <c r="AO31" s="2252"/>
      <c r="AP31" s="2252"/>
      <c r="AQ31" s="2252"/>
      <c r="AR31" s="2252"/>
      <c r="AS31" s="2252"/>
      <c r="AT31" s="2252"/>
      <c r="AU31" s="2252"/>
      <c r="AV31" s="2252"/>
      <c r="AW31" s="2252"/>
      <c r="AX31" s="2252"/>
      <c r="AY31" s="2252"/>
      <c r="AZ31" s="2252"/>
      <c r="BA31" s="327"/>
      <c r="BB31" s="327"/>
      <c r="BC31" s="281"/>
      <c r="BD31" s="369"/>
      <c r="BE31" s="369"/>
      <c r="BF31" s="369"/>
      <c r="BG31" s="369"/>
      <c r="BH31" s="369"/>
      <c r="BI31" s="419">
        <v>0</v>
      </c>
    </row>
    <row s="1854" customFormat="1" customHeight="1" ht="18.75">
      <c r="A32" s="1369"/>
      <c r="B32" s="1369"/>
      <c r="C32" s="1369"/>
      <c r="D32" s="1369"/>
      <c r="E32" s="1369"/>
      <c r="F32" s="1369"/>
      <c r="G32" s="1369"/>
      <c r="H32" s="1369"/>
      <c r="I32" s="1369"/>
      <c r="J32" s="1369"/>
      <c r="K32" s="1369"/>
      <c r="L32" s="1370"/>
      <c r="M32" s="1369"/>
      <c r="N32" s="1369"/>
      <c r="O32" s="1369"/>
      <c r="P32" s="1369"/>
      <c r="Q32" s="1369"/>
      <c r="S32" s="2251" t="s">
        <v>550</v>
      </c>
      <c r="T32" s="2251"/>
      <c r="U32" s="1373"/>
      <c r="V32" s="2265" t="str">
        <f>IF(TITLE_DATE_PR_CHANGE="",IF(TITLE_DATE_PR="","",TITLE_DATE_PR),TITLE_DATE_PR_CHANGE)</f>
        <v>46010</v>
      </c>
      <c r="W32" s="2265"/>
      <c r="X32" s="2265"/>
      <c r="Y32" s="2265"/>
      <c r="Z32" s="2265"/>
      <c r="AA32" s="2265"/>
      <c r="AB32" s="2265"/>
      <c r="AC32" s="327"/>
      <c r="AD32" s="2265" t="str">
        <f>IF(TITLE_DATE_PR_CHANGE="",IF(TITLE_DATE_PR="","",TITLE_DATE_PR),TITLE_DATE_PR_CHANGE)</f>
        <v>46010</v>
      </c>
      <c r="AE32" s="2265"/>
      <c r="AF32" s="2265"/>
      <c r="AG32" s="2265"/>
      <c r="AH32" s="2265"/>
      <c r="AI32" s="2265"/>
      <c r="AJ32" s="2265"/>
      <c r="AK32" s="2265"/>
      <c r="AL32" s="2265"/>
      <c r="AM32" s="2265"/>
      <c r="AN32" s="2265"/>
      <c r="AO32" s="2265"/>
      <c r="AP32" s="2265"/>
      <c r="AQ32" s="2265"/>
      <c r="AR32" s="2265"/>
      <c r="AS32" s="2265"/>
      <c r="AT32" s="2265"/>
      <c r="AU32" s="2265"/>
      <c r="AV32" s="2265"/>
      <c r="AW32" s="2265"/>
      <c r="AX32" s="2265"/>
      <c r="AY32" s="2265"/>
      <c r="AZ32" s="2265"/>
      <c r="BA32" s="327"/>
      <c r="BB32" s="327"/>
      <c r="BC32" s="281"/>
      <c r="BD32" s="369"/>
      <c r="BE32" s="369"/>
      <c r="BF32" s="369"/>
      <c r="BG32" s="369"/>
      <c r="BH32" s="369"/>
      <c r="BI32" s="419">
        <v>0</v>
      </c>
    </row>
    <row s="1854" customFormat="1" customHeight="1" ht="18.75">
      <c r="A33" s="1369"/>
      <c r="B33" s="1369"/>
      <c r="C33" s="1369"/>
      <c r="D33" s="1369"/>
      <c r="E33" s="1369"/>
      <c r="F33" s="1369"/>
      <c r="G33" s="1369"/>
      <c r="H33" s="1369"/>
      <c r="I33" s="1369"/>
      <c r="J33" s="1369"/>
      <c r="K33" s="1369"/>
      <c r="L33" s="1370"/>
      <c r="M33" s="1369"/>
      <c r="N33" s="1369"/>
      <c r="O33" s="1369"/>
      <c r="P33" s="1369"/>
      <c r="Q33" s="1369"/>
      <c r="S33" s="2251" t="s">
        <v>551</v>
      </c>
      <c r="T33" s="2251"/>
      <c r="U33" s="1373"/>
      <c r="V33" s="2252" t="str">
        <f>IF(TITLE_NUMBER_PR_CHANGE="",IF(TITLE_NUMBER_PR="","",TITLE_NUMBER_PR),TITLE_NUMBER_PR_CHANGE)</f>
        <v>53/77; 53/49</v>
      </c>
      <c r="W33" s="2252"/>
      <c r="X33" s="2252"/>
      <c r="Y33" s="2252"/>
      <c r="Z33" s="2252"/>
      <c r="AA33" s="2252"/>
      <c r="AB33" s="2252"/>
      <c r="AC33" s="327"/>
      <c r="AD33" s="2252" t="str">
        <f>IF(TITLE_NUMBER_PR_CHANGE="",IF(TITLE_NUMBER_PR="","",TITLE_NUMBER_PR),TITLE_NUMBER_PR_CHANGE)</f>
        <v>53/77; 53/49</v>
      </c>
      <c r="AE33" s="2252"/>
      <c r="AF33" s="2252"/>
      <c r="AG33" s="2252"/>
      <c r="AH33" s="2252"/>
      <c r="AI33" s="2252"/>
      <c r="AJ33" s="2252"/>
      <c r="AK33" s="2252"/>
      <c r="AL33" s="2252"/>
      <c r="AM33" s="2252"/>
      <c r="AN33" s="2252"/>
      <c r="AO33" s="2252"/>
      <c r="AP33" s="2252"/>
      <c r="AQ33" s="2252"/>
      <c r="AR33" s="2252"/>
      <c r="AS33" s="2252"/>
      <c r="AT33" s="2252"/>
      <c r="AU33" s="2252"/>
      <c r="AV33" s="2252"/>
      <c r="AW33" s="2252"/>
      <c r="AX33" s="2252"/>
      <c r="AY33" s="2252"/>
      <c r="AZ33" s="2252"/>
      <c r="BA33" s="327"/>
      <c r="BB33" s="327"/>
      <c r="BC33" s="281"/>
      <c r="BD33" s="369"/>
      <c r="BE33" s="369"/>
      <c r="BF33" s="369"/>
      <c r="BG33" s="369"/>
      <c r="BH33" s="369"/>
      <c r="BI33" s="419">
        <v>0</v>
      </c>
    </row>
    <row s="1854" customFormat="1" customHeight="1" ht="18.75">
      <c r="A34" s="1369"/>
      <c r="B34" s="1369"/>
      <c r="C34" s="1369"/>
      <c r="D34" s="1369"/>
      <c r="E34" s="1369"/>
      <c r="F34" s="1369"/>
      <c r="G34" s="1369"/>
      <c r="H34" s="1369"/>
      <c r="I34" s="1369"/>
      <c r="J34" s="1369"/>
      <c r="K34" s="1369"/>
      <c r="L34" s="1370"/>
      <c r="M34" s="1369"/>
      <c r="N34" s="1369"/>
      <c r="O34" s="1369"/>
      <c r="P34" s="1369"/>
      <c r="Q34" s="1369"/>
      <c r="S34" s="2251" t="s">
        <v>44</v>
      </c>
      <c r="T34" s="2251"/>
      <c r="U34" s="1373"/>
      <c r="V34" s="2252" t="str">
        <f>IF(TITLE_IST_PUB_CHANGE="",IF(TITLE_IST_PUB="","",TITLE_IST_PUB),TITLE_IST_PUB_CHANGE)</f>
        <v>Официальный электронный бюллетень Правительства Мурманской области</v>
      </c>
      <c r="W34" s="2252"/>
      <c r="X34" s="2252"/>
      <c r="Y34" s="2252"/>
      <c r="Z34" s="2252"/>
      <c r="AA34" s="2252"/>
      <c r="AB34" s="2252"/>
      <c r="AC34" s="327"/>
      <c r="AD34" s="2252" t="str">
        <f>IF(TITLE_IST_PUB_CHANGE="",IF(TITLE_IST_PUB="","",TITLE_IST_PUB),TITLE_IST_PUB_CHANGE)</f>
        <v>Официальный электронный бюллетень Правительства Мурманской области</v>
      </c>
      <c r="AE34" s="2252"/>
      <c r="AF34" s="2252"/>
      <c r="AG34" s="2252"/>
      <c r="AH34" s="2252"/>
      <c r="AI34" s="2252"/>
      <c r="AJ34" s="2252"/>
      <c r="AK34" s="2252"/>
      <c r="AL34" s="2252"/>
      <c r="AM34" s="2252"/>
      <c r="AN34" s="2252"/>
      <c r="AO34" s="2252"/>
      <c r="AP34" s="2252"/>
      <c r="AQ34" s="2252"/>
      <c r="AR34" s="2252"/>
      <c r="AS34" s="2252"/>
      <c r="AT34" s="2252"/>
      <c r="AU34" s="2252"/>
      <c r="AV34" s="2252"/>
      <c r="AW34" s="2252"/>
      <c r="AX34" s="2252"/>
      <c r="AY34" s="2252"/>
      <c r="AZ34" s="2252"/>
      <c r="BA34" s="327"/>
      <c r="BB34" s="327"/>
      <c r="BC34" s="281"/>
      <c r="BD34" s="369"/>
      <c r="BE34" s="369"/>
      <c r="BF34" s="369"/>
      <c r="BG34" s="369"/>
      <c r="BH34" s="369"/>
      <c r="BI34" s="419">
        <v>0</v>
      </c>
    </row>
    <row customHeight="1" ht="14.25" hidden="1">
      <c r="Q35" s="292"/>
      <c r="R35" s="377"/>
      <c r="S35" s="1276"/>
      <c r="T35" s="364"/>
      <c r="U35" s="364"/>
      <c r="V35" s="323"/>
      <c r="W35" s="323"/>
      <c r="X35" s="323"/>
      <c r="Y35" s="323"/>
      <c r="Z35" s="323"/>
      <c r="AA35" s="323"/>
      <c r="AB35" s="323"/>
      <c r="AC35" s="323"/>
      <c r="AD35" s="323"/>
      <c r="AE35" s="323"/>
      <c r="AF35" s="323"/>
      <c r="AG35" s="323"/>
      <c r="AH35" s="323"/>
      <c r="AI35" s="323"/>
      <c r="AJ35" s="323"/>
      <c r="AK35" s="323"/>
      <c r="AL35" s="323"/>
      <c r="AM35" s="323"/>
      <c r="AN35" s="323"/>
      <c r="AO35" s="323"/>
      <c r="AP35" s="323"/>
      <c r="AQ35" s="323"/>
      <c r="AR35" s="323"/>
      <c r="AS35" s="323"/>
      <c r="AT35" s="323"/>
      <c r="AU35" s="323"/>
      <c r="AV35" s="323"/>
      <c r="AW35" s="323"/>
      <c r="AX35" s="323"/>
      <c r="AY35" s="323"/>
      <c r="AZ35" s="323"/>
      <c r="BA35" s="323"/>
      <c r="BB35" s="510"/>
      <c r="BI35" s="1156">
        <v>0</v>
      </c>
    </row>
    <row s="1854" customFormat="1" customHeight="1" ht="18.75" hidden="1">
      <c r="A36" s="1369"/>
      <c r="B36" s="1369"/>
      <c r="C36" s="1369"/>
      <c r="D36" s="1369"/>
      <c r="E36" s="1369"/>
      <c r="F36" s="1369"/>
      <c r="G36" s="1369"/>
      <c r="H36" s="1369"/>
      <c r="I36" s="1369"/>
      <c r="J36" s="1369"/>
      <c r="K36" s="1369"/>
      <c r="L36" s="1370"/>
      <c r="M36" s="1369"/>
      <c r="N36" s="1369"/>
      <c r="O36" s="1369"/>
      <c r="P36" s="1369"/>
      <c r="Q36" s="1369"/>
      <c r="S36" s="2251" t="s">
        <v>550</v>
      </c>
      <c r="T36" s="2251"/>
      <c r="U36" s="1373"/>
      <c r="V36" s="2265" t="str">
        <f>IF(TITLE_DATE_PR_CHANGE="",IF(TITLE_DATE_PR="","",TITLE_DATE_PR),TITLE_DATE_PR_CHANGE)</f>
        <v>46010</v>
      </c>
      <c r="W36" s="2265"/>
      <c r="X36" s="2265"/>
      <c r="Y36" s="2265"/>
      <c r="Z36" s="2265"/>
      <c r="AA36" s="2265"/>
      <c r="AB36" s="2265"/>
      <c r="AC36" s="327"/>
      <c r="AD36" s="2265" t="str">
        <f>IF(TITLE_DATE_PR_CHANGE="",IF(TITLE_DATE_PR="","",TITLE_DATE_PR),TITLE_DATE_PR_CHANGE)</f>
        <v>46010</v>
      </c>
      <c r="AE36" s="2265"/>
      <c r="AF36" s="2265"/>
      <c r="AG36" s="2265"/>
      <c r="AH36" s="2265"/>
      <c r="AI36" s="2265"/>
      <c r="AJ36" s="2265"/>
      <c r="AK36" s="2265"/>
      <c r="AL36" s="2265"/>
      <c r="AM36" s="2265"/>
      <c r="AN36" s="2265"/>
      <c r="AO36" s="2265"/>
      <c r="AP36" s="2265"/>
      <c r="AQ36" s="2265"/>
      <c r="AR36" s="2265"/>
      <c r="AS36" s="2265"/>
      <c r="AT36" s="2265"/>
      <c r="AU36" s="2265"/>
      <c r="AV36" s="2265"/>
      <c r="AW36" s="2265"/>
      <c r="AX36" s="2265"/>
      <c r="AY36" s="2265"/>
      <c r="AZ36" s="2265"/>
      <c r="BA36" s="327"/>
      <c r="BB36" s="327"/>
      <c r="BC36" s="281"/>
      <c r="BD36" s="369"/>
      <c r="BE36" s="369"/>
      <c r="BF36" s="369"/>
      <c r="BG36" s="369"/>
      <c r="BH36" s="369"/>
      <c r="BI36" s="419">
        <v>0</v>
      </c>
    </row>
    <row s="1854" customFormat="1" customHeight="1" ht="18.75" hidden="1">
      <c r="A37" s="1369"/>
      <c r="B37" s="1369"/>
      <c r="C37" s="1369"/>
      <c r="D37" s="1369"/>
      <c r="E37" s="1369"/>
      <c r="F37" s="1369"/>
      <c r="G37" s="1369"/>
      <c r="H37" s="1369"/>
      <c r="I37" s="1369"/>
      <c r="J37" s="1369"/>
      <c r="K37" s="1369"/>
      <c r="L37" s="1370"/>
      <c r="M37" s="1369"/>
      <c r="N37" s="1369"/>
      <c r="O37" s="1369"/>
      <c r="P37" s="1369"/>
      <c r="Q37" s="1369"/>
      <c r="S37" s="2251" t="s">
        <v>551</v>
      </c>
      <c r="T37" s="2251"/>
      <c r="U37" s="1373"/>
      <c r="V37" s="2252" t="str">
        <f>IF(TITLE_NUMBER_PR_CHANGE="",IF(TITLE_NUMBER_PR="","",TITLE_NUMBER_PR),TITLE_NUMBER_PR_CHANGE)</f>
        <v>53/77; 53/49</v>
      </c>
      <c r="W37" s="2252"/>
      <c r="X37" s="2252"/>
      <c r="Y37" s="2252"/>
      <c r="Z37" s="2252"/>
      <c r="AA37" s="2252"/>
      <c r="AB37" s="2252"/>
      <c r="AC37" s="327"/>
      <c r="AD37" s="2252" t="str">
        <f>IF(TITLE_NUMBER_PR_CHANGE="",IF(TITLE_NUMBER_PR="","",TITLE_NUMBER_PR),TITLE_NUMBER_PR_CHANGE)</f>
        <v>53/77; 53/49</v>
      </c>
      <c r="AE37" s="2252"/>
      <c r="AF37" s="2252"/>
      <c r="AG37" s="2252"/>
      <c r="AH37" s="2252"/>
      <c r="AI37" s="2252"/>
      <c r="AJ37" s="2252"/>
      <c r="AK37" s="2252"/>
      <c r="AL37" s="2252"/>
      <c r="AM37" s="2252"/>
      <c r="AN37" s="2252"/>
      <c r="AO37" s="2252"/>
      <c r="AP37" s="2252"/>
      <c r="AQ37" s="2252"/>
      <c r="AR37" s="2252"/>
      <c r="AS37" s="2252"/>
      <c r="AT37" s="2252"/>
      <c r="AU37" s="2252"/>
      <c r="AV37" s="2252"/>
      <c r="AW37" s="2252"/>
      <c r="AX37" s="2252"/>
      <c r="AY37" s="2252"/>
      <c r="AZ37" s="2252"/>
      <c r="BA37" s="327"/>
      <c r="BB37" s="327"/>
      <c r="BC37" s="281"/>
      <c r="BD37" s="369"/>
      <c r="BE37" s="369"/>
      <c r="BF37" s="369"/>
      <c r="BG37" s="369"/>
      <c r="BH37" s="369"/>
      <c r="BI37" s="419">
        <v>0</v>
      </c>
    </row>
    <row s="1854" customFormat="1" customHeight="1" ht="0">
      <c r="A38" s="1369"/>
      <c r="B38" s="1369"/>
      <c r="C38" s="1369"/>
      <c r="D38" s="1369"/>
      <c r="E38" s="1369"/>
      <c r="F38" s="1369"/>
      <c r="G38" s="1369"/>
      <c r="H38" s="1369"/>
      <c r="I38" s="1369"/>
      <c r="J38" s="1369"/>
      <c r="K38" s="1369"/>
      <c r="L38" s="1370"/>
      <c r="M38" s="1369"/>
      <c r="N38" s="1369"/>
      <c r="O38" s="1369"/>
      <c r="P38" s="1369"/>
      <c r="Q38" s="1369"/>
      <c r="S38" s="324"/>
      <c r="T38" s="324"/>
      <c r="U38" s="1455"/>
      <c r="V38" s="327"/>
      <c r="W38" s="327"/>
      <c r="X38" s="327"/>
      <c r="Y38" s="327"/>
      <c r="Z38" s="327"/>
      <c r="AA38" s="327"/>
      <c r="AB38" s="327"/>
      <c r="AC38" s="279" t="s">
        <v>554</v>
      </c>
      <c r="AD38" s="327"/>
      <c r="AE38" s="327"/>
      <c r="AF38" s="327"/>
      <c r="AG38" s="327"/>
      <c r="AH38" s="327"/>
      <c r="AI38" s="327"/>
      <c r="AJ38" s="327"/>
      <c r="AK38" s="327"/>
      <c r="AL38" s="327"/>
      <c r="AM38" s="327"/>
      <c r="AN38" s="327"/>
      <c r="AO38" s="327"/>
      <c r="AP38" s="327"/>
      <c r="AQ38" s="327"/>
      <c r="AR38" s="327"/>
      <c r="AS38" s="327"/>
      <c r="AT38" s="327"/>
      <c r="AU38" s="327"/>
      <c r="AV38" s="327"/>
      <c r="AW38" s="327"/>
      <c r="AX38" s="327"/>
      <c r="AY38" s="327"/>
      <c r="AZ38" s="327"/>
      <c r="BA38" s="279" t="s">
        <v>554</v>
      </c>
      <c r="BD38" s="369"/>
      <c r="BE38" s="369"/>
      <c r="BF38" s="369"/>
      <c r="BG38" s="369"/>
      <c r="BH38" s="369"/>
      <c r="BI38" s="419">
        <v>0</v>
      </c>
    </row>
    <row customHeight="1" ht="14.699999999999998">
      <c r="Q39" s="292"/>
      <c r="R39" s="377"/>
      <c r="S39" s="1276"/>
      <c r="T39" s="364"/>
      <c r="U39" s="1245"/>
      <c r="V39" s="2253"/>
      <c r="W39" s="2253"/>
      <c r="X39" s="2253"/>
      <c r="Y39" s="2253"/>
      <c r="Z39" s="2253"/>
      <c r="AA39" s="2253"/>
      <c r="AB39" s="2253"/>
      <c r="AC39" s="2253"/>
      <c r="AD39" s="2253"/>
      <c r="AE39" s="2253"/>
      <c r="AF39" s="2253"/>
      <c r="AG39" s="2253"/>
      <c r="AH39" s="2253"/>
      <c r="AI39" s="2253"/>
      <c r="AJ39" s="2253"/>
      <c r="AK39" s="2253"/>
      <c r="AL39" s="2253"/>
      <c r="AM39" s="2253"/>
      <c r="AN39" s="2253"/>
      <c r="AO39" s="2253"/>
      <c r="AP39" s="2253"/>
      <c r="AQ39" s="2253"/>
      <c r="AR39" s="2253"/>
      <c r="AS39" s="2253"/>
      <c r="AT39" s="2253"/>
      <c r="AU39" s="2253"/>
      <c r="AV39" s="2253"/>
      <c r="AW39" s="2253"/>
      <c r="AX39" s="2253"/>
      <c r="AY39" s="2253"/>
      <c r="AZ39" s="2253"/>
      <c r="BA39" s="2253"/>
      <c r="BI39" s="1156">
        <v>14</v>
      </c>
    </row>
    <row customHeight="1" ht="14.699999999999998">
      <c r="Q40" s="292"/>
      <c r="R40" s="377"/>
      <c r="S40" s="2128" t="s">
        <v>430</v>
      </c>
      <c r="T40" s="2128"/>
      <c r="U40" s="2128"/>
      <c r="V40" s="2128"/>
      <c r="W40" s="2128"/>
      <c r="X40" s="2128"/>
      <c r="Y40" s="2128"/>
      <c r="Z40" s="2128"/>
      <c r="AA40" s="2128"/>
      <c r="AB40" s="2128"/>
      <c r="AC40" s="2128"/>
      <c r="AD40" s="2128"/>
      <c r="AE40" s="2128"/>
      <c r="AF40" s="2128"/>
      <c r="AG40" s="2128"/>
      <c r="AH40" s="2128"/>
      <c r="AI40" s="2128"/>
      <c r="AJ40" s="2128"/>
      <c r="AK40" s="2128"/>
      <c r="AL40" s="2128"/>
      <c r="AM40" s="2128"/>
      <c r="AN40" s="2128"/>
      <c r="AO40" s="2128"/>
      <c r="AP40" s="2128"/>
      <c r="AQ40" s="2128"/>
      <c r="AR40" s="2128"/>
      <c r="AS40" s="2128"/>
      <c r="AT40" s="2128"/>
      <c r="AU40" s="2128"/>
      <c r="AV40" s="2128"/>
      <c r="AW40" s="2128"/>
      <c r="AX40" s="2128"/>
      <c r="AY40" s="2128"/>
      <c r="AZ40" s="2128"/>
      <c r="BA40" s="2128"/>
      <c r="BB40" s="2128"/>
      <c r="BC40" s="2128" t="s">
        <v>431</v>
      </c>
      <c r="BI40" s="1156">
        <v>14</v>
      </c>
    </row>
    <row customHeight="1" ht="14.699999999999998">
      <c r="Q41" s="292"/>
      <c r="R41" s="377"/>
      <c r="S41" s="2274" t="s">
        <v>92</v>
      </c>
      <c r="T41" s="2210" t="s">
        <v>638</v>
      </c>
      <c r="U41" s="302"/>
      <c r="V41" s="2275" t="s">
        <v>556</v>
      </c>
      <c r="W41" s="2276"/>
      <c r="X41" s="2276"/>
      <c r="Y41" s="2276"/>
      <c r="Z41" s="2276"/>
      <c r="AA41" s="2276"/>
      <c r="AB41" s="2277"/>
      <c r="AC41" s="2278" t="s">
        <v>557</v>
      </c>
      <c r="AD41" s="2329" t="s">
        <v>639</v>
      </c>
      <c r="AE41" s="2292"/>
      <c r="AF41" s="2292"/>
      <c r="AG41" s="2330"/>
      <c r="AH41" s="2329" t="s">
        <v>640</v>
      </c>
      <c r="AI41" s="2292"/>
      <c r="AJ41" s="2292"/>
      <c r="AK41" s="2330"/>
      <c r="AL41" s="2329" t="s">
        <v>641</v>
      </c>
      <c r="AM41" s="2292"/>
      <c r="AN41" s="2292"/>
      <c r="AO41" s="2330"/>
      <c r="AP41" s="2329" t="s">
        <v>642</v>
      </c>
      <c r="AQ41" s="2292"/>
      <c r="AR41" s="2292"/>
      <c r="AS41" s="2330"/>
      <c r="AT41" s="2275" t="s">
        <v>556</v>
      </c>
      <c r="AU41" s="2276"/>
      <c r="AV41" s="2276"/>
      <c r="AW41" s="2276"/>
      <c r="AX41" s="2276"/>
      <c r="AY41" s="2276"/>
      <c r="AZ41" s="2277"/>
      <c r="BA41" s="2278" t="s">
        <v>557</v>
      </c>
      <c r="BB41" s="2281" t="s">
        <v>559</v>
      </c>
      <c r="BC41" s="2128"/>
      <c r="BI41" s="1156">
        <v>14</v>
      </c>
    </row>
    <row customHeight="1" ht="35.699999999999996">
      <c r="Q42" s="292"/>
      <c r="R42" s="377"/>
      <c r="S42" s="2274"/>
      <c r="T42" s="2210"/>
      <c r="U42" s="1032"/>
      <c r="V42" s="2193" t="s">
        <v>643</v>
      </c>
      <c r="W42" s="2194"/>
      <c r="X42" s="2193" t="s">
        <v>644</v>
      </c>
      <c r="Y42" s="2194"/>
      <c r="Z42" s="2295" t="s">
        <v>645</v>
      </c>
      <c r="AA42" s="2314"/>
      <c r="AB42" s="2315"/>
      <c r="AC42" s="2279"/>
      <c r="AD42" s="2331"/>
      <c r="AE42" s="2332"/>
      <c r="AF42" s="2332"/>
      <c r="AG42" s="2333"/>
      <c r="AH42" s="2331"/>
      <c r="AI42" s="2332"/>
      <c r="AJ42" s="2332"/>
      <c r="AK42" s="2333"/>
      <c r="AL42" s="2331"/>
      <c r="AM42" s="2332"/>
      <c r="AN42" s="2332"/>
      <c r="AO42" s="2333"/>
      <c r="AP42" s="2331"/>
      <c r="AQ42" s="2332"/>
      <c r="AR42" s="2332"/>
      <c r="AS42" s="2333"/>
      <c r="AT42" s="2193" t="s">
        <v>643</v>
      </c>
      <c r="AU42" s="2194"/>
      <c r="AV42" s="2193" t="s">
        <v>644</v>
      </c>
      <c r="AW42" s="2194"/>
      <c r="AX42" s="2295" t="s">
        <v>645</v>
      </c>
      <c r="AY42" s="2314"/>
      <c r="AZ42" s="2315"/>
      <c r="BA42" s="2279"/>
      <c r="BB42" s="2282"/>
      <c r="BC42" s="2128"/>
      <c r="BI42" s="1156">
        <v>34</v>
      </c>
    </row>
    <row customHeight="1" ht="14.699999999999998">
      <c r="Q43" s="292"/>
      <c r="R43" s="377"/>
      <c r="S43" s="2274"/>
      <c r="T43" s="2210"/>
      <c r="U43" s="1032"/>
      <c r="V43" s="2201"/>
      <c r="W43" s="2202"/>
      <c r="X43" s="2201"/>
      <c r="Y43" s="2202"/>
      <c r="Z43" s="2296"/>
      <c r="AA43" s="2316"/>
      <c r="AB43" s="2317"/>
      <c r="AC43" s="2279"/>
      <c r="AD43" s="2331"/>
      <c r="AE43" s="2332"/>
      <c r="AF43" s="2332"/>
      <c r="AG43" s="2333"/>
      <c r="AH43" s="2331"/>
      <c r="AI43" s="2332"/>
      <c r="AJ43" s="2332"/>
      <c r="AK43" s="2333"/>
      <c r="AL43" s="2331"/>
      <c r="AM43" s="2332"/>
      <c r="AN43" s="2332"/>
      <c r="AO43" s="2333"/>
      <c r="AP43" s="2331"/>
      <c r="AQ43" s="2332"/>
      <c r="AR43" s="2332"/>
      <c r="AS43" s="2333"/>
      <c r="AT43" s="2201"/>
      <c r="AU43" s="2202"/>
      <c r="AV43" s="2201"/>
      <c r="AW43" s="2202"/>
      <c r="AX43" s="2296"/>
      <c r="AY43" s="2316"/>
      <c r="AZ43" s="2317"/>
      <c r="BA43" s="2279"/>
      <c r="BB43" s="2282"/>
      <c r="BC43" s="2128"/>
      <c r="BI43" s="1156">
        <v>14</v>
      </c>
    </row>
    <row customHeight="1" ht="14.699999999999998">
      <c r="A44" s="1371"/>
      <c r="B44" s="1371" t="s">
        <v>148</v>
      </c>
      <c r="C44" s="1371" t="s">
        <v>149</v>
      </c>
      <c r="D44" s="1371" t="s">
        <v>150</v>
      </c>
      <c r="E44" s="1365" t="s">
        <v>564</v>
      </c>
      <c r="F44" s="1365" t="s">
        <v>565</v>
      </c>
      <c r="G44" s="1365" t="s">
        <v>566</v>
      </c>
      <c r="H44" s="1365" t="s">
        <v>567</v>
      </c>
      <c r="I44" s="1365" t="s">
        <v>568</v>
      </c>
      <c r="J44" s="1365" t="s">
        <v>569</v>
      </c>
      <c r="K44" s="1365" t="s">
        <v>570</v>
      </c>
      <c r="L44" s="1365" t="s">
        <v>545</v>
      </c>
      <c r="Q44" s="292"/>
      <c r="R44" s="377"/>
      <c r="S44" s="2274"/>
      <c r="T44" s="2210"/>
      <c r="U44" s="303"/>
      <c r="V44" s="1449" t="s">
        <v>609</v>
      </c>
      <c r="W44" s="1449" t="s">
        <v>610</v>
      </c>
      <c r="X44" s="1449" t="s">
        <v>609</v>
      </c>
      <c r="Y44" s="1449" t="s">
        <v>610</v>
      </c>
      <c r="Z44" s="1456" t="s">
        <v>573</v>
      </c>
      <c r="AA44" s="2271" t="s">
        <v>574</v>
      </c>
      <c r="AB44" s="2272"/>
      <c r="AC44" s="2280"/>
      <c r="AD44" s="2334"/>
      <c r="AE44" s="2335"/>
      <c r="AF44" s="2335"/>
      <c r="AG44" s="2336"/>
      <c r="AH44" s="2334"/>
      <c r="AI44" s="2335"/>
      <c r="AJ44" s="2335"/>
      <c r="AK44" s="2336"/>
      <c r="AL44" s="2334"/>
      <c r="AM44" s="2335"/>
      <c r="AN44" s="2335"/>
      <c r="AO44" s="2336"/>
      <c r="AP44" s="2334"/>
      <c r="AQ44" s="2335"/>
      <c r="AR44" s="2335"/>
      <c r="AS44" s="2336"/>
      <c r="AT44" s="1449" t="s">
        <v>609</v>
      </c>
      <c r="AU44" s="1449" t="s">
        <v>610</v>
      </c>
      <c r="AV44" s="1449" t="s">
        <v>609</v>
      </c>
      <c r="AW44" s="1449" t="s">
        <v>610</v>
      </c>
      <c r="AX44" s="1456" t="s">
        <v>573</v>
      </c>
      <c r="AY44" s="2271" t="s">
        <v>574</v>
      </c>
      <c r="AZ44" s="2272"/>
      <c r="BA44" s="2280"/>
      <c r="BB44" s="2283"/>
      <c r="BC44" s="2128"/>
      <c r="BI44" s="1156">
        <v>14</v>
      </c>
    </row>
    <row s="1642" customFormat="1" customHeight="1" ht="11.25" hidden="1">
      <c r="A45" s="1371"/>
      <c r="B45" s="1371"/>
      <c r="C45" s="1371"/>
      <c r="D45" s="1371"/>
      <c r="E45" s="1371"/>
      <c r="F45" s="1371"/>
      <c r="G45" s="1371"/>
      <c r="H45" s="1371"/>
      <c r="I45" s="1371"/>
      <c r="J45" s="1371"/>
      <c r="K45" s="1371"/>
      <c r="L45" s="1365"/>
      <c r="M45" s="1363"/>
      <c r="N45" s="1363"/>
      <c r="O45" s="1363"/>
      <c r="P45" s="511"/>
      <c r="Q45" s="1255"/>
      <c r="R45" s="1255">
        <v>1</v>
      </c>
      <c r="S45" s="1278" t="s">
        <v>123</v>
      </c>
      <c r="T45" s="1256" t="s">
        <v>107</v>
      </c>
      <c r="U45" s="1246" t="str">
        <f>OFFSET(U45,0,-1)</f>
        <v>2</v>
      </c>
      <c r="V45" s="1452">
        <f>OFFSET(V45,0,-1)+1</f>
        <v>3</v>
      </c>
      <c r="W45" s="1452">
        <f>OFFSET(W45,0,-1)+1</f>
        <v>4</v>
      </c>
      <c r="X45" s="1452">
        <f>OFFSET(X45,0,-1)+1</f>
        <v>5</v>
      </c>
      <c r="Y45" s="1452">
        <f>OFFSET(Y45,0,-1)+1</f>
        <v>6</v>
      </c>
      <c r="Z45" s="1452">
        <f>OFFSET(Z45,0,-1)+1</f>
        <v>7</v>
      </c>
      <c r="AA45" s="2273">
        <f>OFFSET(AA45,0,-1)+1</f>
        <v>8</v>
      </c>
      <c r="AB45" s="2273"/>
      <c r="AC45" s="1452">
        <f>OFFSET(AC45,0,-2)+1</f>
        <v>9</v>
      </c>
      <c r="AD45" s="1452">
        <f>OFFSET(AD45,0,-1)+1</f>
        <v>10</v>
      </c>
      <c r="AE45" s="1452"/>
      <c r="AF45" s="1452"/>
      <c r="AG45" s="1452"/>
      <c r="AH45" s="1452"/>
      <c r="AI45" s="1452"/>
      <c r="AJ45" s="1452"/>
      <c r="AK45" s="1452"/>
      <c r="AL45" s="1452"/>
      <c r="AM45" s="1452"/>
      <c r="AN45" s="1452"/>
      <c r="AO45" s="1452"/>
      <c r="AP45" s="1452"/>
      <c r="AQ45" s="1452"/>
      <c r="AR45" s="1452"/>
      <c r="AS45" s="1452"/>
      <c r="AT45" s="1452"/>
      <c r="AU45" s="1452"/>
      <c r="AV45" s="1452"/>
      <c r="AW45" s="1452">
        <f>OFFSET(AW45,0,-1)+1</f>
        <v>1</v>
      </c>
      <c r="AX45" s="1452">
        <f>OFFSET(AX45,0,-1)+1</f>
        <v>2</v>
      </c>
      <c r="AY45" s="2273">
        <f>OFFSET(AY45,0,-1)+1</f>
        <v>3</v>
      </c>
      <c r="AZ45" s="2273"/>
      <c r="BA45" s="1452">
        <f>OFFSET(BA45,0,-2)+1</f>
        <v>4</v>
      </c>
      <c r="BB45" s="1246">
        <f>OFFSET(BB45,0,-1)</f>
        <v>4</v>
      </c>
      <c r="BC45" s="1452">
        <f>OFFSET(BC45,0,-1)+1</f>
        <v>5</v>
      </c>
      <c r="BD45" s="512"/>
      <c r="BE45" s="512"/>
      <c r="BF45" s="512"/>
      <c r="BG45" s="512"/>
      <c r="BH45" s="512"/>
      <c r="BI45" s="497">
        <v>0</v>
      </c>
    </row>
    <row customHeight="1" ht="22.049999999999997">
      <c r="A46" s="1364" t="s">
        <v>376</v>
      </c>
      <c r="B46" s="1364"/>
      <c r="C46" s="1364"/>
      <c r="D46" s="1364"/>
      <c r="E46" s="2259">
        <v>1</v>
      </c>
      <c r="F46" s="1364"/>
      <c r="G46" s="1364"/>
      <c r="H46" s="1364"/>
      <c r="I46" s="1364"/>
      <c r="J46" s="1364"/>
      <c r="K46" s="1364"/>
      <c r="L46" s="1365"/>
      <c r="M46" s="1366"/>
      <c r="N46" s="1366"/>
      <c r="O46" s="1366"/>
      <c r="P46" s="1410"/>
      <c r="Q46" s="874"/>
      <c r="R46" s="356"/>
      <c r="S46" s="1458">
        <f>INDEX(PT_DIFFERENTIATION_NUM_NTAR,MATCH(A46,PT_DIFFERENTIATION_NTAR_ID,0))</f>
        <v>0</v>
      </c>
      <c r="T46" s="299" t="s">
        <v>136</v>
      </c>
      <c r="U46" s="301"/>
      <c r="V46" s="2244"/>
      <c r="W46" s="2244"/>
      <c r="X46" s="2244"/>
      <c r="Y46" s="2244"/>
      <c r="Z46" s="2244"/>
      <c r="AA46" s="2244"/>
      <c r="AB46" s="2244"/>
      <c r="AC46" s="2245"/>
      <c r="AD46" s="2243" t="str">
        <f>INDEX(PT_DIFFERENTIATION_NTAR,MATCH(A46,PT_DIFFERENTIATION_NTAR_ID,0))</f>
        <v/>
      </c>
      <c r="AE46" s="2244"/>
      <c r="AF46" s="2244"/>
      <c r="AG46" s="2244"/>
      <c r="AH46" s="2244"/>
      <c r="AI46" s="2244"/>
      <c r="AJ46" s="2244"/>
      <c r="AK46" s="2244"/>
      <c r="AL46" s="2244"/>
      <c r="AM46" s="2244"/>
      <c r="AN46" s="2244"/>
      <c r="AO46" s="2244"/>
      <c r="AP46" s="2244"/>
      <c r="AQ46" s="2244"/>
      <c r="AR46" s="2244"/>
      <c r="AS46" s="2244"/>
      <c r="AT46" s="2244"/>
      <c r="AU46" s="2244"/>
      <c r="AV46" s="2244"/>
      <c r="AW46" s="2244"/>
      <c r="AX46" s="2244"/>
      <c r="AY46" s="2244"/>
      <c r="AZ46" s="2244"/>
      <c r="BA46" s="2244"/>
      <c r="BB46" s="2245"/>
      <c r="BC46" s="125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BE46" s="501"/>
      <c r="BF46" s="501" t="str">
        <f>IF(T46="","",T46)</f>
        <v>Наименование тарифа</v>
      </c>
      <c r="BG46" s="501"/>
      <c r="BH46" s="501"/>
      <c r="BI46" s="1156">
        <v>21</v>
      </c>
    </row>
    <row customHeight="1" ht="22.049999999999997">
      <c r="A47" s="1364" t="s">
        <v>376</v>
      </c>
      <c r="B47" s="1364" t="s">
        <v>377</v>
      </c>
      <c r="C47" s="1364"/>
      <c r="D47" s="1364"/>
      <c r="E47" s="2260"/>
      <c r="F47" s="2259">
        <v>1</v>
      </c>
      <c r="G47" s="1364"/>
      <c r="H47" s="1364"/>
      <c r="I47" s="1364"/>
      <c r="J47" s="1364"/>
      <c r="K47" s="1364"/>
      <c r="L47" s="1365"/>
      <c r="M47" s="1366"/>
      <c r="N47" s="1366"/>
      <c r="O47" s="1366"/>
      <c r="P47" s="1411"/>
      <c r="Q47" s="1412"/>
      <c r="R47" s="354"/>
      <c r="S47" s="1458" t="str">
        <f>INDEX(PT_DIFFERENTIATION_NUM_TER,MATCH(B47,PT_DIFFERENTIATION_TER_ID,0))</f>
        <v>.</v>
      </c>
      <c r="T47" s="309" t="s">
        <v>527</v>
      </c>
      <c r="U47" s="301"/>
      <c r="V47" s="2244"/>
      <c r="W47" s="2244"/>
      <c r="X47" s="2244"/>
      <c r="Y47" s="2244"/>
      <c r="Z47" s="2244"/>
      <c r="AA47" s="2244"/>
      <c r="AB47" s="2244"/>
      <c r="AC47" s="2245"/>
      <c r="AD47" s="2243" t="str">
        <f>INDEX(PT_DIFFERENTIATION_TER,MATCH(B47,PT_DIFFERENTIATION_TER_ID,0))</f>
        <v/>
      </c>
      <c r="AE47" s="2244"/>
      <c r="AF47" s="2244"/>
      <c r="AG47" s="2244"/>
      <c r="AH47" s="2244"/>
      <c r="AI47" s="2244"/>
      <c r="AJ47" s="2244"/>
      <c r="AK47" s="2244"/>
      <c r="AL47" s="2244"/>
      <c r="AM47" s="2244"/>
      <c r="AN47" s="2244"/>
      <c r="AO47" s="2244"/>
      <c r="AP47" s="2244"/>
      <c r="AQ47" s="2244"/>
      <c r="AR47" s="2244"/>
      <c r="AS47" s="2244"/>
      <c r="AT47" s="2244"/>
      <c r="AU47" s="2244"/>
      <c r="AV47" s="2244"/>
      <c r="AW47" s="2244"/>
      <c r="AX47" s="2244"/>
      <c r="AY47" s="2244"/>
      <c r="AZ47" s="2244"/>
      <c r="BA47" s="2244"/>
      <c r="BB47" s="2245"/>
      <c r="BC47" s="1259" t="s">
        <v>528</v>
      </c>
      <c r="BE47" s="501"/>
      <c r="BF47" s="501" t="str">
        <f>IF(T47="","",T47)</f>
        <v>Территория действия тарифа</v>
      </c>
      <c r="BG47" s="501"/>
      <c r="BH47" s="501"/>
      <c r="BI47" s="1156">
        <v>21</v>
      </c>
    </row>
    <row customHeight="1" ht="43.050000000000004">
      <c r="A48" s="1364" t="s">
        <v>376</v>
      </c>
      <c r="B48" s="1364" t="s">
        <v>377</v>
      </c>
      <c r="C48" s="1364" t="s">
        <v>378</v>
      </c>
      <c r="D48" s="1364"/>
      <c r="E48" s="2260"/>
      <c r="F48" s="2260"/>
      <c r="G48" s="2259">
        <v>1</v>
      </c>
      <c r="H48" s="1364"/>
      <c r="I48" s="1364"/>
      <c r="J48" s="1364"/>
      <c r="K48" s="1364"/>
      <c r="L48" s="1365"/>
      <c r="M48" s="1366"/>
      <c r="N48" s="1366"/>
      <c r="O48" s="1366"/>
      <c r="P48" s="1413"/>
      <c r="Q48" s="1412"/>
      <c r="R48" s="354"/>
      <c r="S48" s="1458" t="str">
        <f>INDEX(PT_DIFFERENTIATION_NUM_CS,MATCH(C48,PT_DIFFERENTIATION_CS_ID,0))</f>
        <v>..</v>
      </c>
      <c r="T48" s="310" t="s">
        <v>612</v>
      </c>
      <c r="U48" s="301"/>
      <c r="V48" s="2244"/>
      <c r="W48" s="2244"/>
      <c r="X48" s="2244"/>
      <c r="Y48" s="2244"/>
      <c r="Z48" s="2244"/>
      <c r="AA48" s="2244"/>
      <c r="AB48" s="2244"/>
      <c r="AC48" s="2245"/>
      <c r="AD48" s="2243" t="str">
        <f>INDEX(PT_DIFFERENTIATION_CS,MATCH(C48,PT_DIFFERENTIATION_CS_ID,0))</f>
        <v/>
      </c>
      <c r="AE48" s="2244"/>
      <c r="AF48" s="2244"/>
      <c r="AG48" s="2244"/>
      <c r="AH48" s="2244"/>
      <c r="AI48" s="2244"/>
      <c r="AJ48" s="2244"/>
      <c r="AK48" s="2244"/>
      <c r="AL48" s="2244"/>
      <c r="AM48" s="2244"/>
      <c r="AN48" s="2244"/>
      <c r="AO48" s="2244"/>
      <c r="AP48" s="2244"/>
      <c r="AQ48" s="2244"/>
      <c r="AR48" s="2244"/>
      <c r="AS48" s="2244"/>
      <c r="AT48" s="2244"/>
      <c r="AU48" s="2244"/>
      <c r="AV48" s="2244"/>
      <c r="AW48" s="2244"/>
      <c r="AX48" s="2244"/>
      <c r="AY48" s="2244"/>
      <c r="AZ48" s="2244"/>
      <c r="BA48" s="2244"/>
      <c r="BB48" s="2245"/>
      <c r="BC48" s="1259" t="s">
        <v>613</v>
      </c>
      <c r="BE48" s="501"/>
      <c r="BF48" s="501" t="str">
        <f>IF(T48="","",T48)</f>
        <v>Наименование централизованной системы холодного водоснабжения</v>
      </c>
      <c r="BG48" s="501"/>
      <c r="BH48" s="501"/>
      <c r="BI48" s="1156">
        <v>41</v>
      </c>
    </row>
    <row s="1643" customFormat="1" customHeight="1" ht="0">
      <c r="A49" s="1344" t="s">
        <v>376</v>
      </c>
      <c r="B49" s="1344" t="s">
        <v>377</v>
      </c>
      <c r="C49" s="1344" t="s">
        <v>378</v>
      </c>
      <c r="D49" s="1344" t="s">
        <v>646</v>
      </c>
      <c r="E49" s="2260"/>
      <c r="F49" s="2260"/>
      <c r="G49" s="2260"/>
      <c r="H49" s="2259">
        <v>1</v>
      </c>
      <c r="I49" s="1344"/>
      <c r="J49" s="1344"/>
      <c r="K49" s="1344"/>
      <c r="L49" s="1347"/>
      <c r="M49" s="1316"/>
      <c r="N49" s="1316"/>
      <c r="O49" s="1316"/>
      <c r="P49" s="1498"/>
      <c r="Q49" s="1499"/>
      <c r="R49" s="358"/>
      <c r="S49" s="1043"/>
      <c r="T49" s="1500"/>
      <c r="U49" s="1385"/>
      <c r="V49" s="2298"/>
      <c r="W49" s="2298"/>
      <c r="X49" s="2298"/>
      <c r="Y49" s="2298"/>
      <c r="Z49" s="2298"/>
      <c r="AA49" s="2298"/>
      <c r="AB49" s="2298"/>
      <c r="AC49" s="2299"/>
      <c r="AD49" s="2297"/>
      <c r="AE49" s="2298"/>
      <c r="AF49" s="2298"/>
      <c r="AG49" s="2298"/>
      <c r="AH49" s="2298"/>
      <c r="AI49" s="2298"/>
      <c r="AJ49" s="2298"/>
      <c r="AK49" s="2298"/>
      <c r="AL49" s="2298"/>
      <c r="AM49" s="2298"/>
      <c r="AN49" s="2298"/>
      <c r="AO49" s="2298"/>
      <c r="AP49" s="2298"/>
      <c r="AQ49" s="2298"/>
      <c r="AR49" s="2298"/>
      <c r="AS49" s="2298"/>
      <c r="AT49" s="2298"/>
      <c r="AU49" s="2298"/>
      <c r="AV49" s="2298"/>
      <c r="AW49" s="2298"/>
      <c r="AX49" s="2298"/>
      <c r="AY49" s="2298"/>
      <c r="AZ49" s="2298"/>
      <c r="BA49" s="2298"/>
      <c r="BB49" s="2299"/>
      <c r="BC49" s="1386" t="s">
        <v>532</v>
      </c>
      <c r="BE49" s="501"/>
      <c r="BF49" s="501" t="str">
        <f>IF(T49="","",T49)</f>
        <v/>
      </c>
      <c r="BG49" s="501"/>
      <c r="BH49" s="501"/>
      <c r="BI49" s="512">
        <v>0</v>
      </c>
    </row>
    <row s="1643" customFormat="1" customHeight="1" ht="0">
      <c r="A50" s="1344" t="s">
        <v>376</v>
      </c>
      <c r="B50" s="1344" t="s">
        <v>377</v>
      </c>
      <c r="C50" s="1344" t="s">
        <v>378</v>
      </c>
      <c r="D50" s="1344" t="s">
        <v>646</v>
      </c>
      <c r="E50" s="2260"/>
      <c r="F50" s="2260"/>
      <c r="G50" s="2260"/>
      <c r="H50" s="2260"/>
      <c r="I50" s="2257" t="str">
        <f>S49&amp;".1"</f>
        <v>.1</v>
      </c>
      <c r="J50" s="1344"/>
      <c r="K50" s="1344"/>
      <c r="L50" s="1347" t="s">
        <v>533</v>
      </c>
      <c r="M50" s="511"/>
      <c r="N50" s="511"/>
      <c r="O50" s="511"/>
      <c r="P50" s="2258">
        <v>1</v>
      </c>
      <c r="Q50" s="1463"/>
      <c r="R50" s="357"/>
      <c r="S50" s="1043"/>
      <c r="T50" s="1384"/>
      <c r="U50" s="1385"/>
      <c r="V50" s="2298"/>
      <c r="W50" s="2298"/>
      <c r="X50" s="2298"/>
      <c r="Y50" s="2298"/>
      <c r="Z50" s="2298"/>
      <c r="AA50" s="2298"/>
      <c r="AB50" s="2298"/>
      <c r="AC50" s="2299"/>
      <c r="AD50" s="2297"/>
      <c r="AE50" s="2298"/>
      <c r="AF50" s="2298"/>
      <c r="AG50" s="2298"/>
      <c r="AH50" s="2298"/>
      <c r="AI50" s="2298"/>
      <c r="AJ50" s="2298"/>
      <c r="AK50" s="2298"/>
      <c r="AL50" s="2298"/>
      <c r="AM50" s="2298"/>
      <c r="AN50" s="2298"/>
      <c r="AO50" s="2298"/>
      <c r="AP50" s="2298"/>
      <c r="AQ50" s="2298"/>
      <c r="AR50" s="2298"/>
      <c r="AS50" s="2298"/>
      <c r="AT50" s="2298"/>
      <c r="AU50" s="2298"/>
      <c r="AV50" s="2298"/>
      <c r="AW50" s="2298"/>
      <c r="AX50" s="2298"/>
      <c r="AY50" s="2298"/>
      <c r="AZ50" s="2298"/>
      <c r="BA50" s="2298"/>
      <c r="BB50" s="2299"/>
      <c r="BC50" s="1386"/>
      <c r="BE50" s="501"/>
      <c r="BF50" s="501" t="str">
        <f>IF(T50="","",T50)</f>
        <v/>
      </c>
      <c r="BG50" s="501"/>
      <c r="BH50" s="501"/>
      <c r="BI50" s="512">
        <v>0</v>
      </c>
    </row>
    <row s="1643" customFormat="1" customHeight="1" ht="0">
      <c r="A51" s="1344" t="s">
        <v>376</v>
      </c>
      <c r="B51" s="1344" t="s">
        <v>377</v>
      </c>
      <c r="C51" s="1344" t="s">
        <v>378</v>
      </c>
      <c r="D51" s="1344" t="s">
        <v>646</v>
      </c>
      <c r="E51" s="2260"/>
      <c r="F51" s="2260"/>
      <c r="G51" s="2260"/>
      <c r="H51" s="2260"/>
      <c r="I51" s="2287"/>
      <c r="J51" s="2257" t="str">
        <f>S49&amp;".1"</f>
        <v>.1</v>
      </c>
      <c r="K51" s="1344"/>
      <c r="L51" s="1347"/>
      <c r="M51" s="511"/>
      <c r="N51" s="511"/>
      <c r="O51" s="511"/>
      <c r="P51" s="2258"/>
      <c r="Q51" s="2258">
        <v>1</v>
      </c>
      <c r="R51" s="358"/>
      <c r="S51" s="1043"/>
      <c r="T51" s="1400"/>
      <c r="U51" s="1385"/>
      <c r="V51" s="2298"/>
      <c r="W51" s="2298"/>
      <c r="X51" s="2298"/>
      <c r="Y51" s="2298"/>
      <c r="Z51" s="2298"/>
      <c r="AA51" s="2298"/>
      <c r="AB51" s="2298"/>
      <c r="AC51" s="2299"/>
      <c r="AD51" s="2297"/>
      <c r="AE51" s="2298"/>
      <c r="AF51" s="2298"/>
      <c r="AG51" s="2298"/>
      <c r="AH51" s="2298"/>
      <c r="AI51" s="2298"/>
      <c r="AJ51" s="2298"/>
      <c r="AK51" s="2298"/>
      <c r="AL51" s="2298"/>
      <c r="AM51" s="2298"/>
      <c r="AN51" s="2365"/>
      <c r="AO51" s="2365"/>
      <c r="AP51" s="2298"/>
      <c r="AQ51" s="2298"/>
      <c r="AR51" s="2298"/>
      <c r="AS51" s="2298"/>
      <c r="AT51" s="2298"/>
      <c r="AU51" s="2298"/>
      <c r="AV51" s="2298"/>
      <c r="AW51" s="2298"/>
      <c r="AX51" s="2298"/>
      <c r="AY51" s="2298"/>
      <c r="AZ51" s="2298"/>
      <c r="BA51" s="2298"/>
      <c r="BB51" s="2299"/>
      <c r="BC51" s="1386"/>
      <c r="BE51" s="501"/>
      <c r="BF51" s="501" t="str">
        <f>IF(T51="","",T51)</f>
        <v/>
      </c>
      <c r="BG51" s="501"/>
      <c r="BH51" s="501"/>
      <c r="BI51" s="512">
        <v>0</v>
      </c>
    </row>
    <row customHeight="1" ht="11.549999999999999">
      <c r="A52" s="1364" t="s">
        <v>376</v>
      </c>
      <c r="B52" s="1364" t="s">
        <v>377</v>
      </c>
      <c r="C52" s="1364" t="s">
        <v>378</v>
      </c>
      <c r="D52" s="1364" t="s">
        <v>646</v>
      </c>
      <c r="E52" s="2260"/>
      <c r="F52" s="2260"/>
      <c r="G52" s="2260"/>
      <c r="H52" s="2260"/>
      <c r="I52" s="2287"/>
      <c r="J52" s="2287"/>
      <c r="K52" s="2257" t="str">
        <f>S48&amp;".1"</f>
        <v>...1</v>
      </c>
      <c r="L52" s="1365"/>
      <c r="P52" s="2258"/>
      <c r="Q52" s="2258"/>
      <c r="R52" s="358">
        <v>1</v>
      </c>
      <c r="S52" s="2342" t="str">
        <f>$K52</f>
        <v>...1</v>
      </c>
      <c r="T52" s="2361"/>
      <c r="U52" s="301"/>
      <c r="V52" s="752"/>
      <c r="W52" s="1258"/>
      <c r="X52" s="752"/>
      <c r="Y52" s="1258"/>
      <c r="Z52" s="1735"/>
      <c r="AA52" s="1460" t="s">
        <v>65</v>
      </c>
      <c r="AB52" s="1735"/>
      <c r="AC52" s="1460" t="s">
        <v>65</v>
      </c>
      <c r="AD52" s="2186" t="s">
        <v>65</v>
      </c>
      <c r="AE52" s="2327"/>
      <c r="AF52" s="2206">
        <v>1</v>
      </c>
      <c r="AG52" s="2364"/>
      <c r="AH52" s="2108" t="s">
        <v>65</v>
      </c>
      <c r="AI52" s="2327"/>
      <c r="AJ52" s="2206">
        <v>1</v>
      </c>
      <c r="AK52" s="2328" t="s">
        <v>28</v>
      </c>
      <c r="AL52" s="2108" t="s">
        <v>65</v>
      </c>
      <c r="AM52" s="2193"/>
      <c r="AN52" s="2206">
        <v>1</v>
      </c>
      <c r="AO52" s="2358"/>
      <c r="AP52" s="2359" t="s">
        <v>65</v>
      </c>
      <c r="AQ52" s="312"/>
      <c r="AR52" s="1464">
        <v>1</v>
      </c>
      <c r="AS52" s="1467" t="s">
        <v>28</v>
      </c>
      <c r="AT52" s="752"/>
      <c r="AU52" s="1258"/>
      <c r="AV52" s="752"/>
      <c r="AW52" s="1258"/>
      <c r="AX52" s="1735"/>
      <c r="AY52" s="1460" t="s">
        <v>65</v>
      </c>
      <c r="AZ52" s="1735"/>
      <c r="BA52" s="1460" t="s">
        <v>65</v>
      </c>
      <c r="BB52" s="1349"/>
      <c r="BC52" s="2254" t="s">
        <v>632</v>
      </c>
      <c r="BE52" s="501"/>
      <c r="BF52" s="501" t="str">
        <f>IF(T52="","",T52)</f>
        <v/>
      </c>
      <c r="BG52" s="501"/>
      <c r="BH52" s="501"/>
      <c r="BI52" s="1156">
        <v>11</v>
      </c>
    </row>
    <row customHeight="1" ht="11.549999999999999">
      <c r="A53" s="1364"/>
      <c r="B53" s="1364"/>
      <c r="C53" s="1364"/>
      <c r="D53" s="1364"/>
      <c r="E53" s="2260"/>
      <c r="F53" s="2260"/>
      <c r="G53" s="2260"/>
      <c r="H53" s="2260"/>
      <c r="I53" s="2287"/>
      <c r="J53" s="2287"/>
      <c r="K53" s="2257"/>
      <c r="L53" s="1365"/>
      <c r="P53" s="2258"/>
      <c r="Q53" s="2258"/>
      <c r="R53" s="358"/>
      <c r="S53" s="2343"/>
      <c r="T53" s="2362"/>
      <c r="U53" s="301"/>
      <c r="V53" s="1394"/>
      <c r="W53" s="1497"/>
      <c r="X53" s="1394"/>
      <c r="Y53" s="1497"/>
      <c r="Z53" s="1394"/>
      <c r="AA53" s="1394"/>
      <c r="AB53" s="1394"/>
      <c r="AC53" s="1394"/>
      <c r="AD53" s="2187"/>
      <c r="AE53" s="2327"/>
      <c r="AF53" s="2206"/>
      <c r="AG53" s="2364"/>
      <c r="AH53" s="2108"/>
      <c r="AI53" s="2327"/>
      <c r="AJ53" s="2206"/>
      <c r="AK53" s="2328"/>
      <c r="AL53" s="2108"/>
      <c r="AM53" s="2201"/>
      <c r="AN53" s="2206"/>
      <c r="AO53" s="2358"/>
      <c r="AP53" s="2360"/>
      <c r="AQ53" s="317"/>
      <c r="AR53" s="417"/>
      <c r="AS53" s="417" t="s">
        <v>633</v>
      </c>
      <c r="AT53" s="1394"/>
      <c r="AU53" s="1497"/>
      <c r="AV53" s="1394"/>
      <c r="AW53" s="1497"/>
      <c r="AX53" s="1394"/>
      <c r="AY53" s="1394"/>
      <c r="AZ53" s="1394"/>
      <c r="BA53" s="1394"/>
      <c r="BB53" s="1398"/>
      <c r="BC53" s="2255"/>
      <c r="BE53" s="501"/>
      <c r="BF53" s="501"/>
      <c r="BG53" s="501"/>
      <c r="BH53" s="501"/>
      <c r="BI53" s="1156">
        <v>11</v>
      </c>
    </row>
    <row customHeight="1" ht="11.549999999999999">
      <c r="A54" s="1364" t="s">
        <v>376</v>
      </c>
      <c r="B54" s="1364"/>
      <c r="C54" s="1364"/>
      <c r="D54" s="1364"/>
      <c r="E54" s="2260"/>
      <c r="F54" s="2260"/>
      <c r="G54" s="2260"/>
      <c r="H54" s="2260"/>
      <c r="I54" s="2287"/>
      <c r="J54" s="2287"/>
      <c r="K54" s="2257"/>
      <c r="L54" s="1365"/>
      <c r="P54" s="2258"/>
      <c r="Q54" s="2258"/>
      <c r="R54" s="358"/>
      <c r="S54" s="2343"/>
      <c r="T54" s="2362"/>
      <c r="U54" s="301"/>
      <c r="V54" s="1394"/>
      <c r="W54" s="1497"/>
      <c r="X54" s="1394"/>
      <c r="Y54" s="1497"/>
      <c r="Z54" s="1394"/>
      <c r="AA54" s="1394"/>
      <c r="AB54" s="1394"/>
      <c r="AC54" s="1394"/>
      <c r="AD54" s="2187"/>
      <c r="AE54" s="2327"/>
      <c r="AF54" s="2206"/>
      <c r="AG54" s="2364"/>
      <c r="AH54" s="2108"/>
      <c r="AI54" s="2327"/>
      <c r="AJ54" s="2206"/>
      <c r="AK54" s="2328"/>
      <c r="AL54" s="2108"/>
      <c r="AM54" s="317"/>
      <c r="AN54" s="1501"/>
      <c r="AO54" s="1501" t="s">
        <v>634</v>
      </c>
      <c r="AP54" s="417"/>
      <c r="AQ54" s="417"/>
      <c r="AR54" s="417"/>
      <c r="AS54" s="1394"/>
      <c r="AT54" s="1394"/>
      <c r="AU54" s="1497"/>
      <c r="AV54" s="1394"/>
      <c r="AW54" s="1497"/>
      <c r="AX54" s="1394"/>
      <c r="AY54" s="1394"/>
      <c r="AZ54" s="1394"/>
      <c r="BA54" s="1394"/>
      <c r="BB54" s="1398"/>
      <c r="BC54" s="2255"/>
      <c r="BE54" s="501"/>
      <c r="BF54" s="501"/>
      <c r="BG54" s="501"/>
      <c r="BH54" s="501"/>
      <c r="BI54" s="1156">
        <v>11</v>
      </c>
    </row>
    <row customHeight="1" ht="11.549999999999999">
      <c r="A55" s="1364" t="s">
        <v>376</v>
      </c>
      <c r="B55" s="1364"/>
      <c r="C55" s="1364"/>
      <c r="D55" s="1364"/>
      <c r="E55" s="2260"/>
      <c r="F55" s="2260"/>
      <c r="G55" s="2260"/>
      <c r="H55" s="2260"/>
      <c r="I55" s="2287"/>
      <c r="J55" s="2287"/>
      <c r="K55" s="2257"/>
      <c r="L55" s="1365"/>
      <c r="P55" s="2258"/>
      <c r="Q55" s="2258"/>
      <c r="R55" s="358"/>
      <c r="S55" s="2343"/>
      <c r="T55" s="2362"/>
      <c r="U55" s="301"/>
      <c r="V55" s="1394"/>
      <c r="W55" s="1497"/>
      <c r="X55" s="1394"/>
      <c r="Y55" s="1497"/>
      <c r="Z55" s="1394"/>
      <c r="AA55" s="1394"/>
      <c r="AB55" s="1394"/>
      <c r="AC55" s="1394"/>
      <c r="AD55" s="2187"/>
      <c r="AE55" s="2327"/>
      <c r="AF55" s="2206"/>
      <c r="AG55" s="2364"/>
      <c r="AH55" s="2108"/>
      <c r="AI55" s="295"/>
      <c r="AJ55" s="416"/>
      <c r="AK55" s="314" t="s">
        <v>635</v>
      </c>
      <c r="AL55" s="1394"/>
      <c r="AM55" s="1394"/>
      <c r="AN55" s="1394"/>
      <c r="AO55" s="1394"/>
      <c r="AP55" s="1394"/>
      <c r="AQ55" s="1394"/>
      <c r="AR55" s="1394"/>
      <c r="AS55" s="1394"/>
      <c r="AT55" s="1394"/>
      <c r="AU55" s="1497"/>
      <c r="AV55" s="1394"/>
      <c r="AW55" s="1497"/>
      <c r="AX55" s="1394"/>
      <c r="AY55" s="1394"/>
      <c r="AZ55" s="1394"/>
      <c r="BA55" s="1394"/>
      <c r="BB55" s="1398"/>
      <c r="BC55" s="2255"/>
      <c r="BE55" s="501"/>
      <c r="BF55" s="501"/>
      <c r="BG55" s="501"/>
      <c r="BH55" s="501"/>
      <c r="BI55" s="1156">
        <v>11</v>
      </c>
    </row>
    <row customHeight="1" ht="11.549999999999999">
      <c r="A56" s="1364" t="s">
        <v>376</v>
      </c>
      <c r="B56" s="1364" t="s">
        <v>377</v>
      </c>
      <c r="C56" s="1364" t="s">
        <v>378</v>
      </c>
      <c r="D56" s="1364" t="s">
        <v>646</v>
      </c>
      <c r="E56" s="2260"/>
      <c r="F56" s="2260"/>
      <c r="G56" s="2260"/>
      <c r="H56" s="2260"/>
      <c r="I56" s="2287"/>
      <c r="J56" s="2287"/>
      <c r="K56" s="2257"/>
      <c r="L56" s="1365"/>
      <c r="P56" s="2258"/>
      <c r="Q56" s="2258"/>
      <c r="R56" s="358"/>
      <c r="S56" s="2344"/>
      <c r="T56" s="2363"/>
      <c r="U56" s="301"/>
      <c r="V56" s="1394"/>
      <c r="W56" s="1395" t="str">
        <f>Z52&amp;"-"&amp;AB52</f>
        <v>-</v>
      </c>
      <c r="X56" s="1394"/>
      <c r="Y56" s="1395" t="str">
        <f>AB52&amp;"-"&amp;AD52</f>
        <v>-да</v>
      </c>
      <c r="Z56" s="1394"/>
      <c r="AA56" s="1394"/>
      <c r="AB56" s="1394"/>
      <c r="AC56" s="1394"/>
      <c r="AD56" s="2113"/>
      <c r="AE56" s="313"/>
      <c r="AF56" s="315"/>
      <c r="AG56" s="417" t="s">
        <v>636</v>
      </c>
      <c r="AH56" s="1394"/>
      <c r="AI56" s="1394"/>
      <c r="AJ56" s="1394"/>
      <c r="AK56" s="1394"/>
      <c r="AL56" s="1394"/>
      <c r="AM56" s="1394"/>
      <c r="AN56" s="1394"/>
      <c r="AO56" s="1394"/>
      <c r="AP56" s="1394"/>
      <c r="AQ56" s="1394"/>
      <c r="AR56" s="1394"/>
      <c r="AS56" s="1394"/>
      <c r="AT56" s="1394"/>
      <c r="AU56" s="1395" t="str">
        <f>AX52&amp;"-"&amp;AZ52</f>
        <v>-</v>
      </c>
      <c r="AV56" s="1394"/>
      <c r="AW56" s="1395" t="str">
        <f>AZ52&amp;"-"&amp;BB52</f>
        <v>-</v>
      </c>
      <c r="AX56" s="1394"/>
      <c r="AY56" s="1394"/>
      <c r="AZ56" s="1394"/>
      <c r="BA56" s="1394"/>
      <c r="BB56" s="1397" t="str">
        <f>BE52&amp;"-"&amp;BG52</f>
        <v>-</v>
      </c>
      <c r="BC56" s="2255"/>
      <c r="BE56" s="501"/>
      <c r="BF56" s="501" t="str">
        <f>IF(T56="","",T56)</f>
        <v/>
      </c>
      <c r="BG56" s="501"/>
      <c r="BH56" s="501"/>
      <c r="BI56" s="1156">
        <v>11</v>
      </c>
    </row>
    <row customHeight="1" ht="11.549999999999999">
      <c r="A57" s="1364" t="s">
        <v>376</v>
      </c>
      <c r="B57" s="1364" t="s">
        <v>377</v>
      </c>
      <c r="C57" s="1364" t="s">
        <v>378</v>
      </c>
      <c r="D57" s="1364" t="s">
        <v>646</v>
      </c>
      <c r="E57" s="2260"/>
      <c r="F57" s="2260"/>
      <c r="G57" s="2260"/>
      <c r="H57" s="2260"/>
      <c r="I57" s="2287"/>
      <c r="J57" s="2257"/>
      <c r="K57" s="1364"/>
      <c r="L57" s="1365"/>
      <c r="P57" s="2258"/>
      <c r="Q57" s="2258"/>
      <c r="R57" s="357"/>
      <c r="S57" s="1279"/>
      <c r="T57" s="288" t="s">
        <v>599</v>
      </c>
      <c r="U57" s="368"/>
      <c r="V57" s="368"/>
      <c r="W57" s="368"/>
      <c r="X57" s="368"/>
      <c r="Y57" s="368"/>
      <c r="Z57" s="368"/>
      <c r="AA57" s="368"/>
      <c r="AB57" s="368"/>
      <c r="AC57" s="325"/>
      <c r="AD57" s="1506"/>
      <c r="AE57" s="368"/>
      <c r="AF57" s="368"/>
      <c r="AG57" s="368"/>
      <c r="AH57" s="368"/>
      <c r="AI57" s="368"/>
      <c r="AJ57" s="368"/>
      <c r="AK57" s="368"/>
      <c r="AL57" s="368"/>
      <c r="AM57" s="368"/>
      <c r="AN57" s="368"/>
      <c r="AO57" s="368"/>
      <c r="AP57" s="368"/>
      <c r="AQ57" s="368"/>
      <c r="AR57" s="368"/>
      <c r="AS57" s="368"/>
      <c r="AT57" s="368"/>
      <c r="AU57" s="368"/>
      <c r="AV57" s="368"/>
      <c r="AW57" s="368"/>
      <c r="AX57" s="368"/>
      <c r="AY57" s="368"/>
      <c r="AZ57" s="368"/>
      <c r="BA57" s="368"/>
      <c r="BB57" s="325"/>
      <c r="BC57" s="2256"/>
      <c r="BE57" s="501"/>
      <c r="BF57" s="501" t="str">
        <f>IF(T57="","",T57)</f>
        <v>Добавить строку</v>
      </c>
      <c r="BG57" s="501"/>
      <c r="BH57" s="501"/>
      <c r="BI57" s="1156">
        <v>11</v>
      </c>
    </row>
    <row s="1643" customFormat="1" customHeight="1" ht="0">
      <c r="A58" s="1344" t="s">
        <v>376</v>
      </c>
      <c r="B58" s="1344" t="s">
        <v>377</v>
      </c>
      <c r="C58" s="1344" t="s">
        <v>378</v>
      </c>
      <c r="D58" s="1344" t="s">
        <v>646</v>
      </c>
      <c r="E58" s="2260"/>
      <c r="F58" s="2260"/>
      <c r="G58" s="2260"/>
      <c r="H58" s="2260"/>
      <c r="I58" s="2257"/>
      <c r="J58" s="1344"/>
      <c r="K58" s="1344"/>
      <c r="L58" s="1347"/>
      <c r="M58" s="511"/>
      <c r="N58" s="511"/>
      <c r="O58" s="511"/>
      <c r="P58" s="2258"/>
      <c r="Q58" s="1463"/>
      <c r="R58" s="357"/>
      <c r="S58" s="1387"/>
      <c r="T58" s="1388"/>
      <c r="U58" s="1389"/>
      <c r="V58" s="1389"/>
      <c r="W58" s="1389"/>
      <c r="X58" s="1389"/>
      <c r="Y58" s="1389"/>
      <c r="Z58" s="1389"/>
      <c r="AA58" s="1389"/>
      <c r="AB58" s="1389"/>
      <c r="AC58" s="1389"/>
      <c r="AD58" s="1389"/>
      <c r="AE58" s="1389"/>
      <c r="AF58" s="1389"/>
      <c r="AG58" s="1389"/>
      <c r="AH58" s="1389"/>
      <c r="AI58" s="1389"/>
      <c r="AJ58" s="1389"/>
      <c r="AK58" s="1389"/>
      <c r="AL58" s="1389"/>
      <c r="AM58" s="1389"/>
      <c r="AN58" s="1389"/>
      <c r="AO58" s="1389"/>
      <c r="AP58" s="1389"/>
      <c r="AQ58" s="1389"/>
      <c r="AR58" s="1389"/>
      <c r="AS58" s="1389"/>
      <c r="AT58" s="1389"/>
      <c r="AU58" s="1389"/>
      <c r="AV58" s="1389"/>
      <c r="AW58" s="1389"/>
      <c r="AX58" s="1389"/>
      <c r="AY58" s="1389"/>
      <c r="AZ58" s="1389"/>
      <c r="BA58" s="1389"/>
      <c r="BB58" s="1389"/>
      <c r="BC58" s="1390"/>
      <c r="BE58" s="501"/>
      <c r="BF58" s="501" t="str">
        <f>IF(T58="","",T58)</f>
        <v/>
      </c>
      <c r="BG58" s="501"/>
      <c r="BH58" s="501"/>
      <c r="BI58" s="512">
        <v>0</v>
      </c>
    </row>
    <row s="1643" customFormat="1" customHeight="1" ht="0">
      <c r="A59" s="1344" t="s">
        <v>376</v>
      </c>
      <c r="B59" s="1344" t="s">
        <v>377</v>
      </c>
      <c r="C59" s="1344" t="s">
        <v>378</v>
      </c>
      <c r="D59" s="1344" t="s">
        <v>646</v>
      </c>
      <c r="E59" s="2260"/>
      <c r="F59" s="2260"/>
      <c r="G59" s="2260"/>
      <c r="H59" s="2259"/>
      <c r="I59" s="1344"/>
      <c r="J59" s="1344"/>
      <c r="K59" s="1344"/>
      <c r="L59" s="1347"/>
      <c r="M59" s="1316"/>
      <c r="N59" s="1316"/>
      <c r="O59" s="519"/>
      <c r="P59" s="381"/>
      <c r="Q59" s="1345"/>
      <c r="R59" s="1402"/>
      <c r="S59" s="1387"/>
      <c r="T59" s="1388"/>
      <c r="U59" s="1389"/>
      <c r="V59" s="1389"/>
      <c r="W59" s="1389"/>
      <c r="X59" s="1389"/>
      <c r="Y59" s="1389"/>
      <c r="Z59" s="1389"/>
      <c r="AA59" s="1389"/>
      <c r="AB59" s="1389"/>
      <c r="AC59" s="1389"/>
      <c r="AD59" s="1389"/>
      <c r="AE59" s="1389"/>
      <c r="AF59" s="1389"/>
      <c r="AG59" s="1389"/>
      <c r="AH59" s="1389"/>
      <c r="AI59" s="1389"/>
      <c r="AJ59" s="1389"/>
      <c r="AK59" s="1389"/>
      <c r="AL59" s="1389"/>
      <c r="AM59" s="1389"/>
      <c r="AN59" s="1389"/>
      <c r="AO59" s="1389"/>
      <c r="AP59" s="1389"/>
      <c r="AQ59" s="1389"/>
      <c r="AR59" s="1389"/>
      <c r="AS59" s="1389"/>
      <c r="AT59" s="1389"/>
      <c r="AU59" s="1389"/>
      <c r="AV59" s="1389"/>
      <c r="AW59" s="1389"/>
      <c r="AX59" s="1389"/>
      <c r="AY59" s="1389"/>
      <c r="AZ59" s="1389"/>
      <c r="BA59" s="1389"/>
      <c r="BB59" s="1389"/>
      <c r="BC59" s="1390"/>
      <c r="BE59" s="501"/>
      <c r="BF59" s="501" t="str">
        <f>IF(T59="","",T59)</f>
        <v/>
      </c>
      <c r="BG59" s="501"/>
      <c r="BH59" s="501"/>
      <c r="BI59" s="512">
        <v>0</v>
      </c>
    </row>
    <row s="1643" customFormat="1" customHeight="1" ht="0">
      <c r="A60" s="1344" t="s">
        <v>376</v>
      </c>
      <c r="B60" s="1344" t="s">
        <v>377</v>
      </c>
      <c r="C60" s="1344" t="s">
        <v>378</v>
      </c>
      <c r="D60" s="1315"/>
      <c r="E60" s="2260"/>
      <c r="F60" s="2260"/>
      <c r="G60" s="2259"/>
      <c r="H60" s="1315"/>
      <c r="I60" s="1315"/>
      <c r="J60" s="1315"/>
      <c r="K60" s="1315"/>
      <c r="L60" s="1465"/>
      <c r="M60" s="1316"/>
      <c r="N60" s="1316"/>
      <c r="P60" s="1317"/>
      <c r="Q60" s="1318"/>
      <c r="R60" s="1317"/>
      <c r="S60" s="1323"/>
      <c r="T60" s="1326"/>
      <c r="U60" s="1325"/>
      <c r="V60" s="1325"/>
      <c r="W60" s="1325"/>
      <c r="X60" s="1325"/>
      <c r="Y60" s="1325"/>
      <c r="Z60" s="1325"/>
      <c r="AA60" s="1325"/>
      <c r="AB60" s="1325"/>
      <c r="AC60" s="1325"/>
      <c r="AD60" s="1325"/>
      <c r="AE60" s="1325"/>
      <c r="AF60" s="1325"/>
      <c r="AG60" s="1325"/>
      <c r="AH60" s="1325"/>
      <c r="AI60" s="1325"/>
      <c r="AJ60" s="1325"/>
      <c r="AK60" s="1325"/>
      <c r="AL60" s="1325"/>
      <c r="AM60" s="1325"/>
      <c r="AN60" s="1325"/>
      <c r="AO60" s="1325"/>
      <c r="AP60" s="1325"/>
      <c r="AQ60" s="1325"/>
      <c r="AR60" s="1325"/>
      <c r="AS60" s="1325"/>
      <c r="AT60" s="1325"/>
      <c r="AU60" s="1325"/>
      <c r="AV60" s="1325"/>
      <c r="AW60" s="1325"/>
      <c r="AX60" s="1325"/>
      <c r="AY60" s="1325"/>
      <c r="AZ60" s="1325"/>
      <c r="BA60" s="1325"/>
      <c r="BB60" s="1325"/>
      <c r="BC60" s="1325"/>
      <c r="BE60" s="790"/>
      <c r="BF60" s="790" t="str">
        <f>IF(T60="","",T60)</f>
        <v/>
      </c>
      <c r="BG60" s="790"/>
      <c r="BH60" s="790"/>
      <c r="BI60" s="519">
        <v>0</v>
      </c>
    </row>
    <row s="1643" customFormat="1" customHeight="1" ht="0">
      <c r="A61" s="1344" t="s">
        <v>376</v>
      </c>
      <c r="B61" s="1344" t="s">
        <v>377</v>
      </c>
      <c r="C61" s="1315"/>
      <c r="D61" s="1315"/>
      <c r="E61" s="2260"/>
      <c r="F61" s="2259"/>
      <c r="G61" s="1315"/>
      <c r="H61" s="1315"/>
      <c r="I61" s="1315"/>
      <c r="J61" s="1315"/>
      <c r="K61" s="1315"/>
      <c r="L61" s="1465"/>
      <c r="M61" s="1322"/>
      <c r="N61" s="1322"/>
      <c r="P61" s="1317"/>
      <c r="Q61" s="1318"/>
      <c r="R61" s="1317"/>
      <c r="S61" s="1323"/>
      <c r="T61" s="1326" t="s">
        <v>178</v>
      </c>
      <c r="U61" s="1325"/>
      <c r="V61" s="1325"/>
      <c r="W61" s="1325"/>
      <c r="X61" s="1325"/>
      <c r="Y61" s="1325"/>
      <c r="Z61" s="1325"/>
      <c r="AA61" s="1325"/>
      <c r="AB61" s="1325"/>
      <c r="AC61" s="1325"/>
      <c r="AD61" s="1325"/>
      <c r="AE61" s="1325"/>
      <c r="AF61" s="1325"/>
      <c r="AG61" s="1325"/>
      <c r="AH61" s="1325"/>
      <c r="AI61" s="1325"/>
      <c r="AJ61" s="1325"/>
      <c r="AK61" s="1325"/>
      <c r="AL61" s="1325"/>
      <c r="AM61" s="1325"/>
      <c r="AN61" s="1325"/>
      <c r="AO61" s="1325"/>
      <c r="AP61" s="1325"/>
      <c r="AQ61" s="1325"/>
      <c r="AR61" s="1325"/>
      <c r="AS61" s="1325"/>
      <c r="AT61" s="1325"/>
      <c r="AU61" s="1325"/>
      <c r="AV61" s="1325"/>
      <c r="AW61" s="1325"/>
      <c r="AX61" s="1325"/>
      <c r="AY61" s="1325"/>
      <c r="AZ61" s="1325"/>
      <c r="BA61" s="1325"/>
      <c r="BB61" s="1325"/>
      <c r="BC61" s="1325"/>
      <c r="BE61" s="790"/>
      <c r="BF61" s="790" t="str">
        <f>IF(T61="","",T61)</f>
        <v>Добавить централизованную систему для дифференциации</v>
      </c>
      <c r="BG61" s="790"/>
      <c r="BH61" s="790"/>
      <c r="BI61" s="519">
        <v>0</v>
      </c>
    </row>
    <row s="1643" customFormat="1" customHeight="1" ht="0">
      <c r="A62" s="1344" t="s">
        <v>376</v>
      </c>
      <c r="B62" s="1344"/>
      <c r="C62" s="1344"/>
      <c r="D62" s="1344"/>
      <c r="E62" s="2259"/>
      <c r="F62" s="1344"/>
      <c r="G62" s="1344"/>
      <c r="H62" s="1344"/>
      <c r="I62" s="1344"/>
      <c r="J62" s="1344"/>
      <c r="K62" s="1344"/>
      <c r="L62" s="1347"/>
      <c r="M62" s="1322"/>
      <c r="N62" s="1322"/>
      <c r="O62" s="519"/>
      <c r="P62" s="381"/>
      <c r="Q62" s="1345"/>
      <c r="R62" s="381"/>
      <c r="S62" s="1323"/>
      <c r="T62" s="1326" t="s">
        <v>183</v>
      </c>
      <c r="U62" s="1325"/>
      <c r="V62" s="1325"/>
      <c r="W62" s="1325"/>
      <c r="X62" s="1325"/>
      <c r="Y62" s="1325"/>
      <c r="Z62" s="1325"/>
      <c r="AA62" s="1325"/>
      <c r="AB62" s="1325"/>
      <c r="AC62" s="1325"/>
      <c r="AD62" s="1325"/>
      <c r="AE62" s="1325"/>
      <c r="AF62" s="1325"/>
      <c r="AG62" s="1325"/>
      <c r="AH62" s="1325"/>
      <c r="AI62" s="1325"/>
      <c r="AJ62" s="1325"/>
      <c r="AK62" s="1325"/>
      <c r="AL62" s="1325"/>
      <c r="AM62" s="1325"/>
      <c r="AN62" s="1325"/>
      <c r="AO62" s="1325"/>
      <c r="AP62" s="1325"/>
      <c r="AQ62" s="1325"/>
      <c r="AR62" s="1325"/>
      <c r="AS62" s="1325"/>
      <c r="AT62" s="1325"/>
      <c r="AU62" s="1325"/>
      <c r="AV62" s="1325"/>
      <c r="AW62" s="1325"/>
      <c r="AX62" s="1325"/>
      <c r="AY62" s="1325"/>
      <c r="AZ62" s="1325"/>
      <c r="BA62" s="1325"/>
      <c r="BB62" s="1325"/>
      <c r="BC62" s="1325"/>
      <c r="BE62" s="501"/>
      <c r="BF62" s="501" t="str">
        <f>IF(T62="","",T62)</f>
        <v>Добавить территорию для дифференциации</v>
      </c>
      <c r="BG62" s="501"/>
      <c r="BH62" s="501"/>
      <c r="BI62" s="512">
        <v>0</v>
      </c>
    </row>
    <row s="1643" customFormat="1" customHeight="1" ht="0">
      <c r="A63" s="1315"/>
      <c r="B63" s="1315"/>
      <c r="C63" s="1315"/>
      <c r="D63" s="1315"/>
      <c r="E63" s="1344"/>
      <c r="F63" s="1315"/>
      <c r="G63" s="1315"/>
      <c r="H63" s="1315"/>
      <c r="I63" s="1315"/>
      <c r="J63" s="1315"/>
      <c r="K63" s="1315"/>
      <c r="L63" s="1465"/>
      <c r="M63" s="1322"/>
      <c r="N63" s="1322"/>
      <c r="P63" s="1317"/>
      <c r="Q63" s="1318"/>
      <c r="R63" s="1317"/>
      <c r="S63" s="1323"/>
      <c r="T63" s="1326" t="s">
        <v>222</v>
      </c>
      <c r="U63" s="1325"/>
      <c r="V63" s="1325"/>
      <c r="W63" s="1325"/>
      <c r="X63" s="1325"/>
      <c r="Y63" s="1325"/>
      <c r="Z63" s="1325"/>
      <c r="AA63" s="1325"/>
      <c r="AB63" s="1325"/>
      <c r="AC63" s="1325"/>
      <c r="AD63" s="1325"/>
      <c r="AE63" s="1325"/>
      <c r="AF63" s="1325"/>
      <c r="AG63" s="1325"/>
      <c r="AH63" s="1325"/>
      <c r="AI63" s="1325"/>
      <c r="AJ63" s="1325"/>
      <c r="AK63" s="1325"/>
      <c r="AL63" s="1325"/>
      <c r="AM63" s="1325"/>
      <c r="AN63" s="1325"/>
      <c r="AO63" s="1325"/>
      <c r="AP63" s="1325"/>
      <c r="AQ63" s="1325"/>
      <c r="AR63" s="1325"/>
      <c r="AS63" s="1325"/>
      <c r="AT63" s="1325"/>
      <c r="AU63" s="1325"/>
      <c r="AV63" s="1325"/>
      <c r="AW63" s="1325"/>
      <c r="AX63" s="1325"/>
      <c r="AY63" s="1325"/>
      <c r="AZ63" s="1325"/>
      <c r="BA63" s="1325"/>
      <c r="BB63" s="1325"/>
      <c r="BC63" s="1325"/>
      <c r="BE63" s="790"/>
      <c r="BF63" s="790" t="str">
        <f>IF(T63="","",T63)</f>
        <v>Добавить наименование тарифа</v>
      </c>
      <c r="BG63" s="790"/>
      <c r="BH63" s="790"/>
      <c r="BI63" s="519">
        <v>0</v>
      </c>
    </row>
    <row customHeight="1" ht="11.549999999999999">
      <c r="M64" s="1161"/>
      <c r="N64" s="1161"/>
      <c r="O64" s="538"/>
      <c r="P64" s="1161"/>
      <c r="Q64" s="1161"/>
      <c r="R64" s="1156"/>
      <c r="S64" s="1156"/>
      <c r="BD64" s="1156"/>
      <c r="BE64" s="1156"/>
      <c r="BF64" s="1156"/>
      <c r="BG64" s="1156"/>
      <c r="BH64" s="1156"/>
      <c r="BI64" s="1156">
        <v>11</v>
      </c>
    </row>
    <row customHeight="1" ht="19.95">
      <c r="O65" s="538"/>
      <c r="S65" s="1254"/>
      <c r="T65" s="2286"/>
      <c r="U65" s="2286"/>
      <c r="V65" s="2286"/>
      <c r="W65" s="2286"/>
      <c r="X65" s="2286"/>
      <c r="Y65" s="2286"/>
      <c r="Z65" s="2286"/>
      <c r="AA65" s="2286"/>
      <c r="AB65" s="2286"/>
      <c r="AC65" s="2286"/>
      <c r="AD65" s="2286"/>
      <c r="AE65" s="2286"/>
      <c r="AF65" s="2286"/>
      <c r="AG65" s="2286"/>
      <c r="AH65" s="2286"/>
      <c r="AI65" s="2286"/>
      <c r="AJ65" s="2286"/>
      <c r="AK65" s="2286"/>
      <c r="AL65" s="2286"/>
      <c r="AM65" s="2286"/>
      <c r="AN65" s="2286"/>
      <c r="AO65" s="2286"/>
      <c r="AP65" s="2286"/>
      <c r="AQ65" s="2286"/>
      <c r="AR65" s="2286"/>
      <c r="AS65" s="2286"/>
      <c r="AT65" s="2286"/>
      <c r="AU65" s="2286"/>
      <c r="AV65" s="2286"/>
      <c r="AW65" s="2286"/>
      <c r="AX65" s="2286"/>
      <c r="AY65" s="2286"/>
      <c r="AZ65" s="2286"/>
      <c r="BA65" s="2286"/>
      <c r="BB65" s="2286"/>
      <c r="BC65" s="2286"/>
      <c r="BI65" s="1156">
        <v>19</v>
      </c>
    </row>
    <row customHeight="1" ht="14.699999999999998">
      <c r="O66" s="538"/>
      <c r="T66" s="1450"/>
      <c r="U66" s="1450"/>
      <c r="V66" s="1450"/>
      <c r="W66" s="1450"/>
      <c r="X66" s="1450"/>
      <c r="Y66" s="1450"/>
      <c r="Z66" s="1450"/>
      <c r="AA66" s="1450"/>
      <c r="AB66" s="1450"/>
      <c r="AC66" s="1450"/>
      <c r="AD66" s="1450"/>
      <c r="AE66" s="1450"/>
      <c r="AF66" s="1450"/>
      <c r="AG66" s="1450"/>
      <c r="AH66" s="1450"/>
      <c r="AI66" s="1450"/>
      <c r="AJ66" s="1450"/>
      <c r="AK66" s="1450"/>
      <c r="AL66" s="1450"/>
      <c r="AM66" s="1450"/>
      <c r="AN66" s="1450"/>
      <c r="AO66" s="1450"/>
      <c r="AP66" s="1450"/>
      <c r="AQ66" s="1450"/>
      <c r="AR66" s="1450"/>
      <c r="AS66" s="1450"/>
      <c r="AT66" s="1450"/>
      <c r="AU66" s="1450"/>
      <c r="AV66" s="1450"/>
      <c r="AW66" s="1450"/>
      <c r="AX66" s="1450"/>
      <c r="AY66" s="1450"/>
      <c r="AZ66" s="1450"/>
      <c r="BA66" s="1450"/>
      <c r="BB66" s="1450"/>
      <c r="BC66" s="1450"/>
      <c r="BI66" s="1156">
        <v>14</v>
      </c>
    </row>
    <row customHeight="1" ht="19.95">
      <c r="O67" s="538"/>
      <c r="S67" s="1254"/>
      <c r="T67" s="2286"/>
      <c r="U67" s="2286"/>
      <c r="V67" s="2286"/>
      <c r="W67" s="2286"/>
      <c r="X67" s="2286"/>
      <c r="Y67" s="2286"/>
      <c r="Z67" s="2286"/>
      <c r="AA67" s="2286"/>
      <c r="AB67" s="2286"/>
      <c r="AC67" s="2286"/>
      <c r="AD67" s="2286"/>
      <c r="AE67" s="2286"/>
      <c r="AF67" s="2286"/>
      <c r="AG67" s="2286"/>
      <c r="AH67" s="2286"/>
      <c r="AI67" s="2286"/>
      <c r="AJ67" s="2286"/>
      <c r="AK67" s="2286"/>
      <c r="AL67" s="2286"/>
      <c r="AM67" s="2286"/>
      <c r="AN67" s="2286"/>
      <c r="AO67" s="2286"/>
      <c r="AP67" s="2286"/>
      <c r="AQ67" s="2286"/>
      <c r="AR67" s="2286"/>
      <c r="AS67" s="2286"/>
      <c r="AT67" s="2286"/>
      <c r="AU67" s="2286"/>
      <c r="AV67" s="2286"/>
      <c r="AW67" s="2286"/>
      <c r="AX67" s="2286"/>
      <c r="AY67" s="2286"/>
      <c r="AZ67" s="2286"/>
      <c r="BA67" s="2286"/>
      <c r="BB67" s="2286"/>
      <c r="BC67" s="2286"/>
      <c r="BI67" s="1156">
        <v>19</v>
      </c>
    </row>
    <row customHeight="1" ht="14.699999999999998">
      <c r="O68" s="538"/>
      <c r="BI68" s="1156">
        <v>14</v>
      </c>
    </row>
    <row customHeight="1" ht="14.25" hidden="1">
      <c r="A69" s="1161" t="s">
        <v>86</v>
      </c>
      <c r="B69" s="1161">
        <v>0</v>
      </c>
      <c r="C69" s="1161">
        <v>0</v>
      </c>
      <c r="D69" s="1161">
        <v>0</v>
      </c>
      <c r="E69" s="1161">
        <v>0</v>
      </c>
      <c r="F69" s="1161">
        <v>0</v>
      </c>
      <c r="G69" s="1161">
        <v>0</v>
      </c>
      <c r="H69" s="1161">
        <v>0</v>
      </c>
      <c r="I69" s="1161">
        <v>0</v>
      </c>
      <c r="J69" s="1161">
        <v>0</v>
      </c>
      <c r="K69" s="1161">
        <v>0</v>
      </c>
      <c r="L69" s="1462">
        <v>0</v>
      </c>
      <c r="M69" s="1363">
        <v>0</v>
      </c>
      <c r="N69" s="1363">
        <v>0</v>
      </c>
      <c r="O69" s="1363">
        <v>0</v>
      </c>
      <c r="P69" s="1363">
        <v>0</v>
      </c>
      <c r="Q69" s="1372">
        <v>0</v>
      </c>
      <c r="R69" s="345">
        <v>3</v>
      </c>
      <c r="S69" s="582">
        <v>12</v>
      </c>
      <c r="T69" s="1156">
        <v>31</v>
      </c>
      <c r="U69" s="1156">
        <v>0</v>
      </c>
      <c r="V69" s="1156">
        <v>0</v>
      </c>
      <c r="W69" s="1156">
        <v>0</v>
      </c>
      <c r="X69" s="1156">
        <v>0</v>
      </c>
      <c r="Y69" s="1156">
        <v>0</v>
      </c>
      <c r="Z69" s="1156">
        <v>0</v>
      </c>
      <c r="AA69" s="1156">
        <v>0</v>
      </c>
      <c r="AB69" s="1156">
        <v>0</v>
      </c>
      <c r="AC69" s="1156">
        <v>0</v>
      </c>
      <c r="AD69" s="1156">
        <v>3</v>
      </c>
      <c r="AE69" s="1156">
        <v>3</v>
      </c>
      <c r="AF69" s="1156">
        <v>3</v>
      </c>
      <c r="AG69" s="1156">
        <v>24</v>
      </c>
      <c r="AH69" s="1156">
        <v>3</v>
      </c>
      <c r="AI69" s="1156">
        <v>3</v>
      </c>
      <c r="AJ69" s="1156">
        <v>3</v>
      </c>
      <c r="AK69" s="1156">
        <v>24</v>
      </c>
      <c r="AL69" s="1156">
        <v>3</v>
      </c>
      <c r="AM69" s="1156">
        <v>3</v>
      </c>
      <c r="AN69" s="1156">
        <v>3</v>
      </c>
      <c r="AO69" s="1156">
        <v>18</v>
      </c>
      <c r="AP69" s="1156">
        <v>3</v>
      </c>
      <c r="AQ69" s="1156">
        <v>3</v>
      </c>
      <c r="AR69" s="1156">
        <v>3</v>
      </c>
      <c r="AS69" s="1156">
        <v>18</v>
      </c>
      <c r="AT69" s="1156">
        <v>21</v>
      </c>
      <c r="AU69" s="1156">
        <v>21</v>
      </c>
      <c r="AV69" s="1156">
        <v>21</v>
      </c>
      <c r="AW69" s="1156">
        <v>21</v>
      </c>
      <c r="AX69" s="1156">
        <v>11</v>
      </c>
      <c r="AY69" s="1156">
        <v>3</v>
      </c>
      <c r="AZ69" s="1156">
        <v>11</v>
      </c>
      <c r="BA69" s="1156">
        <v>0</v>
      </c>
      <c r="BB69" s="1156">
        <v>4</v>
      </c>
      <c r="BC69" s="1156">
        <v>115</v>
      </c>
      <c r="BD69" s="512">
        <v>10</v>
      </c>
      <c r="BE69" s="512">
        <v>10</v>
      </c>
      <c r="BF69" s="512">
        <v>10</v>
      </c>
      <c r="BG69" s="512">
        <v>10</v>
      </c>
      <c r="BH69" s="512">
        <v>10</v>
      </c>
      <c r="BI69" s="1156">
        <v>23</v>
      </c>
    </row>
  </sheetData>
  <sheetProtection formatColumns="0" formatRows="0" autoFilter="0" sort="0" insertRows="0" insertColumns="1" deleteRows="0" deleteColumns="0"/>
  <mergeCells count="122">
    <mergeCell ref="T67:BC67"/>
    <mergeCell ref="AK52:AK54"/>
    <mergeCell ref="AL52:AL54"/>
    <mergeCell ref="AE52:AE55"/>
    <mergeCell ref="AF52:AF55"/>
    <mergeCell ref="AG52:AG55"/>
    <mergeCell ref="AH52:AH55"/>
    <mergeCell ref="AI52:AI54"/>
    <mergeCell ref="AJ52:AJ54"/>
    <mergeCell ref="BC52:BC57"/>
    <mergeCell ref="T52:T56"/>
    <mergeCell ref="T65:BC65"/>
    <mergeCell ref="E46:E62"/>
    <mergeCell ref="V46:AC46"/>
    <mergeCell ref="AD46:BB46"/>
    <mergeCell ref="F47:F61"/>
    <mergeCell ref="V47:AC47"/>
    <mergeCell ref="AM52:AM53"/>
    <mergeCell ref="AN52:AN53"/>
    <mergeCell ref="AO52:AO53"/>
    <mergeCell ref="AP52:AP53"/>
    <mergeCell ref="AD52:AD56"/>
    <mergeCell ref="G48:G60"/>
    <mergeCell ref="V48:AC48"/>
    <mergeCell ref="AD48:BB48"/>
    <mergeCell ref="H49:H59"/>
    <mergeCell ref="V49:AC49"/>
    <mergeCell ref="AD49:BB49"/>
    <mergeCell ref="AD47:BB47"/>
    <mergeCell ref="I50:I58"/>
    <mergeCell ref="P50:P58"/>
    <mergeCell ref="V50:AC50"/>
    <mergeCell ref="J51:J57"/>
    <mergeCell ref="Q51:Q57"/>
    <mergeCell ref="V51:AC51"/>
    <mergeCell ref="AD51:BB51"/>
    <mergeCell ref="BC40:BC44"/>
    <mergeCell ref="S41:S44"/>
    <mergeCell ref="T41:T44"/>
    <mergeCell ref="AC41:AC44"/>
    <mergeCell ref="AD41:AG44"/>
    <mergeCell ref="AH41:AK44"/>
    <mergeCell ref="X42:Y43"/>
    <mergeCell ref="V41:AB41"/>
    <mergeCell ref="AP41:AS44"/>
    <mergeCell ref="AT41:AZ41"/>
    <mergeCell ref="AT42:AU43"/>
    <mergeCell ref="AV42:AW43"/>
    <mergeCell ref="AX42:AZ43"/>
    <mergeCell ref="AA44:AB44"/>
    <mergeCell ref="AY44:AZ44"/>
    <mergeCell ref="AL41:AO44"/>
    <mergeCell ref="BA41:BA44"/>
    <mergeCell ref="BB41:BB44"/>
    <mergeCell ref="V42:W43"/>
    <mergeCell ref="Z42:AB43"/>
    <mergeCell ref="K52:K56"/>
    <mergeCell ref="S52:S56"/>
    <mergeCell ref="S32:T32"/>
    <mergeCell ref="V32:AB32"/>
    <mergeCell ref="AD32:AZ32"/>
    <mergeCell ref="S36:T36"/>
    <mergeCell ref="V36:AB36"/>
    <mergeCell ref="AD36:AZ36"/>
    <mergeCell ref="S37:T37"/>
    <mergeCell ref="V37:AB37"/>
    <mergeCell ref="AD37:AZ37"/>
    <mergeCell ref="S33:T33"/>
    <mergeCell ref="V33:AB33"/>
    <mergeCell ref="AD33:AZ33"/>
    <mergeCell ref="S34:T34"/>
    <mergeCell ref="V34:AB34"/>
    <mergeCell ref="AD34:AZ34"/>
    <mergeCell ref="V39:AC39"/>
    <mergeCell ref="AD39:BA39"/>
    <mergeCell ref="S40:BB40"/>
    <mergeCell ref="AA45:AB45"/>
    <mergeCell ref="AY45:AZ45"/>
    <mergeCell ref="AD50:BB50"/>
    <mergeCell ref="S29:AZ29"/>
    <mergeCell ref="BC8:BC13"/>
    <mergeCell ref="AK8:AK10"/>
    <mergeCell ref="AL8:AL10"/>
    <mergeCell ref="AE8:AE11"/>
    <mergeCell ref="AF8:AF11"/>
    <mergeCell ref="AG8:AG11"/>
    <mergeCell ref="S31:T31"/>
    <mergeCell ref="V31:AB31"/>
    <mergeCell ref="AD31:AZ31"/>
    <mergeCell ref="AD7:BB7"/>
    <mergeCell ref="K8:K12"/>
    <mergeCell ref="R8:R12"/>
    <mergeCell ref="S8:S12"/>
    <mergeCell ref="T8:T12"/>
    <mergeCell ref="AH8:AH11"/>
    <mergeCell ref="AI8:AI10"/>
    <mergeCell ref="AJ8:AJ10"/>
    <mergeCell ref="S28:AZ28"/>
    <mergeCell ref="E2:E18"/>
    <mergeCell ref="V2:AC2"/>
    <mergeCell ref="AD2:BB2"/>
    <mergeCell ref="F3:F17"/>
    <mergeCell ref="V3:AC3"/>
    <mergeCell ref="AD3:BB3"/>
    <mergeCell ref="G4:G16"/>
    <mergeCell ref="V4:AC4"/>
    <mergeCell ref="AD4:BB4"/>
    <mergeCell ref="H5:H15"/>
    <mergeCell ref="AM8:AM9"/>
    <mergeCell ref="AN8:AN9"/>
    <mergeCell ref="AO8:AO9"/>
    <mergeCell ref="AP8:AP9"/>
    <mergeCell ref="AD8:AD12"/>
    <mergeCell ref="V5:AC5"/>
    <mergeCell ref="AD5:BB5"/>
    <mergeCell ref="I6:I14"/>
    <mergeCell ref="P6:P14"/>
    <mergeCell ref="V6:AC6"/>
    <mergeCell ref="AD6:BB6"/>
    <mergeCell ref="J7:J13"/>
    <mergeCell ref="Q7:Q13"/>
    <mergeCell ref="V7:AC7"/>
  </mergeCells>
  <dataValidations count="9">
    <dataValidation allowBlank="1" sqref="S65591:BC65597 S983095:BC983101 S917559:BC917565 S852023:BC852029 S786487:BC786493 S720951:BC720957 S655415:BC655421 S589879:BC589885 S524343:BC524349 S458807:BC458813 S393271:BC393277 S327735:BC327741 S262199:BC262205 S196663:BC196669 S131127:BC131133"/>
    <dataValidation type="list" allowBlank="1" showInputMessage="1" errorTitle="Ошибка" error="Выберите значение из списка" prompt="Выберите значение из списка" sqref="V983092:BB983092 V917556:BB917556 V852020:BB852020 V786484:BB786484 V720948:BB720948 V655412:BB655412 V589876:BB589876 V524340:BB524340 V458804:BB458804 V393268:BB393268 V327732:BB327732 V262196:BB262196 V196660:BB196660 V131124:BB131124 V65588:BB65588">
      <formula1>kind_of_cons</formula1>
    </dataValidation>
    <dataValidation type="decimal" allowBlank="1" showErrorMessage="1" errorTitle="Ошибка" error="Допускается ввод только действительных чисел!" sqref="AO52:AO53 AG8:AG11 AO8:AO9 AG52:AG55">
      <formula1>-9.99999999999999E+23</formula1>
      <formula2>9.99999999999999E+23</formula2>
    </dataValidation>
    <dataValidation allowBlank="1" showInputMessage="1" showErrorMessage="1" prompt="Для выбора выполните двойной щелчок левой клавиши мыши по соответствующей ячейке." sqref="AA65589 AA131125 AA196661 AA262197 AA327733 AA393269 AA458805 AA524341 AA589877 AA655413 AA720949 AA786485 AA852021 AA917557 AA983093 AC131125 AC458805 AC196661 AC262197 AC327733 AC393269 AC524341 AC589877 AC655413 AC720949 AC786485 AC852021 AC917557 AC983093 AC65589 AH52:AH53 AY8 AP52 AK52:AL53 AA8 AY65589 AY131125 AY196661 AY262197 AY327733 AY393269 AY458805 AY524341 AY589877 AY655413 AY720949 AY786485 AY852021 AY917557 AY983093 BA458805 BA196661 BA262197 BA327733 BA393269 BA524341 BA589877 BA655413 BA720949 BA786485 BA852021 BA917557 BA983093 BA65589 BA52 AC8:AD8 BA20 BA8 AY52 AK8:AL9 AD20 AG20:AH20 AK20:AL20 AP20 AY20 AH8:AH9 AP8 BA131125 AC52:AD52 AA52"/>
    <dataValidation type="textLength" operator="lessThanOrEqual" allowBlank="1" showInputMessage="1" showErrorMessage="1" errorTitle="Ошибка" error="Допускается ввод не более 900 символов!" sqref="BC65583:BC65590 BC131119:BC131126 BC196655:BC196662 BC262191:BC262198 BC327727:BC327734 BC393263:BC393270 BC458799:BC458806 BC524335:BC524342 BC589871:BC589878 BC655407:BC655414 BC720943:BC720950 BC786479:BC786486 BC852015:BC852022 BC917551:BC917558 BC983087:BC983094 AS8 T8:T12 AS52 T52:T56">
      <formula1>900</formula1>
    </dataValidation>
    <dataValidation allowBlank="1" promptTitle="checkPeriodRange" sqref="W131126 W196662 W262198 W327734 W393270 W458806 W524342 W589878 W655414 W720950 W786486 W852022 W917558 W983094 AW56 AU12 BB12 AW65590 AW131126 AW196662 AW262198 AW327734 AW393270 AW458806 AW524342 AW589878 AW655414 AW720950 AW786486 AW852022 AW917558 AW983094 Y65590 Y56 W65590 Y131126 Y196662 Y262198 Y327734 Y393270 Y458806 Y524342 Y589878 Y655414 Y720950 Y786486 Y852022 Y917558 Y983094 AU56 Y12 BB56 W12 AW12 W56"/>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9 Z131125 Z196661 Z262197 Z327733 Z393269 Z458805 Z524341 Z589877 Z655413 Z720949 Z786485 Z852021 Z917557 Z983093 AB65589 AB131125 AB196661 AB262197 AB327733 AB393269 AB458805 AB524341 AB589877 AB655413 AB720949 AB786485 AB852021 AB917557 AB983093 Z8 AB8 AX65589 AX131125 AX196661 AX262197 AX327733 AX393269 AX458805 AX524341 AX589877 AX655413 AX720949 AX786485 AX852021 AX917557 AX983093 AZ65589 AZ131125 AZ196661 AZ262197 AZ327733 AZ393269 AZ458805 AZ524341 AZ589877 AZ655413 AZ720949 AZ786485 AZ852021 AZ917557 AZ983093 AX52 AX20 AZ8 AZ52 AX8 AZ20 Z52 AB52"/>
    <dataValidation type="list" allowBlank="1" showInputMessage="1" showErrorMessage="1" errorTitle="Ошибка" error="Выберите значение из списка" sqref="AD917555:AS917555 AD983091:AS983091 AD65587:AS65587 AD131123:AS131123 AD196659:AS196659 AD262195:AS262195 AD327731:AS327731 AD393267:AS393267 AD458803:AS458803 AD524339:AS524339 AD589875:AS589875 AD655411:AS655411 AD720947:AS720947 AD786483:AS786483 AD852019:AS852019">
      <formula1>kind_of_scheme_in</formula1>
    </dataValidation>
    <dataValidation type="list" allowBlank="1" showInputMessage="1" showErrorMessage="1" errorTitle="Ошибка" error="Выберите значение из списка" sqref="T65589 T131125 T196661 T262197 T327733 T393269 T458805 T524341 T589877 T655413 T720949 T786485 T852021 T917557 T983093">
      <formula1>kind_of_heat_transfer</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474C3A4-2058-7EA8-2F6A-4FC113572F58}" mc:Ignorable="x14ac xr xr2 xr3">
  <sheetPr>
    <tabColor theme="6" tint="0.4"/>
  </sheetPr>
  <dimension ref="A1:AQ58"/>
  <sheetViews>
    <sheetView showGridLines="0" zoomScale="90" workbookViewId="0">
      <pane xSplit="28" ySplit="40" topLeftCell="AC41" activePane="bottomRight" state="frozen"/>
      <selection pane="bottomLeft" activeCell="A41" sqref="A41"/>
      <selection pane="topRight" activeCell="AC1" sqref="AC1"/>
      <selection pane="bottomRight" activeCell="A1" sqref="A1"/>
    </sheetView>
  </sheetViews>
  <sheetFormatPr defaultColWidth="10.57421875" customHeight="1" defaultRowHeight="14.25"/>
  <cols>
    <col min="1" max="1" style="1367" width="10.57421875" hidden="1"/>
    <col min="2" max="2" style="1367" width="11.00390625" hidden="1" customWidth="1"/>
    <col min="3" max="3" style="1367" width="10.57421875" hidden="1"/>
    <col min="4" max="4" style="1367" width="11.8515625" hidden="1" customWidth="1"/>
    <col min="5" max="5" style="1367" width="10.00390625" hidden="1" customWidth="1"/>
    <col min="6" max="6" style="1367" width="8.7109375" hidden="1" customWidth="1"/>
    <col min="7" max="7" style="1367" width="7.57421875" hidden="1" customWidth="1"/>
    <col min="8" max="8" style="1367" width="11.421875" hidden="1" customWidth="1"/>
    <col min="9" max="9" style="1367" width="14.140625" hidden="1" customWidth="1"/>
    <col min="10" max="10" style="1367" width="9.8515625" hidden="1" customWidth="1"/>
    <col min="11" max="11" style="1367" width="14.7109375" hidden="1" customWidth="1"/>
    <col min="12" max="12" style="2608" width="19.140625" hidden="1" customWidth="1"/>
    <col min="13" max="14" style="1777" width="12.28125" hidden="1" customWidth="1"/>
    <col min="15" max="15" style="1777" width="23.421875" hidden="1" customWidth="1"/>
    <col min="16" max="16" style="2398" width="3.00390625" customWidth="1"/>
    <col min="17" max="18" style="345" width="3.00390625" customWidth="1"/>
    <col min="19" max="19" style="2408" width="12.00390625" customWidth="1"/>
    <col min="20" max="20" style="1636" width="35.00390625" customWidth="1"/>
    <col min="21" max="21" style="1636" width="0.140625" customWidth="1"/>
    <col min="22" max="24" style="1636" width="24.7109375" hidden="1" customWidth="1"/>
    <col min="25" max="25" style="1636" width="11.7109375" hidden="1" customWidth="1"/>
    <col min="26" max="26" style="1636" width="3.7109375" hidden="1" customWidth="1"/>
    <col min="27" max="27" style="1636" width="11.7109375" hidden="1" customWidth="1"/>
    <col min="28" max="28" style="1636" width="8.57421875" hidden="1" customWidth="1"/>
    <col min="29" max="29" style="1636" width="24.7109375" customWidth="1"/>
    <col min="30" max="31" style="1636" width="24.00390625" customWidth="1"/>
    <col min="32" max="32" style="1636" width="11.00390625" customWidth="1"/>
    <col min="33" max="33" style="1636" width="3.7109375" customWidth="1"/>
    <col min="34" max="34" style="1636" width="11.00390625" customWidth="1"/>
    <col min="35" max="35" style="1636" width="8.57421875" hidden="1" customWidth="1"/>
    <col min="36" max="36" style="1636" width="4.00390625" customWidth="1"/>
    <col min="37" max="37" style="1636" width="115.00390625" customWidth="1"/>
    <col min="38" max="42" style="1643" width="10.00390625" customWidth="1"/>
    <col min="43" max="43" style="1636" width="10.57421875" hidden="1"/>
  </cols>
  <sheetData>
    <row customHeight="1" ht="22.5" hidden="1">
      <c r="X1" s="328"/>
      <c r="Y1" s="328"/>
      <c r="AE1" s="328"/>
      <c r="AF1" s="328"/>
      <c r="AQ1" s="1156" t="s">
        <v>14</v>
      </c>
    </row>
    <row customHeight="1" ht="23.25" hidden="1">
      <c r="A2" s="1364"/>
      <c r="B2" s="1364"/>
      <c r="C2" s="1364"/>
      <c r="D2" s="1364"/>
      <c r="E2" s="2259">
        <v>1</v>
      </c>
      <c r="F2" s="1364"/>
      <c r="G2" s="1364"/>
      <c r="H2" s="1364"/>
      <c r="I2" s="1364"/>
      <c r="J2" s="1364"/>
      <c r="K2" s="1364"/>
      <c r="L2" s="1365"/>
      <c r="M2" s="1366"/>
      <c r="N2" s="1366"/>
      <c r="O2" s="1366"/>
      <c r="P2" s="362"/>
      <c r="Q2" s="361"/>
      <c r="R2" s="356"/>
      <c r="S2" s="1494">
        <f>INDEX(PT_DIFFERENTIATION_NUM_NTAR,MATCH(A2,PT_DIFFERENTIATION_NTAR_ID,0))</f>
      </c>
      <c r="T2" s="299" t="s">
        <v>136</v>
      </c>
      <c r="U2" s="301"/>
      <c r="V2" s="2243"/>
      <c r="W2" s="2244"/>
      <c r="X2" s="2244"/>
      <c r="Y2" s="2244"/>
      <c r="Z2" s="2244"/>
      <c r="AA2" s="2244"/>
      <c r="AB2" s="2245"/>
      <c r="AC2" s="2243">
        <f>INDEX(PT_DIFFERENTIATION_NTAR,MATCH(A2,PT_DIFFERENTIATION_NTAR_ID,0))</f>
      </c>
      <c r="AD2" s="2244"/>
      <c r="AE2" s="2244"/>
      <c r="AF2" s="2244"/>
      <c r="AG2" s="2244"/>
      <c r="AH2" s="2244"/>
      <c r="AI2" s="2244"/>
      <c r="AJ2" s="2245"/>
      <c r="AK2" s="125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AM2" s="501"/>
      <c r="AN2" s="501" t="str">
        <f>IF(T2="","",T2)</f>
        <v>Наименование тарифа</v>
      </c>
      <c r="AO2" s="501"/>
      <c r="AP2" s="501"/>
      <c r="AQ2" s="1156">
        <v>0</v>
      </c>
    </row>
    <row customHeight="1" ht="23.25" hidden="1">
      <c r="A3" s="1364"/>
      <c r="B3" s="1364"/>
      <c r="C3" s="1364"/>
      <c r="D3" s="1364"/>
      <c r="E3" s="2260"/>
      <c r="F3" s="2259">
        <v>1</v>
      </c>
      <c r="G3" s="1364"/>
      <c r="H3" s="1364"/>
      <c r="I3" s="1364"/>
      <c r="J3" s="1364"/>
      <c r="K3" s="1364"/>
      <c r="L3" s="1365"/>
      <c r="M3" s="1366"/>
      <c r="N3" s="1366"/>
      <c r="O3" s="1366"/>
      <c r="P3" s="1488"/>
      <c r="Q3" s="353"/>
      <c r="R3" s="354"/>
      <c r="S3" s="1494">
        <f>INDEX(PT_DIFFERENTIATION_NUM_TER,MATCH(B3,PT_DIFFERENTIATION_TER_ID,0))</f>
      </c>
      <c r="T3" s="309" t="s">
        <v>527</v>
      </c>
      <c r="U3" s="301"/>
      <c r="V3" s="2243"/>
      <c r="W3" s="2244"/>
      <c r="X3" s="2244"/>
      <c r="Y3" s="2244"/>
      <c r="Z3" s="2244"/>
      <c r="AA3" s="2244"/>
      <c r="AB3" s="2245"/>
      <c r="AC3" s="2243">
        <f>INDEX(PT_DIFFERENTIATION_TER,MATCH(B3,PT_DIFFERENTIATION_TER_ID,0))</f>
      </c>
      <c r="AD3" s="2244"/>
      <c r="AE3" s="2244"/>
      <c r="AF3" s="2244"/>
      <c r="AG3" s="2244"/>
      <c r="AH3" s="2244"/>
      <c r="AI3" s="2244"/>
      <c r="AJ3" s="2245"/>
      <c r="AK3" s="1259" t="s">
        <v>528</v>
      </c>
      <c r="AM3" s="501"/>
      <c r="AN3" s="501" t="str">
        <f>IF(T3="","",T3)</f>
        <v>Территория действия тарифа</v>
      </c>
      <c r="AO3" s="501"/>
      <c r="AP3" s="501"/>
      <c r="AQ3" s="1156">
        <v>0</v>
      </c>
    </row>
    <row customHeight="1" ht="23.25" hidden="1">
      <c r="A4" s="1364"/>
      <c r="B4" s="1364"/>
      <c r="C4" s="1364"/>
      <c r="D4" s="1364"/>
      <c r="E4" s="2260"/>
      <c r="F4" s="2260"/>
      <c r="G4" s="2259">
        <v>1</v>
      </c>
      <c r="H4" s="1364"/>
      <c r="I4" s="1364"/>
      <c r="J4" s="1364"/>
      <c r="K4" s="1364"/>
      <c r="L4" s="1365"/>
      <c r="M4" s="1366"/>
      <c r="N4" s="1366"/>
      <c r="O4" s="1366"/>
      <c r="P4" s="355"/>
      <c r="Q4" s="353"/>
      <c r="R4" s="354"/>
      <c r="S4" s="1494">
        <f>INDEX(PT_DIFFERENTIATION_NUM_CS,MATCH(C4,PT_DIFFERENTIATION_CS_ID,0))</f>
      </c>
      <c r="T4" s="310" t="s">
        <v>647</v>
      </c>
      <c r="U4" s="301"/>
      <c r="V4" s="2243"/>
      <c r="W4" s="2244"/>
      <c r="X4" s="2244"/>
      <c r="Y4" s="2244"/>
      <c r="Z4" s="2244"/>
      <c r="AA4" s="2244"/>
      <c r="AB4" s="2245"/>
      <c r="AC4" s="2243">
        <f>INDEX(PT_DIFFERENTIATION_CS,MATCH(C4,PT_DIFFERENTIATION_CS_ID,0))</f>
      </c>
      <c r="AD4" s="2244"/>
      <c r="AE4" s="2244"/>
      <c r="AF4" s="2244"/>
      <c r="AG4" s="2244"/>
      <c r="AH4" s="2244"/>
      <c r="AI4" s="2244"/>
      <c r="AJ4" s="2245"/>
      <c r="AK4" s="1259" t="s">
        <v>648</v>
      </c>
      <c r="AM4" s="501"/>
      <c r="AN4" s="501" t="str">
        <f>IF(T4="","",T4)</f>
        <v>Наименование централизованной системы водоотведения</v>
      </c>
      <c r="AO4" s="501"/>
      <c r="AP4" s="501"/>
      <c r="AQ4" s="1156">
        <v>0</v>
      </c>
    </row>
    <row customHeight="1" ht="23.25" hidden="1">
      <c r="A5" s="1364"/>
      <c r="B5" s="1364"/>
      <c r="C5" s="1364"/>
      <c r="D5" s="1364"/>
      <c r="E5" s="2260"/>
      <c r="F5" s="2260"/>
      <c r="G5" s="2260"/>
      <c r="H5" s="2260"/>
      <c r="I5" s="2257">
        <f>S4&amp;".1"</f>
      </c>
      <c r="J5" s="1364"/>
      <c r="K5" s="1364"/>
      <c r="L5" s="1365"/>
      <c r="P5" s="2258">
        <v>1</v>
      </c>
      <c r="Q5" s="1482"/>
      <c r="R5" s="357"/>
      <c r="S5" s="1494">
        <f>$I5</f>
      </c>
      <c r="T5" s="286" t="s">
        <v>614</v>
      </c>
      <c r="U5" s="301"/>
      <c r="V5" s="2351"/>
      <c r="W5" s="2352"/>
      <c r="X5" s="2352"/>
      <c r="Y5" s="2352"/>
      <c r="Z5" s="2352"/>
      <c r="AA5" s="2352"/>
      <c r="AB5" s="2353"/>
      <c r="AC5" s="2354"/>
      <c r="AD5" s="2355"/>
      <c r="AE5" s="2355"/>
      <c r="AF5" s="2355"/>
      <c r="AG5" s="2355"/>
      <c r="AH5" s="2355"/>
      <c r="AI5" s="2355"/>
      <c r="AJ5" s="2356"/>
      <c r="AK5" s="1259" t="s">
        <v>615</v>
      </c>
      <c r="AM5" s="501"/>
      <c r="AN5" s="501" t="str">
        <f>IF(T5="","",T5)</f>
        <v>Наименование признака дифференциации</v>
      </c>
      <c r="AO5" s="501"/>
      <c r="AP5" s="501"/>
      <c r="AQ5" s="1156">
        <v>0</v>
      </c>
    </row>
    <row customHeight="1" ht="23.25" hidden="1">
      <c r="A6" s="1364"/>
      <c r="B6" s="1364"/>
      <c r="C6" s="1364"/>
      <c r="D6" s="1364"/>
      <c r="E6" s="2260"/>
      <c r="F6" s="2260"/>
      <c r="G6" s="2260"/>
      <c r="H6" s="2260"/>
      <c r="I6" s="2287"/>
      <c r="J6" s="2257">
        <f>I5&amp;".1"</f>
      </c>
      <c r="K6" s="1364"/>
      <c r="L6" s="1365" t="s">
        <v>536</v>
      </c>
      <c r="P6" s="2258"/>
      <c r="Q6" s="2258">
        <v>1</v>
      </c>
      <c r="R6" s="358"/>
      <c r="S6" s="1494">
        <f>$J6</f>
      </c>
      <c r="T6" s="287" t="s">
        <v>537</v>
      </c>
      <c r="U6" s="301"/>
      <c r="V6" s="2246"/>
      <c r="W6" s="2247"/>
      <c r="X6" s="2247"/>
      <c r="Y6" s="2247"/>
      <c r="Z6" s="2247"/>
      <c r="AA6" s="2247"/>
      <c r="AB6" s="2248"/>
      <c r="AC6" s="2246"/>
      <c r="AD6" s="2247"/>
      <c r="AE6" s="2247"/>
      <c r="AF6" s="2247"/>
      <c r="AG6" s="2247"/>
      <c r="AH6" s="2247"/>
      <c r="AI6" s="2247"/>
      <c r="AJ6" s="2248"/>
      <c r="AK6" s="1308" t="s">
        <v>616</v>
      </c>
      <c r="AM6" s="501"/>
      <c r="AN6" s="501" t="str">
        <f>IF(T6="","",T6)</f>
        <v>Группа потребителей</v>
      </c>
      <c r="AO6" s="501"/>
      <c r="AP6" s="501"/>
      <c r="AQ6" s="1156">
        <v>0</v>
      </c>
    </row>
    <row customHeight="1" ht="23.25" hidden="1">
      <c r="A7" s="1364"/>
      <c r="B7" s="1364"/>
      <c r="C7" s="1364"/>
      <c r="D7" s="1364"/>
      <c r="E7" s="2260"/>
      <c r="F7" s="2260"/>
      <c r="G7" s="2260"/>
      <c r="H7" s="2260"/>
      <c r="I7" s="2287"/>
      <c r="J7" s="2287"/>
      <c r="K7" s="2257">
        <f>J6&amp;".1"</f>
      </c>
      <c r="L7" s="1365"/>
      <c r="P7" s="2258"/>
      <c r="Q7" s="2258"/>
      <c r="R7" s="358">
        <v>1</v>
      </c>
      <c r="S7" s="1494">
        <f>$K7</f>
      </c>
      <c r="T7" s="1438"/>
      <c r="U7" s="301"/>
      <c r="V7" s="752"/>
      <c r="W7" s="752"/>
      <c r="X7" s="1258"/>
      <c r="Y7" s="2266"/>
      <c r="Z7" s="2108" t="s">
        <v>65</v>
      </c>
      <c r="AA7" s="2266"/>
      <c r="AB7" s="2108" t="s">
        <v>65</v>
      </c>
      <c r="AC7" s="752"/>
      <c r="AD7" s="752"/>
      <c r="AE7" s="1258"/>
      <c r="AF7" s="2266"/>
      <c r="AG7" s="2108" t="s">
        <v>65</v>
      </c>
      <c r="AH7" s="2288"/>
      <c r="AI7" s="2108" t="s">
        <v>65</v>
      </c>
      <c r="AJ7" s="1439"/>
      <c r="AK7" s="2350"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2">
        <f>STRCHECKDATE(V8:AJ8)</f>
      </c>
      <c r="AM7" s="501"/>
      <c r="AN7" s="501" t="str">
        <f>IF(T7="","",T7)</f>
        <v/>
      </c>
      <c r="AO7" s="501"/>
      <c r="AP7" s="501"/>
      <c r="AQ7" s="1156">
        <v>0</v>
      </c>
    </row>
    <row customHeight="1" ht="14.25" hidden="1">
      <c r="A8" s="1364"/>
      <c r="B8" s="1364"/>
      <c r="C8" s="1364"/>
      <c r="D8" s="1364"/>
      <c r="E8" s="2260"/>
      <c r="F8" s="2260"/>
      <c r="G8" s="2260"/>
      <c r="H8" s="2260"/>
      <c r="I8" s="2287"/>
      <c r="J8" s="2287"/>
      <c r="K8" s="2257"/>
      <c r="L8" s="1365"/>
      <c r="P8" s="2258"/>
      <c r="Q8" s="2258"/>
      <c r="R8" s="358"/>
      <c r="S8" s="1491"/>
      <c r="T8" s="301"/>
      <c r="U8" s="301"/>
      <c r="V8" s="326"/>
      <c r="W8" s="326"/>
      <c r="X8" s="329" t="str">
        <f>Y7&amp;"-"&amp;AA7</f>
        <v>-</v>
      </c>
      <c r="Y8" s="2267"/>
      <c r="Z8" s="2108"/>
      <c r="AA8" s="2267"/>
      <c r="AB8" s="2108"/>
      <c r="AC8" s="326"/>
      <c r="AD8" s="326"/>
      <c r="AE8" s="329" t="str">
        <f>AF7&amp;"-"&amp;AH7</f>
        <v>-</v>
      </c>
      <c r="AF8" s="2267"/>
      <c r="AG8" s="2108"/>
      <c r="AH8" s="2289"/>
      <c r="AI8" s="2108"/>
      <c r="AJ8" s="1440"/>
      <c r="AK8" s="2350"/>
      <c r="AM8" s="501"/>
      <c r="AN8" s="501" t="str">
        <f>IF(T8="","",T8)</f>
        <v/>
      </c>
      <c r="AO8" s="501"/>
      <c r="AP8" s="501"/>
      <c r="AQ8" s="1156">
        <v>0</v>
      </c>
    </row>
    <row customHeight="1" ht="21" hidden="1">
      <c r="A9" s="1364"/>
      <c r="B9" s="1364"/>
      <c r="C9" s="1364"/>
      <c r="D9" s="1364"/>
      <c r="E9" s="2260"/>
      <c r="F9" s="2260"/>
      <c r="G9" s="2260"/>
      <c r="H9" s="2260"/>
      <c r="I9" s="2287"/>
      <c r="J9" s="2257"/>
      <c r="K9" s="1364"/>
      <c r="L9" s="1365"/>
      <c r="P9" s="2258"/>
      <c r="Q9" s="2258"/>
      <c r="R9" s="357"/>
      <c r="S9" s="1279"/>
      <c r="T9" s="288" t="s">
        <v>617</v>
      </c>
      <c r="U9" s="368"/>
      <c r="V9" s="368"/>
      <c r="W9" s="368"/>
      <c r="X9" s="368"/>
      <c r="Y9" s="368"/>
      <c r="Z9" s="368"/>
      <c r="AA9" s="368"/>
      <c r="AB9" s="368"/>
      <c r="AC9" s="368"/>
      <c r="AD9" s="368"/>
      <c r="AE9" s="368"/>
      <c r="AF9" s="368"/>
      <c r="AG9" s="368"/>
      <c r="AH9" s="368"/>
      <c r="AI9" s="368"/>
      <c r="AJ9" s="368"/>
      <c r="AK9" s="1259" t="s">
        <v>618</v>
      </c>
      <c r="AM9" s="501"/>
      <c r="AN9" s="501" t="str">
        <f>IF(T9="","",T9)</f>
        <v>Добавить значение признака дифференциации</v>
      </c>
      <c r="AO9" s="501"/>
      <c r="AP9" s="501"/>
      <c r="AQ9" s="1156">
        <v>0</v>
      </c>
    </row>
    <row customHeight="1" ht="21" hidden="1">
      <c r="A10" s="1364"/>
      <c r="B10" s="1364"/>
      <c r="C10" s="1364"/>
      <c r="D10" s="1364"/>
      <c r="E10" s="2260"/>
      <c r="F10" s="2260"/>
      <c r="G10" s="2260"/>
      <c r="H10" s="2260"/>
      <c r="I10" s="2257"/>
      <c r="J10" s="1364"/>
      <c r="K10" s="1364"/>
      <c r="L10" s="1365"/>
      <c r="P10" s="2258"/>
      <c r="Q10" s="1482"/>
      <c r="R10" s="357"/>
      <c r="S10" s="1279"/>
      <c r="T10" s="366" t="s">
        <v>542</v>
      </c>
      <c r="U10" s="368"/>
      <c r="V10" s="368"/>
      <c r="W10" s="368"/>
      <c r="X10" s="368"/>
      <c r="Y10" s="368"/>
      <c r="Z10" s="368"/>
      <c r="AA10" s="368"/>
      <c r="AB10" s="367"/>
      <c r="AC10" s="368"/>
      <c r="AD10" s="368"/>
      <c r="AE10" s="368"/>
      <c r="AF10" s="368"/>
      <c r="AG10" s="368"/>
      <c r="AH10" s="368"/>
      <c r="AI10" s="367"/>
      <c r="AJ10" s="368"/>
      <c r="AK10" s="1441"/>
      <c r="AM10" s="501"/>
      <c r="AN10" s="501" t="str">
        <f>IF(T10="","",T10)</f>
        <v>Добавить группу потребителей</v>
      </c>
      <c r="AO10" s="501"/>
      <c r="AP10" s="501"/>
      <c r="AQ10" s="1156">
        <v>0</v>
      </c>
    </row>
    <row customHeight="1" ht="21" hidden="1">
      <c r="A11" s="1364"/>
      <c r="B11" s="1364"/>
      <c r="C11" s="1364"/>
      <c r="D11" s="1364"/>
      <c r="E11" s="2260"/>
      <c r="F11" s="2260"/>
      <c r="G11" s="2260"/>
      <c r="H11" s="2259"/>
      <c r="I11" s="1364"/>
      <c r="J11" s="1364"/>
      <c r="K11" s="1364"/>
      <c r="L11" s="1365"/>
      <c r="M11" s="1366"/>
      <c r="N11" s="1366"/>
      <c r="O11" s="538"/>
      <c r="P11" s="361"/>
      <c r="Q11" s="376"/>
      <c r="R11" s="356"/>
      <c r="S11" s="1279"/>
      <c r="T11" s="373" t="s">
        <v>619</v>
      </c>
      <c r="U11" s="368"/>
      <c r="V11" s="368"/>
      <c r="W11" s="368"/>
      <c r="X11" s="368"/>
      <c r="Y11" s="368"/>
      <c r="Z11" s="368"/>
      <c r="AA11" s="368"/>
      <c r="AB11" s="367"/>
      <c r="AC11" s="368"/>
      <c r="AD11" s="368"/>
      <c r="AE11" s="368"/>
      <c r="AF11" s="368"/>
      <c r="AG11" s="368"/>
      <c r="AH11" s="368"/>
      <c r="AI11" s="367"/>
      <c r="AJ11" s="368"/>
      <c r="AK11" s="304"/>
      <c r="AM11" s="501"/>
      <c r="AN11" s="501" t="str">
        <f>IF(T11="","",T11)</f>
        <v>Добавить наименование признака дифференциации</v>
      </c>
      <c r="AO11" s="501"/>
      <c r="AP11" s="501"/>
      <c r="AQ11" s="1156">
        <v>0</v>
      </c>
    </row>
    <row s="1643" customFormat="1" customHeight="1" ht="14.25" hidden="1">
      <c r="A12" s="1344"/>
      <c r="B12" s="1344"/>
      <c r="C12" s="1315"/>
      <c r="D12" s="1315"/>
      <c r="E12" s="2260"/>
      <c r="F12" s="2259"/>
      <c r="G12" s="1315"/>
      <c r="H12" s="1315"/>
      <c r="I12" s="1315"/>
      <c r="J12" s="1315"/>
      <c r="K12" s="1315"/>
      <c r="L12" s="1495"/>
      <c r="M12" s="1322"/>
      <c r="N12" s="1322"/>
      <c r="P12" s="1317"/>
      <c r="Q12" s="1318"/>
      <c r="R12" s="1317"/>
      <c r="S12" s="1323"/>
      <c r="T12" s="1326" t="s">
        <v>178</v>
      </c>
      <c r="U12" s="1325"/>
      <c r="V12" s="1325"/>
      <c r="W12" s="1325"/>
      <c r="X12" s="1325"/>
      <c r="Y12" s="1325"/>
      <c r="Z12" s="1325"/>
      <c r="AA12" s="1325"/>
      <c r="AB12" s="1325"/>
      <c r="AC12" s="1325"/>
      <c r="AD12" s="1325"/>
      <c r="AE12" s="1325"/>
      <c r="AF12" s="1325"/>
      <c r="AG12" s="1325"/>
      <c r="AH12" s="1325"/>
      <c r="AI12" s="1325"/>
      <c r="AJ12" s="1325"/>
      <c r="AK12" s="1325"/>
      <c r="AM12" s="790"/>
      <c r="AN12" s="790" t="str">
        <f>IF(T12="","",T12)</f>
        <v>Добавить централизованную систему для дифференциации</v>
      </c>
      <c r="AO12" s="790"/>
      <c r="AP12" s="790"/>
      <c r="AQ12" s="519">
        <v>0</v>
      </c>
    </row>
    <row s="1643" customFormat="1" customHeight="1" ht="14.25" hidden="1">
      <c r="A13" s="1344"/>
      <c r="B13" s="1344"/>
      <c r="C13" s="1344"/>
      <c r="D13" s="1344"/>
      <c r="E13" s="2259"/>
      <c r="F13" s="1344"/>
      <c r="G13" s="1344"/>
      <c r="H13" s="1344"/>
      <c r="I13" s="1344"/>
      <c r="J13" s="1344"/>
      <c r="K13" s="1344"/>
      <c r="L13" s="1347"/>
      <c r="M13" s="1322"/>
      <c r="N13" s="1322"/>
      <c r="O13" s="519"/>
      <c r="P13" s="381"/>
      <c r="Q13" s="1345"/>
      <c r="R13" s="381"/>
      <c r="S13" s="1323"/>
      <c r="T13" s="1326" t="s">
        <v>183</v>
      </c>
      <c r="U13" s="1325"/>
      <c r="V13" s="1325"/>
      <c r="W13" s="1325"/>
      <c r="X13" s="1325"/>
      <c r="Y13" s="1325"/>
      <c r="Z13" s="1325"/>
      <c r="AA13" s="1325"/>
      <c r="AB13" s="1325"/>
      <c r="AC13" s="1325"/>
      <c r="AD13" s="1325"/>
      <c r="AE13" s="1325"/>
      <c r="AF13" s="1325"/>
      <c r="AG13" s="1325"/>
      <c r="AH13" s="1325"/>
      <c r="AI13" s="1325"/>
      <c r="AJ13" s="1325"/>
      <c r="AK13" s="1325"/>
      <c r="AM13" s="501"/>
      <c r="AN13" s="501" t="str">
        <f>IF(T13="","",T13)</f>
        <v>Добавить территорию для дифференциации</v>
      </c>
      <c r="AO13" s="501"/>
      <c r="AP13" s="501"/>
      <c r="AQ13" s="512">
        <v>0</v>
      </c>
    </row>
    <row customHeight="1" ht="14.25" hidden="1">
      <c r="AB14" s="328"/>
      <c r="AI14" s="328"/>
      <c r="AQ14" s="1156">
        <v>0</v>
      </c>
    </row>
    <row customHeight="1" ht="14.25" hidden="1">
      <c r="AC15" s="1361"/>
      <c r="AD15" s="1361"/>
      <c r="AE15" s="1362"/>
      <c r="AF15" s="2268"/>
      <c r="AG15" s="2269" t="s">
        <v>65</v>
      </c>
      <c r="AH15" s="2268"/>
      <c r="AI15" s="2269" t="s">
        <v>65</v>
      </c>
      <c r="AQ15" s="1156">
        <v>0</v>
      </c>
    </row>
    <row customHeight="1" ht="14.25" hidden="1">
      <c r="AC16" s="1361"/>
      <c r="AD16" s="1361"/>
      <c r="AE16" s="329" t="str">
        <f>AF15&amp;"-"&amp;AH15</f>
        <v>-</v>
      </c>
      <c r="AF16" s="2269"/>
      <c r="AG16" s="2269"/>
      <c r="AH16" s="2269"/>
      <c r="AI16" s="2269"/>
      <c r="AQ16" s="1156">
        <v>0</v>
      </c>
    </row>
    <row customHeight="1" ht="14.25" hidden="1">
      <c r="AI17" s="328"/>
      <c r="AQ17" s="1156">
        <v>0</v>
      </c>
    </row>
    <row s="1367" customFormat="1" customHeight="1" ht="22.5" hidden="1">
      <c r="L18" s="1479"/>
      <c r="M18" s="1363"/>
      <c r="N18" s="1363"/>
      <c r="O18" s="1368" t="s">
        <v>544</v>
      </c>
      <c r="P18" s="1363"/>
      <c r="Q18" s="1372"/>
      <c r="R18" s="1372"/>
      <c r="S18" s="730"/>
      <c r="Y18" s="1368"/>
      <c r="AA18" s="1368"/>
      <c r="AB18" s="1367"/>
      <c r="AF18" s="1368"/>
      <c r="AH18" s="1368"/>
      <c r="AI18" s="1367"/>
      <c r="AL18" s="512"/>
      <c r="AM18" s="512"/>
      <c r="AN18" s="512"/>
      <c r="AO18" s="512"/>
      <c r="AP18" s="512"/>
      <c r="AQ18" s="1161">
        <v>0</v>
      </c>
    </row>
    <row s="1367" customFormat="1" customHeight="1" ht="14.25" hidden="1">
      <c r="L19" s="1479"/>
      <c r="M19" s="1363"/>
      <c r="N19" s="1363"/>
      <c r="O19" s="1363"/>
      <c r="P19" s="1363"/>
      <c r="Q19" s="1372"/>
      <c r="R19" s="1372"/>
      <c r="S19" s="730"/>
      <c r="AB19" s="1367"/>
      <c r="AI19" s="1367"/>
      <c r="AL19" s="512"/>
      <c r="AM19" s="512"/>
      <c r="AN19" s="512"/>
      <c r="AO19" s="512"/>
      <c r="AP19" s="512"/>
      <c r="AQ19" s="1161">
        <v>0</v>
      </c>
    </row>
    <row s="1367" customFormat="1" customHeight="1" ht="12" hidden="1">
      <c r="L20" s="1479"/>
      <c r="M20" s="1363"/>
      <c r="N20" s="1363"/>
      <c r="O20" s="1365" t="s">
        <v>545</v>
      </c>
      <c r="P20" s="1363"/>
      <c r="Q20" s="1443"/>
      <c r="R20" s="1443"/>
      <c r="S20" s="730"/>
      <c r="T20" s="1161" t="s">
        <v>546</v>
      </c>
      <c r="Z20" s="187" t="s">
        <v>547</v>
      </c>
      <c r="AB20" s="187" t="s">
        <v>548</v>
      </c>
      <c r="AC20" s="1161" t="s">
        <v>546</v>
      </c>
      <c r="AG20" s="187" t="s">
        <v>549</v>
      </c>
      <c r="AI20" s="187" t="s">
        <v>548</v>
      </c>
      <c r="AQ20" s="1161">
        <v>0</v>
      </c>
    </row>
    <row customHeight="1" ht="14.25" hidden="1">
      <c r="O21" s="1365"/>
      <c r="AQ21" s="1156">
        <v>0</v>
      </c>
    </row>
    <row customHeight="1" ht="14.25" hidden="1">
      <c r="O22" s="1365"/>
      <c r="AQ22" s="1156">
        <v>0</v>
      </c>
    </row>
    <row customHeight="1" ht="14.699999999999998">
      <c r="Q23" s="377"/>
      <c r="R23" s="377"/>
      <c r="S23" s="1276"/>
      <c r="T23" s="364"/>
      <c r="U23" s="364"/>
      <c r="V23" s="510"/>
      <c r="W23" s="510"/>
      <c r="X23" s="510"/>
      <c r="Y23" s="510"/>
      <c r="Z23" s="510"/>
      <c r="AA23" s="510"/>
      <c r="AB23" s="510"/>
      <c r="AC23" s="510"/>
      <c r="AD23" s="510"/>
      <c r="AE23" s="510"/>
      <c r="AF23" s="510"/>
      <c r="AG23" s="510"/>
      <c r="AH23" s="510"/>
      <c r="AI23" s="510"/>
      <c r="AQ23" s="1156">
        <v>14</v>
      </c>
    </row>
    <row customHeight="1" ht="14.699999999999998">
      <c r="Q24" s="377"/>
      <c r="R24" s="377"/>
      <c r="S24" s="2249" t="str">
        <f>IF(TEMPLATE_GROUP="P",PT_P_FORM_VOTV_4_NAME_FORM,PT_R_FORM_VOTV_16_NAME_FORM)</f>
        <v>Форма 2. Информация о тарифах в сфере водоотведения на товары (услуги) организации водоотведения, подлежащих регулированию</v>
      </c>
      <c r="T24" s="2249"/>
      <c r="U24" s="2249"/>
      <c r="V24" s="2249"/>
      <c r="W24" s="2249"/>
      <c r="X24" s="2249"/>
      <c r="Y24" s="2249"/>
      <c r="Z24" s="2249"/>
      <c r="AA24" s="2249"/>
      <c r="AB24" s="2249"/>
      <c r="AC24" s="2249"/>
      <c r="AD24" s="2249"/>
      <c r="AE24" s="2249"/>
      <c r="AF24" s="2249"/>
      <c r="AG24" s="2249"/>
      <c r="AH24" s="2249"/>
      <c r="AI24" s="1244"/>
      <c r="AQ24" s="1156">
        <v>14</v>
      </c>
    </row>
    <row customHeight="1" ht="14.699999999999998">
      <c r="Q25" s="377"/>
      <c r="R25" s="377"/>
      <c r="S25" s="2250" t="str">
        <f>IF(org=0,"Не определено",org)</f>
        <v>ПАО "ТГК-1" (филиал "Кольский")</v>
      </c>
      <c r="T25" s="2250"/>
      <c r="U25" s="2250"/>
      <c r="V25" s="2250"/>
      <c r="W25" s="2250"/>
      <c r="X25" s="2250"/>
      <c r="Y25" s="2250"/>
      <c r="Z25" s="2250"/>
      <c r="AA25" s="2250"/>
      <c r="AB25" s="2250"/>
      <c r="AC25" s="2250"/>
      <c r="AD25" s="2250"/>
      <c r="AE25" s="2250"/>
      <c r="AF25" s="2250"/>
      <c r="AG25" s="2250"/>
      <c r="AH25" s="2250"/>
      <c r="AI25" s="1244"/>
      <c r="AQ25" s="1156">
        <v>14</v>
      </c>
    </row>
    <row customHeight="1" ht="14.25">
      <c r="Q26" s="377"/>
      <c r="R26" s="377"/>
      <c r="S26" s="1276"/>
      <c r="T26" s="364"/>
      <c r="U26" s="364"/>
      <c r="V26" s="323"/>
      <c r="W26" s="323"/>
      <c r="X26" s="323"/>
      <c r="Y26" s="323"/>
      <c r="Z26" s="323"/>
      <c r="AA26" s="323"/>
      <c r="AB26" s="323"/>
      <c r="AC26" s="323"/>
      <c r="AD26" s="323"/>
      <c r="AE26" s="323"/>
      <c r="AF26" s="323"/>
      <c r="AG26" s="323"/>
      <c r="AH26" s="323"/>
      <c r="AI26" s="323"/>
      <c r="AJ26" s="510"/>
      <c r="AQ26" s="1156">
        <v>0</v>
      </c>
    </row>
    <row s="1854" customFormat="1" customHeight="1" ht="25.5">
      <c r="A27" s="1369"/>
      <c r="B27" s="1369"/>
      <c r="C27" s="1369"/>
      <c r="D27" s="1369"/>
      <c r="E27" s="1369"/>
      <c r="F27" s="1369"/>
      <c r="G27" s="1369"/>
      <c r="H27" s="1369"/>
      <c r="I27" s="1369"/>
      <c r="J27" s="1369"/>
      <c r="K27" s="1369"/>
      <c r="L27" s="1370"/>
      <c r="M27" s="1369"/>
      <c r="N27" s="1369"/>
      <c r="O27" s="1369"/>
      <c r="S27" s="2251" t="s">
        <v>42</v>
      </c>
      <c r="T27" s="2251"/>
      <c r="U27" s="1373"/>
      <c r="V27" s="2252" t="str">
        <f>IF(TITLE_NAME_OR_PR_CHANGE="",IF(TITLE_NAME_OR_PR="","",TITLE_NAME_OR_PR),TITLE_NAME_OR_PR_CHANGE)</f>
        <v>Комитет по тарифному регулированию Мурманской области</v>
      </c>
      <c r="W27" s="2252"/>
      <c r="X27" s="2252"/>
      <c r="Y27" s="2252"/>
      <c r="Z27" s="2252"/>
      <c r="AA27" s="2252"/>
      <c r="AB27" s="327"/>
      <c r="AC27" s="2252" t="str">
        <f>IF(TITLE_NAME_OR_PR_CHANGE="",IF(TITLE_NAME_OR_PR="","",TITLE_NAME_OR_PR),TITLE_NAME_OR_PR_CHANGE)</f>
        <v>Комитет по тарифному регулированию Мурманской области</v>
      </c>
      <c r="AD27" s="2252"/>
      <c r="AE27" s="2252"/>
      <c r="AF27" s="2252"/>
      <c r="AG27" s="2252"/>
      <c r="AH27" s="2252"/>
      <c r="AI27" s="327"/>
      <c r="AJ27" s="327"/>
      <c r="AK27" s="281"/>
      <c r="AL27" s="369"/>
      <c r="AM27" s="369"/>
      <c r="AN27" s="369"/>
      <c r="AO27" s="369"/>
      <c r="AP27" s="369"/>
      <c r="AQ27" s="419">
        <v>0</v>
      </c>
    </row>
    <row s="1854" customFormat="1" customHeight="1" ht="18.75">
      <c r="A28" s="1369"/>
      <c r="B28" s="1369"/>
      <c r="C28" s="1369"/>
      <c r="D28" s="1369"/>
      <c r="E28" s="1369"/>
      <c r="F28" s="1369"/>
      <c r="G28" s="1369"/>
      <c r="H28" s="1369"/>
      <c r="I28" s="1369"/>
      <c r="J28" s="1369"/>
      <c r="K28" s="1369"/>
      <c r="L28" s="1370"/>
      <c r="M28" s="1369"/>
      <c r="N28" s="1369"/>
      <c r="O28" s="1369"/>
      <c r="S28" s="2251" t="s">
        <v>550</v>
      </c>
      <c r="T28" s="2251"/>
      <c r="U28" s="1373"/>
      <c r="V28" s="2265" t="str">
        <f>IF(TITLE_DATE_PR_CHANGE="",IF(TITLE_DATE_PR="","",TITLE_DATE_PR),TITLE_DATE_PR_CHANGE)</f>
        <v>46010</v>
      </c>
      <c r="W28" s="2265"/>
      <c r="X28" s="2265"/>
      <c r="Y28" s="2265"/>
      <c r="Z28" s="2265"/>
      <c r="AA28" s="2265"/>
      <c r="AB28" s="327"/>
      <c r="AC28" s="2265" t="str">
        <f>IF(TITLE_DATE_PR_CHANGE="",IF(TITLE_DATE_PR="","",TITLE_DATE_PR),TITLE_DATE_PR_CHANGE)</f>
        <v>46010</v>
      </c>
      <c r="AD28" s="2265"/>
      <c r="AE28" s="2265"/>
      <c r="AF28" s="2265"/>
      <c r="AG28" s="2265"/>
      <c r="AH28" s="2265"/>
      <c r="AI28" s="327"/>
      <c r="AJ28" s="327"/>
      <c r="AK28" s="281"/>
      <c r="AL28" s="369"/>
      <c r="AM28" s="369"/>
      <c r="AN28" s="369"/>
      <c r="AO28" s="369"/>
      <c r="AP28" s="369"/>
      <c r="AQ28" s="419">
        <v>0</v>
      </c>
    </row>
    <row s="1854" customFormat="1" customHeight="1" ht="18.75">
      <c r="A29" s="1369"/>
      <c r="B29" s="1369"/>
      <c r="C29" s="1369"/>
      <c r="D29" s="1369"/>
      <c r="E29" s="1369"/>
      <c r="F29" s="1369"/>
      <c r="G29" s="1369"/>
      <c r="H29" s="1369"/>
      <c r="I29" s="1369"/>
      <c r="J29" s="1369"/>
      <c r="K29" s="1369"/>
      <c r="L29" s="1370"/>
      <c r="M29" s="1369"/>
      <c r="N29" s="1369"/>
      <c r="O29" s="1369"/>
      <c r="S29" s="2251" t="s">
        <v>551</v>
      </c>
      <c r="T29" s="2251"/>
      <c r="U29" s="1373"/>
      <c r="V29" s="2252" t="str">
        <f>IF(TITLE_NUMBER_PR_CHANGE="",IF(TITLE_NUMBER_PR="","",TITLE_NUMBER_PR),TITLE_NUMBER_PR_CHANGE)</f>
        <v>53/77; 53/49</v>
      </c>
      <c r="W29" s="2252"/>
      <c r="X29" s="2252"/>
      <c r="Y29" s="2252"/>
      <c r="Z29" s="2252"/>
      <c r="AA29" s="2252"/>
      <c r="AB29" s="327"/>
      <c r="AC29" s="2252" t="str">
        <f>IF(TITLE_NUMBER_PR_CHANGE="",IF(TITLE_NUMBER_PR="","",TITLE_NUMBER_PR),TITLE_NUMBER_PR_CHANGE)</f>
        <v>53/77; 53/49</v>
      </c>
      <c r="AD29" s="2252"/>
      <c r="AE29" s="2252"/>
      <c r="AF29" s="2252"/>
      <c r="AG29" s="2252"/>
      <c r="AH29" s="2252"/>
      <c r="AI29" s="327"/>
      <c r="AJ29" s="327"/>
      <c r="AK29" s="281"/>
      <c r="AL29" s="369"/>
      <c r="AM29" s="369"/>
      <c r="AN29" s="369"/>
      <c r="AO29" s="369"/>
      <c r="AP29" s="369"/>
      <c r="AQ29" s="419">
        <v>0</v>
      </c>
    </row>
    <row s="1854" customFormat="1" customHeight="1" ht="18.75">
      <c r="A30" s="1369"/>
      <c r="B30" s="1369"/>
      <c r="C30" s="1369"/>
      <c r="D30" s="1369"/>
      <c r="E30" s="1369"/>
      <c r="F30" s="1369"/>
      <c r="G30" s="1369"/>
      <c r="H30" s="1369"/>
      <c r="I30" s="1369"/>
      <c r="J30" s="1369"/>
      <c r="K30" s="1369"/>
      <c r="L30" s="1370"/>
      <c r="M30" s="1369"/>
      <c r="N30" s="1369"/>
      <c r="O30" s="1369"/>
      <c r="S30" s="2251" t="s">
        <v>44</v>
      </c>
      <c r="T30" s="2251"/>
      <c r="U30" s="1373"/>
      <c r="V30" s="2252" t="str">
        <f>IF(TITLE_IST_PUB_CHANGE="",IF(TITLE_IST_PUB="","",TITLE_IST_PUB),TITLE_IST_PUB_CHANGE)</f>
        <v>Официальный электронный бюллетень Правительства Мурманской области</v>
      </c>
      <c r="W30" s="2252"/>
      <c r="X30" s="2252"/>
      <c r="Y30" s="2252"/>
      <c r="Z30" s="2252"/>
      <c r="AA30" s="2252"/>
      <c r="AB30" s="327"/>
      <c r="AC30" s="2252" t="str">
        <f>IF(TITLE_IST_PUB_CHANGE="",IF(TITLE_IST_PUB="","",TITLE_IST_PUB),TITLE_IST_PUB_CHANGE)</f>
        <v>Официальный электронный бюллетень Правительства Мурманской области</v>
      </c>
      <c r="AD30" s="2252"/>
      <c r="AE30" s="2252"/>
      <c r="AF30" s="2252"/>
      <c r="AG30" s="2252"/>
      <c r="AH30" s="2252"/>
      <c r="AI30" s="327"/>
      <c r="AJ30" s="327"/>
      <c r="AK30" s="281"/>
      <c r="AL30" s="369"/>
      <c r="AM30" s="369"/>
      <c r="AN30" s="369"/>
      <c r="AO30" s="369"/>
      <c r="AP30" s="369"/>
      <c r="AQ30" s="419">
        <v>0</v>
      </c>
    </row>
    <row customHeight="1" ht="14.25" hidden="1">
      <c r="Q31" s="377"/>
      <c r="R31" s="377"/>
      <c r="S31" s="1276"/>
      <c r="T31" s="364"/>
      <c r="U31" s="364"/>
      <c r="V31" s="323"/>
      <c r="W31" s="323"/>
      <c r="X31" s="323"/>
      <c r="Y31" s="323"/>
      <c r="Z31" s="323"/>
      <c r="AA31" s="323"/>
      <c r="AB31" s="323"/>
      <c r="AC31" s="323"/>
      <c r="AD31" s="323"/>
      <c r="AE31" s="323"/>
      <c r="AF31" s="323"/>
      <c r="AG31" s="323"/>
      <c r="AH31" s="323"/>
      <c r="AI31" s="323"/>
      <c r="AJ31" s="510"/>
      <c r="AQ31" s="1156">
        <v>0</v>
      </c>
    </row>
    <row s="1854" customFormat="1" customHeight="1" ht="18.75" hidden="1">
      <c r="A32" s="1369"/>
      <c r="B32" s="1369"/>
      <c r="C32" s="1369"/>
      <c r="D32" s="1369"/>
      <c r="E32" s="1369"/>
      <c r="F32" s="1369"/>
      <c r="G32" s="1369"/>
      <c r="H32" s="1369"/>
      <c r="I32" s="1369"/>
      <c r="J32" s="1369"/>
      <c r="K32" s="1369"/>
      <c r="L32" s="1370"/>
      <c r="M32" s="1369"/>
      <c r="N32" s="1369"/>
      <c r="O32" s="1369"/>
      <c r="S32" s="2251" t="s">
        <v>552</v>
      </c>
      <c r="T32" s="2251"/>
      <c r="U32" s="1373"/>
      <c r="V32" s="2265" t="str">
        <f>IF(TITLE_DATE_PR_CHANGE="",IF(TITLE_DATE_PR="","",TITLE_DATE_PR),TITLE_DATE_PR_CHANGE)</f>
        <v>46010</v>
      </c>
      <c r="W32" s="2265"/>
      <c r="X32" s="2265"/>
      <c r="Y32" s="2265"/>
      <c r="Z32" s="2265"/>
      <c r="AA32" s="2265"/>
      <c r="AB32" s="327"/>
      <c r="AC32" s="2265" t="str">
        <f>IF(TITLE_DATE_PR_CHANGE="",IF(TITLE_DATE_PR="","",TITLE_DATE_PR),TITLE_DATE_PR_CHANGE)</f>
        <v>46010</v>
      </c>
      <c r="AD32" s="2265"/>
      <c r="AE32" s="2265"/>
      <c r="AF32" s="2265"/>
      <c r="AG32" s="2265"/>
      <c r="AH32" s="2265"/>
      <c r="AI32" s="327"/>
      <c r="AJ32" s="327"/>
      <c r="AK32" s="281"/>
      <c r="AL32" s="369"/>
      <c r="AM32" s="369"/>
      <c r="AN32" s="369"/>
      <c r="AO32" s="369"/>
      <c r="AP32" s="369"/>
      <c r="AQ32" s="419">
        <v>0</v>
      </c>
    </row>
    <row s="1854" customFormat="1" customHeight="1" ht="18.75" hidden="1">
      <c r="A33" s="1369"/>
      <c r="B33" s="1369"/>
      <c r="C33" s="1369"/>
      <c r="D33" s="1369"/>
      <c r="E33" s="1369"/>
      <c r="F33" s="1369"/>
      <c r="G33" s="1369"/>
      <c r="H33" s="1369"/>
      <c r="I33" s="1369"/>
      <c r="J33" s="1369"/>
      <c r="K33" s="1369"/>
      <c r="L33" s="1370"/>
      <c r="M33" s="1369"/>
      <c r="N33" s="1369"/>
      <c r="O33" s="1369"/>
      <c r="S33" s="2251" t="s">
        <v>553</v>
      </c>
      <c r="T33" s="2251"/>
      <c r="U33" s="1373"/>
      <c r="V33" s="2252" t="str">
        <f>IF(TITLE_NUMBER_PR_CHANGE="",IF(TITLE_NUMBER_PR="","",TITLE_NUMBER_PR),TITLE_NUMBER_PR_CHANGE)</f>
        <v>53/77; 53/49</v>
      </c>
      <c r="W33" s="2252"/>
      <c r="X33" s="2252"/>
      <c r="Y33" s="2252"/>
      <c r="Z33" s="2252"/>
      <c r="AA33" s="2252"/>
      <c r="AB33" s="327"/>
      <c r="AC33" s="2252" t="str">
        <f>IF(TITLE_NUMBER_PR_CHANGE="",IF(TITLE_NUMBER_PR="","",TITLE_NUMBER_PR),TITLE_NUMBER_PR_CHANGE)</f>
        <v>53/77; 53/49</v>
      </c>
      <c r="AD33" s="2252"/>
      <c r="AE33" s="2252"/>
      <c r="AF33" s="2252"/>
      <c r="AG33" s="2252"/>
      <c r="AH33" s="2252"/>
      <c r="AI33" s="327"/>
      <c r="AJ33" s="327"/>
      <c r="AK33" s="281"/>
      <c r="AL33" s="369"/>
      <c r="AM33" s="369"/>
      <c r="AN33" s="369"/>
      <c r="AO33" s="369"/>
      <c r="AP33" s="369"/>
      <c r="AQ33" s="419">
        <v>0</v>
      </c>
    </row>
    <row s="1854" customFormat="1" customHeight="1" ht="1.05">
      <c r="A34" s="1369"/>
      <c r="B34" s="1369"/>
      <c r="C34" s="1369"/>
      <c r="D34" s="1369"/>
      <c r="E34" s="1369"/>
      <c r="F34" s="1369"/>
      <c r="G34" s="1369"/>
      <c r="H34" s="1369"/>
      <c r="I34" s="1369"/>
      <c r="J34" s="1369"/>
      <c r="K34" s="1369"/>
      <c r="L34" s="1370"/>
      <c r="M34" s="1369"/>
      <c r="N34" s="1369"/>
      <c r="O34" s="1369"/>
      <c r="S34" s="324"/>
      <c r="T34" s="324"/>
      <c r="U34" s="1489"/>
      <c r="V34" s="327"/>
      <c r="W34" s="327"/>
      <c r="X34" s="327"/>
      <c r="Y34" s="327"/>
      <c r="Z34" s="327"/>
      <c r="AA34" s="327"/>
      <c r="AB34" s="279" t="s">
        <v>554</v>
      </c>
      <c r="AC34" s="327"/>
      <c r="AD34" s="327"/>
      <c r="AE34" s="327"/>
      <c r="AF34" s="327"/>
      <c r="AG34" s="327"/>
      <c r="AH34" s="327"/>
      <c r="AI34" s="279" t="s">
        <v>554</v>
      </c>
      <c r="AL34" s="369"/>
      <c r="AM34" s="369"/>
      <c r="AN34" s="369"/>
      <c r="AO34" s="369"/>
      <c r="AP34" s="369"/>
      <c r="AQ34" s="419">
        <v>1</v>
      </c>
    </row>
    <row customHeight="1" ht="14.699999999999998">
      <c r="Q35" s="377"/>
      <c r="R35" s="377"/>
      <c r="S35" s="1276"/>
      <c r="T35" s="364"/>
      <c r="U35" s="1245"/>
      <c r="V35" s="2253"/>
      <c r="W35" s="2253"/>
      <c r="X35" s="2253"/>
      <c r="Y35" s="2253"/>
      <c r="Z35" s="2253"/>
      <c r="AA35" s="2253"/>
      <c r="AB35" s="2253"/>
      <c r="AC35" s="2253"/>
      <c r="AD35" s="2253"/>
      <c r="AE35" s="2253"/>
      <c r="AF35" s="2253"/>
      <c r="AG35" s="2253"/>
      <c r="AH35" s="2253"/>
      <c r="AI35" s="2253"/>
      <c r="AQ35" s="1156">
        <v>14</v>
      </c>
    </row>
    <row customHeight="1" ht="14.699999999999998">
      <c r="Q36" s="377"/>
      <c r="R36" s="377"/>
      <c r="S36" s="2128" t="s">
        <v>430</v>
      </c>
      <c r="T36" s="2128"/>
      <c r="U36" s="2128"/>
      <c r="V36" s="2128"/>
      <c r="W36" s="2128"/>
      <c r="X36" s="2128"/>
      <c r="Y36" s="2128"/>
      <c r="Z36" s="2128"/>
      <c r="AA36" s="2128"/>
      <c r="AB36" s="2128"/>
      <c r="AC36" s="2128"/>
      <c r="AD36" s="2128"/>
      <c r="AE36" s="2128"/>
      <c r="AF36" s="2128"/>
      <c r="AG36" s="2128"/>
      <c r="AH36" s="2128"/>
      <c r="AI36" s="2128"/>
      <c r="AJ36" s="2128"/>
      <c r="AK36" s="2128" t="s">
        <v>431</v>
      </c>
      <c r="AQ36" s="1156">
        <v>14</v>
      </c>
    </row>
    <row customHeight="1" ht="14.699999999999998">
      <c r="Q37" s="377"/>
      <c r="R37" s="377"/>
      <c r="S37" s="2274" t="s">
        <v>92</v>
      </c>
      <c r="T37" s="2210" t="s">
        <v>555</v>
      </c>
      <c r="U37" s="302"/>
      <c r="V37" s="2275" t="s">
        <v>556</v>
      </c>
      <c r="W37" s="2276"/>
      <c r="X37" s="2276"/>
      <c r="Y37" s="2276"/>
      <c r="Z37" s="2276"/>
      <c r="AA37" s="2277"/>
      <c r="AB37" s="2278" t="s">
        <v>557</v>
      </c>
      <c r="AC37" s="2275" t="s">
        <v>556</v>
      </c>
      <c r="AD37" s="2276"/>
      <c r="AE37" s="2276"/>
      <c r="AF37" s="2276"/>
      <c r="AG37" s="2276"/>
      <c r="AH37" s="2277"/>
      <c r="AI37" s="2278" t="s">
        <v>558</v>
      </c>
      <c r="AJ37" s="2281" t="s">
        <v>559</v>
      </c>
      <c r="AK37" s="2128"/>
      <c r="AQ37" s="1156">
        <v>14</v>
      </c>
    </row>
    <row customHeight="1" ht="35.699999999999996">
      <c r="Q38" s="377"/>
      <c r="R38" s="377"/>
      <c r="S38" s="2274"/>
      <c r="T38" s="2210"/>
      <c r="U38" s="1032"/>
      <c r="V38" s="1484" t="s">
        <v>620</v>
      </c>
      <c r="W38" s="2263" t="s">
        <v>562</v>
      </c>
      <c r="X38" s="2264"/>
      <c r="Y38" s="2263" t="s">
        <v>563</v>
      </c>
      <c r="Z38" s="2270"/>
      <c r="AA38" s="2264"/>
      <c r="AB38" s="2279"/>
      <c r="AC38" s="1484" t="s">
        <v>620</v>
      </c>
      <c r="AD38" s="2263" t="s">
        <v>562</v>
      </c>
      <c r="AE38" s="2264"/>
      <c r="AF38" s="2263" t="s">
        <v>563</v>
      </c>
      <c r="AG38" s="2270"/>
      <c r="AH38" s="2264"/>
      <c r="AI38" s="2279"/>
      <c r="AJ38" s="2282"/>
      <c r="AK38" s="2128"/>
      <c r="AQ38" s="1156">
        <v>34</v>
      </c>
    </row>
    <row customHeight="1" ht="90.3">
      <c r="A39" s="1371"/>
      <c r="B39" s="1371" t="s">
        <v>148</v>
      </c>
      <c r="C39" s="1371" t="s">
        <v>149</v>
      </c>
      <c r="D39" s="1371" t="s">
        <v>150</v>
      </c>
      <c r="E39" s="1365" t="s">
        <v>564</v>
      </c>
      <c r="F39" s="1365" t="s">
        <v>565</v>
      </c>
      <c r="G39" s="1365" t="s">
        <v>566</v>
      </c>
      <c r="H39" s="1365"/>
      <c r="I39" s="1365" t="s">
        <v>621</v>
      </c>
      <c r="J39" s="1365" t="s">
        <v>569</v>
      </c>
      <c r="K39" s="1365" t="s">
        <v>622</v>
      </c>
      <c r="L39" s="1365" t="s">
        <v>545</v>
      </c>
      <c r="Q39" s="377"/>
      <c r="R39" s="377"/>
      <c r="S39" s="2274"/>
      <c r="T39" s="2210"/>
      <c r="U39" s="303"/>
      <c r="V39" s="1484" t="s">
        <v>649</v>
      </c>
      <c r="W39" s="1223" t="s">
        <v>650</v>
      </c>
      <c r="X39" s="1223" t="s">
        <v>625</v>
      </c>
      <c r="Y39" s="1490" t="s">
        <v>573</v>
      </c>
      <c r="Z39" s="2271" t="s">
        <v>574</v>
      </c>
      <c r="AA39" s="2272"/>
      <c r="AB39" s="2280"/>
      <c r="AC39" s="1484" t="s">
        <v>649</v>
      </c>
      <c r="AD39" s="1223" t="s">
        <v>650</v>
      </c>
      <c r="AE39" s="1223" t="s">
        <v>625</v>
      </c>
      <c r="AF39" s="1490" t="s">
        <v>573</v>
      </c>
      <c r="AG39" s="2271" t="s">
        <v>574</v>
      </c>
      <c r="AH39" s="2272"/>
      <c r="AI39" s="2280"/>
      <c r="AJ39" s="2283"/>
      <c r="AK39" s="2128"/>
      <c r="AQ39" s="1156">
        <v>86</v>
      </c>
    </row>
    <row s="1642" customFormat="1" customHeight="1" ht="11.25" hidden="1">
      <c r="A40" s="1371"/>
      <c r="B40" s="1371"/>
      <c r="C40" s="1371"/>
      <c r="D40" s="1371"/>
      <c r="E40" s="1371"/>
      <c r="F40" s="1371"/>
      <c r="G40" s="1371"/>
      <c r="H40" s="1371"/>
      <c r="I40" s="1371"/>
      <c r="J40" s="1371"/>
      <c r="K40" s="1371"/>
      <c r="L40" s="1365"/>
      <c r="M40" s="1363"/>
      <c r="N40" s="1363"/>
      <c r="O40" s="1363"/>
      <c r="P40" s="1247"/>
      <c r="Q40" s="1248"/>
      <c r="R40" s="1255">
        <v>1</v>
      </c>
      <c r="S40" s="1278" t="s">
        <v>123</v>
      </c>
      <c r="T40" s="1256" t="s">
        <v>107</v>
      </c>
      <c r="U40" s="1246" t="str">
        <f>OFFSET(U40,0,-1)</f>
        <v>2</v>
      </c>
      <c r="V40" s="1483">
        <f>OFFSET(V40,0,-1)+1</f>
        <v>3</v>
      </c>
      <c r="W40" s="1483">
        <f>OFFSET(W40,0,-1)+1</f>
        <v>4</v>
      </c>
      <c r="X40" s="1483">
        <f>OFFSET(X40,0,-1)+1</f>
        <v>5</v>
      </c>
      <c r="Y40" s="1483">
        <f>OFFSET(Y40,0,-1)+1</f>
        <v>6</v>
      </c>
      <c r="Z40" s="2273">
        <f>OFFSET(Z40,0,-1)+1</f>
        <v>7</v>
      </c>
      <c r="AA40" s="2273"/>
      <c r="AB40" s="1483">
        <f>OFFSET(AB40,0,-2)+1</f>
        <v>8</v>
      </c>
      <c r="AC40" s="1483">
        <f>OFFSET(AC40,0,-1)+1</f>
        <v>9</v>
      </c>
      <c r="AD40" s="1483">
        <f>OFFSET(AD40,0,-1)+1</f>
        <v>10</v>
      </c>
      <c r="AE40" s="1483">
        <f>OFFSET(AE40,0,-1)+1</f>
        <v>11</v>
      </c>
      <c r="AF40" s="1483">
        <f>OFFSET(AF40,0,-1)+1</f>
        <v>12</v>
      </c>
      <c r="AG40" s="2273">
        <f>OFFSET(AG40,0,-1)+1</f>
        <v>13</v>
      </c>
      <c r="AH40" s="2273"/>
      <c r="AI40" s="1483">
        <f>OFFSET(AI40,0,-2)+1</f>
        <v>14</v>
      </c>
      <c r="AJ40" s="1246">
        <f>OFFSET(AJ40,0,-1)</f>
        <v>14</v>
      </c>
      <c r="AK40" s="1483">
        <f>OFFSET(AK40,0,-1)+1</f>
        <v>15</v>
      </c>
      <c r="AL40" s="512"/>
      <c r="AM40" s="512"/>
      <c r="AN40" s="512"/>
      <c r="AO40" s="512"/>
      <c r="AP40" s="512"/>
      <c r="AQ40" s="497">
        <v>0</v>
      </c>
    </row>
    <row customHeight="1" ht="24">
      <c r="A41" s="1364" t="s">
        <v>396</v>
      </c>
      <c r="B41" s="1364"/>
      <c r="C41" s="1364"/>
      <c r="D41" s="1364"/>
      <c r="E41" s="2259">
        <v>1</v>
      </c>
      <c r="F41" s="1364"/>
      <c r="G41" s="1364"/>
      <c r="H41" s="1364"/>
      <c r="I41" s="1364"/>
      <c r="J41" s="1364"/>
      <c r="K41" s="1364"/>
      <c r="L41" s="1365"/>
      <c r="M41" s="1366"/>
      <c r="N41" s="1366"/>
      <c r="O41" s="1366"/>
      <c r="P41" s="362"/>
      <c r="Q41" s="361"/>
      <c r="R41" s="356"/>
      <c r="S41" s="1494">
        <f>INDEX(PT_DIFFERENTIATION_NUM_NTAR,MATCH(A41,PT_DIFFERENTIATION_NTAR_ID,0))</f>
        <v>0</v>
      </c>
      <c r="T41" s="299" t="s">
        <v>136</v>
      </c>
      <c r="U41" s="301"/>
      <c r="V41" s="2243"/>
      <c r="W41" s="2244"/>
      <c r="X41" s="2244"/>
      <c r="Y41" s="2244"/>
      <c r="Z41" s="2244"/>
      <c r="AA41" s="2244"/>
      <c r="AB41" s="2245"/>
      <c r="AC41" s="2243" t="str">
        <f>INDEX(PT_DIFFERENTIATION_NTAR,MATCH(A41,PT_DIFFERENTIATION_NTAR_ID,0))</f>
        <v/>
      </c>
      <c r="AD41" s="2244"/>
      <c r="AE41" s="2244"/>
      <c r="AF41" s="2244"/>
      <c r="AG41" s="2244"/>
      <c r="AH41" s="2244"/>
      <c r="AI41" s="2244"/>
      <c r="AJ41" s="2245"/>
      <c r="AK41" s="125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AM41" s="501"/>
      <c r="AN41" s="501" t="str">
        <f>IF(T41="","",T41)</f>
        <v>Наименование тарифа</v>
      </c>
      <c r="AO41" s="501"/>
      <c r="AP41" s="501"/>
      <c r="AQ41" s="1156">
        <v>23</v>
      </c>
    </row>
    <row customHeight="1" ht="24">
      <c r="A42" s="1364" t="s">
        <v>396</v>
      </c>
      <c r="B42" s="1364" t="s">
        <v>397</v>
      </c>
      <c r="C42" s="1364"/>
      <c r="D42" s="1364"/>
      <c r="E42" s="2260"/>
      <c r="F42" s="2259">
        <v>1</v>
      </c>
      <c r="G42" s="1364"/>
      <c r="H42" s="1364"/>
      <c r="I42" s="1364"/>
      <c r="J42" s="1364"/>
      <c r="K42" s="1364"/>
      <c r="L42" s="1365"/>
      <c r="M42" s="1366"/>
      <c r="N42" s="1366"/>
      <c r="O42" s="1366"/>
      <c r="P42" s="1488"/>
      <c r="Q42" s="353"/>
      <c r="R42" s="354"/>
      <c r="S42" s="1494" t="str">
        <f>INDEX(PT_DIFFERENTIATION_NUM_TER,MATCH(B42,PT_DIFFERENTIATION_TER_ID,0))</f>
        <v>.</v>
      </c>
      <c r="T42" s="309" t="s">
        <v>527</v>
      </c>
      <c r="U42" s="301"/>
      <c r="V42" s="2243"/>
      <c r="W42" s="2244"/>
      <c r="X42" s="2244"/>
      <c r="Y42" s="2244"/>
      <c r="Z42" s="2244"/>
      <c r="AA42" s="2244"/>
      <c r="AB42" s="2245"/>
      <c r="AC42" s="2243" t="str">
        <f>INDEX(PT_DIFFERENTIATION_TER,MATCH(B42,PT_DIFFERENTIATION_TER_ID,0))</f>
        <v/>
      </c>
      <c r="AD42" s="2244"/>
      <c r="AE42" s="2244"/>
      <c r="AF42" s="2244"/>
      <c r="AG42" s="2244"/>
      <c r="AH42" s="2244"/>
      <c r="AI42" s="2244"/>
      <c r="AJ42" s="2245"/>
      <c r="AK42" s="1259" t="s">
        <v>528</v>
      </c>
      <c r="AM42" s="501"/>
      <c r="AN42" s="501" t="str">
        <f>IF(T42="","",T42)</f>
        <v>Территория действия тарифа</v>
      </c>
      <c r="AO42" s="501"/>
      <c r="AP42" s="501"/>
      <c r="AQ42" s="1156">
        <v>23</v>
      </c>
    </row>
    <row customHeight="1" ht="24">
      <c r="A43" s="1364" t="s">
        <v>396</v>
      </c>
      <c r="B43" s="1364" t="s">
        <v>397</v>
      </c>
      <c r="C43" s="1364" t="s">
        <v>398</v>
      </c>
      <c r="D43" s="1364"/>
      <c r="E43" s="2260"/>
      <c r="F43" s="2260"/>
      <c r="G43" s="2259">
        <v>1</v>
      </c>
      <c r="H43" s="1364"/>
      <c r="I43" s="1364"/>
      <c r="J43" s="1364"/>
      <c r="K43" s="1364"/>
      <c r="L43" s="1365"/>
      <c r="M43" s="1366"/>
      <c r="N43" s="1366"/>
      <c r="O43" s="1366"/>
      <c r="P43" s="355"/>
      <c r="Q43" s="353"/>
      <c r="R43" s="354"/>
      <c r="S43" s="1494" t="str">
        <f>INDEX(PT_DIFFERENTIATION_NUM_CS,MATCH(C43,PT_DIFFERENTIATION_CS_ID,0))</f>
        <v>..</v>
      </c>
      <c r="T43" s="310" t="s">
        <v>647</v>
      </c>
      <c r="U43" s="301"/>
      <c r="V43" s="2243"/>
      <c r="W43" s="2244"/>
      <c r="X43" s="2244"/>
      <c r="Y43" s="2244"/>
      <c r="Z43" s="2244"/>
      <c r="AA43" s="2244"/>
      <c r="AB43" s="2245"/>
      <c r="AC43" s="2243" t="str">
        <f>INDEX(PT_DIFFERENTIATION_CS,MATCH(C43,PT_DIFFERENTIATION_CS_ID,0))</f>
        <v/>
      </c>
      <c r="AD43" s="2244"/>
      <c r="AE43" s="2244"/>
      <c r="AF43" s="2244"/>
      <c r="AG43" s="2244"/>
      <c r="AH43" s="2244"/>
      <c r="AI43" s="2244"/>
      <c r="AJ43" s="2245"/>
      <c r="AK43" s="1259" t="s">
        <v>648</v>
      </c>
      <c r="AM43" s="501"/>
      <c r="AN43" s="501" t="str">
        <f>IF(T43="","",T43)</f>
        <v>Наименование централизованной системы водоотведения</v>
      </c>
      <c r="AO43" s="501"/>
      <c r="AP43" s="501"/>
      <c r="AQ43" s="1156">
        <v>23</v>
      </c>
    </row>
    <row customHeight="1" ht="24">
      <c r="A44" s="1364" t="s">
        <v>396</v>
      </c>
      <c r="B44" s="1364" t="s">
        <v>397</v>
      </c>
      <c r="C44" s="1364" t="s">
        <v>398</v>
      </c>
      <c r="D44" s="1364" t="s">
        <v>651</v>
      </c>
      <c r="E44" s="2260"/>
      <c r="F44" s="2260"/>
      <c r="G44" s="2260"/>
      <c r="H44" s="2260"/>
      <c r="I44" s="2257" t="str">
        <f>S43&amp;".1"</f>
        <v>...1</v>
      </c>
      <c r="J44" s="1364"/>
      <c r="K44" s="1364"/>
      <c r="L44" s="1365"/>
      <c r="P44" s="2258">
        <v>1</v>
      </c>
      <c r="Q44" s="1482"/>
      <c r="R44" s="357"/>
      <c r="S44" s="1494" t="str">
        <f>$I44</f>
        <v>...1</v>
      </c>
      <c r="T44" s="286" t="s">
        <v>614</v>
      </c>
      <c r="U44" s="301"/>
      <c r="V44" s="2351"/>
      <c r="W44" s="2352"/>
      <c r="X44" s="2352"/>
      <c r="Y44" s="2352"/>
      <c r="Z44" s="2352"/>
      <c r="AA44" s="2352"/>
      <c r="AB44" s="2353"/>
      <c r="AC44" s="2354"/>
      <c r="AD44" s="2355"/>
      <c r="AE44" s="2355"/>
      <c r="AF44" s="2355"/>
      <c r="AG44" s="2355"/>
      <c r="AH44" s="2355"/>
      <c r="AI44" s="2355"/>
      <c r="AJ44" s="2356"/>
      <c r="AK44" s="1259" t="s">
        <v>615</v>
      </c>
      <c r="AM44" s="501"/>
      <c r="AN44" s="501" t="str">
        <f>IF(T44="","",T44)</f>
        <v>Наименование признака дифференциации</v>
      </c>
      <c r="AO44" s="501"/>
      <c r="AP44" s="501"/>
      <c r="AQ44" s="1156">
        <v>23</v>
      </c>
    </row>
    <row customHeight="1" ht="24">
      <c r="A45" s="1364" t="s">
        <v>396</v>
      </c>
      <c r="B45" s="1364" t="s">
        <v>397</v>
      </c>
      <c r="C45" s="1364" t="s">
        <v>398</v>
      </c>
      <c r="D45" s="1364" t="s">
        <v>651</v>
      </c>
      <c r="E45" s="2260"/>
      <c r="F45" s="2260"/>
      <c r="G45" s="2260"/>
      <c r="H45" s="2260"/>
      <c r="I45" s="2287"/>
      <c r="J45" s="2257" t="str">
        <f>I44&amp;".1"</f>
        <v>...1.1</v>
      </c>
      <c r="K45" s="1364"/>
      <c r="L45" s="1365" t="s">
        <v>536</v>
      </c>
      <c r="P45" s="2258"/>
      <c r="Q45" s="2258">
        <v>1</v>
      </c>
      <c r="R45" s="358"/>
      <c r="S45" s="1494" t="str">
        <f>$J45</f>
        <v>...1.1</v>
      </c>
      <c r="T45" s="287" t="s">
        <v>537</v>
      </c>
      <c r="U45" s="301"/>
      <c r="V45" s="2246"/>
      <c r="W45" s="2247"/>
      <c r="X45" s="2247"/>
      <c r="Y45" s="2247"/>
      <c r="Z45" s="2247"/>
      <c r="AA45" s="2247"/>
      <c r="AB45" s="2248"/>
      <c r="AC45" s="2246"/>
      <c r="AD45" s="2247"/>
      <c r="AE45" s="2247"/>
      <c r="AF45" s="2247"/>
      <c r="AG45" s="2247"/>
      <c r="AH45" s="2247"/>
      <c r="AI45" s="2247"/>
      <c r="AJ45" s="2248"/>
      <c r="AK45" s="1308" t="s">
        <v>616</v>
      </c>
      <c r="AM45" s="501"/>
      <c r="AN45" s="501" t="str">
        <f>IF(T45="","",T45)</f>
        <v>Группа потребителей</v>
      </c>
      <c r="AO45" s="501"/>
      <c r="AP45" s="501"/>
      <c r="AQ45" s="1156">
        <v>23</v>
      </c>
    </row>
    <row customHeight="1" ht="24">
      <c r="A46" s="1364" t="s">
        <v>396</v>
      </c>
      <c r="B46" s="1364" t="s">
        <v>397</v>
      </c>
      <c r="C46" s="1364" t="s">
        <v>398</v>
      </c>
      <c r="D46" s="1364" t="s">
        <v>651</v>
      </c>
      <c r="E46" s="2260"/>
      <c r="F46" s="2260"/>
      <c r="G46" s="2260"/>
      <c r="H46" s="2260"/>
      <c r="I46" s="2287"/>
      <c r="J46" s="2287"/>
      <c r="K46" s="2257" t="str">
        <f>J45&amp;".1"</f>
        <v>...1.1.1</v>
      </c>
      <c r="L46" s="1365"/>
      <c r="P46" s="2258"/>
      <c r="Q46" s="2258"/>
      <c r="R46" s="358">
        <v>1</v>
      </c>
      <c r="S46" s="1494" t="str">
        <f>$K46</f>
        <v>...1.1.1</v>
      </c>
      <c r="T46" s="1438"/>
      <c r="U46" s="301"/>
      <c r="V46" s="1361"/>
      <c r="W46" s="1361"/>
      <c r="X46" s="1362"/>
      <c r="Y46" s="2268"/>
      <c r="Z46" s="2269" t="s">
        <v>65</v>
      </c>
      <c r="AA46" s="2268"/>
      <c r="AB46" s="2269" t="s">
        <v>65</v>
      </c>
      <c r="AC46" s="752"/>
      <c r="AD46" s="752"/>
      <c r="AE46" s="1258"/>
      <c r="AF46" s="2266"/>
      <c r="AG46" s="2108" t="s">
        <v>65</v>
      </c>
      <c r="AH46" s="2288"/>
      <c r="AI46" s="2108" t="s">
        <v>19</v>
      </c>
      <c r="AJ46" s="1439"/>
      <c r="AK46" s="2350"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2">
        <f>STRCHECKDATE(V47:AJ47)</f>
      </c>
      <c r="AM46" s="501"/>
      <c r="AN46" s="501" t="str">
        <f>IF(T46="","",T46)</f>
        <v/>
      </c>
      <c r="AO46" s="501"/>
      <c r="AP46" s="501"/>
      <c r="AQ46" s="1156">
        <v>23</v>
      </c>
    </row>
    <row customHeight="1" ht="0">
      <c r="A47" s="1364" t="s">
        <v>396</v>
      </c>
      <c r="B47" s="1364" t="s">
        <v>397</v>
      </c>
      <c r="C47" s="1364" t="s">
        <v>398</v>
      </c>
      <c r="D47" s="1364" t="s">
        <v>651</v>
      </c>
      <c r="E47" s="2260"/>
      <c r="F47" s="2260"/>
      <c r="G47" s="2260"/>
      <c r="H47" s="2260"/>
      <c r="I47" s="2287"/>
      <c r="J47" s="2287"/>
      <c r="K47" s="2257"/>
      <c r="L47" s="1365"/>
      <c r="P47" s="2258"/>
      <c r="Q47" s="2258"/>
      <c r="R47" s="358"/>
      <c r="S47" s="1491"/>
      <c r="T47" s="301"/>
      <c r="U47" s="301"/>
      <c r="V47" s="1361"/>
      <c r="W47" s="1361"/>
      <c r="X47" s="329" t="str">
        <f>Y46&amp;"-"&amp;AA46</f>
        <v>-</v>
      </c>
      <c r="Y47" s="2269"/>
      <c r="Z47" s="2269"/>
      <c r="AA47" s="2269"/>
      <c r="AB47" s="2269"/>
      <c r="AC47" s="326"/>
      <c r="AD47" s="326"/>
      <c r="AE47" s="329" t="str">
        <f>AF46&amp;"-"&amp;AH46</f>
        <v>-</v>
      </c>
      <c r="AF47" s="2267"/>
      <c r="AG47" s="2108"/>
      <c r="AH47" s="2289"/>
      <c r="AI47" s="2108"/>
      <c r="AJ47" s="1440"/>
      <c r="AK47" s="2350"/>
      <c r="AM47" s="501"/>
      <c r="AN47" s="501" t="str">
        <f>IF(T47="","",T47)</f>
        <v/>
      </c>
      <c r="AO47" s="501"/>
      <c r="AP47" s="501"/>
      <c r="AQ47" s="1156">
        <v>0</v>
      </c>
    </row>
    <row customHeight="1" ht="21">
      <c r="A48" s="1364" t="s">
        <v>396</v>
      </c>
      <c r="B48" s="1364" t="s">
        <v>397</v>
      </c>
      <c r="C48" s="1364" t="s">
        <v>398</v>
      </c>
      <c r="D48" s="1364" t="s">
        <v>651</v>
      </c>
      <c r="E48" s="2260"/>
      <c r="F48" s="2260"/>
      <c r="G48" s="2260"/>
      <c r="H48" s="2260"/>
      <c r="I48" s="2287"/>
      <c r="J48" s="2257"/>
      <c r="K48" s="1364"/>
      <c r="L48" s="1365"/>
      <c r="P48" s="2258"/>
      <c r="Q48" s="2258"/>
      <c r="R48" s="357"/>
      <c r="S48" s="1279"/>
      <c r="T48" s="288" t="s">
        <v>617</v>
      </c>
      <c r="U48" s="368"/>
      <c r="V48" s="368"/>
      <c r="W48" s="368"/>
      <c r="X48" s="368"/>
      <c r="Y48" s="368"/>
      <c r="Z48" s="368"/>
      <c r="AA48" s="368"/>
      <c r="AB48" s="368"/>
      <c r="AC48" s="368"/>
      <c r="AD48" s="368"/>
      <c r="AE48" s="368"/>
      <c r="AF48" s="368"/>
      <c r="AG48" s="368"/>
      <c r="AH48" s="368"/>
      <c r="AI48" s="368"/>
      <c r="AJ48" s="368"/>
      <c r="AK48" s="1259" t="s">
        <v>618</v>
      </c>
      <c r="AM48" s="501"/>
      <c r="AN48" s="501" t="str">
        <f>IF(T48="","",T48)</f>
        <v>Добавить значение признака дифференциации</v>
      </c>
      <c r="AO48" s="501"/>
      <c r="AP48" s="501"/>
      <c r="AQ48" s="1156">
        <v>20</v>
      </c>
    </row>
    <row customHeight="1" ht="22.049999999999997">
      <c r="A49" s="1364" t="s">
        <v>396</v>
      </c>
      <c r="B49" s="1364" t="s">
        <v>397</v>
      </c>
      <c r="C49" s="1364" t="s">
        <v>398</v>
      </c>
      <c r="D49" s="1364" t="s">
        <v>651</v>
      </c>
      <c r="E49" s="2260"/>
      <c r="F49" s="2260"/>
      <c r="G49" s="2260"/>
      <c r="H49" s="2260"/>
      <c r="I49" s="2257"/>
      <c r="J49" s="1364"/>
      <c r="K49" s="1364"/>
      <c r="L49" s="1365"/>
      <c r="P49" s="2258"/>
      <c r="Q49" s="1482"/>
      <c r="R49" s="357"/>
      <c r="S49" s="1279"/>
      <c r="T49" s="366" t="s">
        <v>542</v>
      </c>
      <c r="U49" s="368"/>
      <c r="V49" s="368"/>
      <c r="W49" s="368"/>
      <c r="X49" s="368"/>
      <c r="Y49" s="368"/>
      <c r="Z49" s="368"/>
      <c r="AA49" s="368"/>
      <c r="AB49" s="367"/>
      <c r="AC49" s="368"/>
      <c r="AD49" s="368"/>
      <c r="AE49" s="368"/>
      <c r="AF49" s="368"/>
      <c r="AG49" s="368"/>
      <c r="AH49" s="368"/>
      <c r="AI49" s="367"/>
      <c r="AJ49" s="368"/>
      <c r="AK49" s="1441"/>
      <c r="AM49" s="501"/>
      <c r="AN49" s="501" t="str">
        <f>IF(T49="","",T49)</f>
        <v>Добавить группу потребителей</v>
      </c>
      <c r="AO49" s="501"/>
      <c r="AP49" s="501"/>
      <c r="AQ49" s="1156">
        <v>21</v>
      </c>
    </row>
    <row customHeight="1" ht="22.049999999999997">
      <c r="A50" s="1364" t="s">
        <v>396</v>
      </c>
      <c r="B50" s="1364" t="s">
        <v>397</v>
      </c>
      <c r="C50" s="1364" t="s">
        <v>398</v>
      </c>
      <c r="D50" s="1364" t="s">
        <v>651</v>
      </c>
      <c r="E50" s="2260"/>
      <c r="F50" s="2260"/>
      <c r="G50" s="2260"/>
      <c r="H50" s="2259"/>
      <c r="I50" s="1364"/>
      <c r="J50" s="1364"/>
      <c r="K50" s="1364"/>
      <c r="L50" s="1365"/>
      <c r="M50" s="1366"/>
      <c r="N50" s="1366"/>
      <c r="O50" s="538"/>
      <c r="P50" s="361"/>
      <c r="Q50" s="376"/>
      <c r="R50" s="356"/>
      <c r="S50" s="1279"/>
      <c r="T50" s="373" t="s">
        <v>619</v>
      </c>
      <c r="U50" s="368"/>
      <c r="V50" s="368"/>
      <c r="W50" s="368"/>
      <c r="X50" s="368"/>
      <c r="Y50" s="368"/>
      <c r="Z50" s="368"/>
      <c r="AA50" s="368"/>
      <c r="AB50" s="367"/>
      <c r="AC50" s="368"/>
      <c r="AD50" s="368"/>
      <c r="AE50" s="368"/>
      <c r="AF50" s="368"/>
      <c r="AG50" s="368"/>
      <c r="AH50" s="368"/>
      <c r="AI50" s="367"/>
      <c r="AJ50" s="368"/>
      <c r="AK50" s="304"/>
      <c r="AM50" s="501"/>
      <c r="AN50" s="501" t="str">
        <f>IF(T50="","",T50)</f>
        <v>Добавить наименование признака дифференциации</v>
      </c>
      <c r="AO50" s="501"/>
      <c r="AP50" s="501"/>
      <c r="AQ50" s="1156">
        <v>21</v>
      </c>
    </row>
    <row s="1643" customFormat="1" customHeight="1" ht="0">
      <c r="A51" s="1344" t="s">
        <v>396</v>
      </c>
      <c r="B51" s="1344" t="s">
        <v>397</v>
      </c>
      <c r="C51" s="1315"/>
      <c r="D51" s="1315"/>
      <c r="E51" s="2260"/>
      <c r="F51" s="2259"/>
      <c r="G51" s="1315"/>
      <c r="H51" s="1315"/>
      <c r="I51" s="1315"/>
      <c r="J51" s="1315"/>
      <c r="K51" s="1315"/>
      <c r="L51" s="1495"/>
      <c r="M51" s="1322"/>
      <c r="N51" s="1322"/>
      <c r="P51" s="1317"/>
      <c r="Q51" s="1318"/>
      <c r="R51" s="1317"/>
      <c r="S51" s="1323"/>
      <c r="T51" s="1326" t="s">
        <v>178</v>
      </c>
      <c r="U51" s="1325"/>
      <c r="V51" s="1325"/>
      <c r="W51" s="1325"/>
      <c r="X51" s="1325"/>
      <c r="Y51" s="1325"/>
      <c r="Z51" s="1325"/>
      <c r="AA51" s="1325"/>
      <c r="AB51" s="1325"/>
      <c r="AC51" s="1325"/>
      <c r="AD51" s="1325"/>
      <c r="AE51" s="1325"/>
      <c r="AF51" s="1325"/>
      <c r="AG51" s="1325"/>
      <c r="AH51" s="1325"/>
      <c r="AI51" s="1325"/>
      <c r="AJ51" s="1325"/>
      <c r="AK51" s="1325"/>
      <c r="AM51" s="790"/>
      <c r="AN51" s="790" t="str">
        <f>IF(T51="","",T51)</f>
        <v>Добавить централизованную систему для дифференциации</v>
      </c>
      <c r="AO51" s="790"/>
      <c r="AP51" s="790"/>
      <c r="AQ51" s="519">
        <v>0</v>
      </c>
    </row>
    <row s="1643" customFormat="1" customHeight="1" ht="0">
      <c r="A52" s="1344" t="s">
        <v>396</v>
      </c>
      <c r="B52" s="1344"/>
      <c r="C52" s="1344"/>
      <c r="D52" s="1344"/>
      <c r="E52" s="2259"/>
      <c r="F52" s="1344"/>
      <c r="G52" s="1344"/>
      <c r="H52" s="1344"/>
      <c r="I52" s="1344"/>
      <c r="J52" s="1344"/>
      <c r="K52" s="1344"/>
      <c r="L52" s="1347"/>
      <c r="M52" s="1322"/>
      <c r="N52" s="1322"/>
      <c r="O52" s="519"/>
      <c r="P52" s="381"/>
      <c r="Q52" s="1345"/>
      <c r="R52" s="381"/>
      <c r="S52" s="1323"/>
      <c r="T52" s="1326" t="s">
        <v>183</v>
      </c>
      <c r="U52" s="1325"/>
      <c r="V52" s="1325"/>
      <c r="W52" s="1325"/>
      <c r="X52" s="1325"/>
      <c r="Y52" s="1325"/>
      <c r="Z52" s="1325"/>
      <c r="AA52" s="1325"/>
      <c r="AB52" s="1325"/>
      <c r="AC52" s="1325"/>
      <c r="AD52" s="1325"/>
      <c r="AE52" s="1325"/>
      <c r="AF52" s="1325"/>
      <c r="AG52" s="1325"/>
      <c r="AH52" s="1325"/>
      <c r="AI52" s="1325"/>
      <c r="AJ52" s="1325"/>
      <c r="AK52" s="1325"/>
      <c r="AM52" s="501"/>
      <c r="AN52" s="501" t="str">
        <f>IF(T52="","",T52)</f>
        <v>Добавить территорию для дифференциации</v>
      </c>
      <c r="AO52" s="501"/>
      <c r="AP52" s="501"/>
      <c r="AQ52" s="512">
        <v>0</v>
      </c>
    </row>
    <row s="1643" customFormat="1" customHeight="1" ht="0">
      <c r="A53" s="1315"/>
      <c r="B53" s="1315"/>
      <c r="C53" s="1315"/>
      <c r="D53" s="1315"/>
      <c r="E53" s="1344"/>
      <c r="F53" s="1315"/>
      <c r="G53" s="1315"/>
      <c r="H53" s="1315"/>
      <c r="I53" s="1315"/>
      <c r="J53" s="1315"/>
      <c r="K53" s="1315"/>
      <c r="L53" s="1495"/>
      <c r="M53" s="1322"/>
      <c r="N53" s="1322"/>
      <c r="P53" s="1317"/>
      <c r="Q53" s="1318"/>
      <c r="R53" s="1317"/>
      <c r="S53" s="1323"/>
      <c r="T53" s="1326" t="s">
        <v>222</v>
      </c>
      <c r="U53" s="1325"/>
      <c r="V53" s="1325"/>
      <c r="W53" s="1325"/>
      <c r="X53" s="1325"/>
      <c r="Y53" s="1325"/>
      <c r="Z53" s="1325"/>
      <c r="AA53" s="1325"/>
      <c r="AB53" s="1325"/>
      <c r="AC53" s="1325"/>
      <c r="AD53" s="1325"/>
      <c r="AE53" s="1325"/>
      <c r="AF53" s="1325"/>
      <c r="AG53" s="1325"/>
      <c r="AH53" s="1325"/>
      <c r="AI53" s="1325"/>
      <c r="AJ53" s="1325"/>
      <c r="AK53" s="1325"/>
      <c r="AM53" s="790"/>
      <c r="AN53" s="790" t="str">
        <f>IF(T53="","",T53)</f>
        <v>Добавить наименование тарифа</v>
      </c>
      <c r="AO53" s="790"/>
      <c r="AP53" s="790"/>
      <c r="AQ53" s="519">
        <v>0</v>
      </c>
    </row>
    <row customHeight="1" ht="11.549999999999999">
      <c r="M54" s="1161"/>
      <c r="N54" s="1161"/>
      <c r="O54" s="538"/>
      <c r="P54" s="1156"/>
      <c r="Q54" s="1156"/>
      <c r="R54" s="1156"/>
      <c r="S54" s="1156"/>
      <c r="AL54" s="1156"/>
      <c r="AM54" s="1156"/>
      <c r="AN54" s="1156"/>
      <c r="AO54" s="1156"/>
      <c r="AP54" s="1156"/>
      <c r="AQ54" s="1156">
        <v>11</v>
      </c>
    </row>
    <row customHeight="1" ht="14.699999999999998">
      <c r="O55" s="538"/>
      <c r="S55" s="1254"/>
      <c r="T55" s="2286"/>
      <c r="U55" s="2286"/>
      <c r="V55" s="2286"/>
      <c r="W55" s="2286"/>
      <c r="X55" s="2286"/>
      <c r="Y55" s="2286"/>
      <c r="Z55" s="2286"/>
      <c r="AA55" s="2286"/>
      <c r="AB55" s="2286"/>
      <c r="AC55" s="2286"/>
      <c r="AD55" s="2286"/>
      <c r="AE55" s="2286"/>
      <c r="AF55" s="2286"/>
      <c r="AG55" s="2286"/>
      <c r="AH55" s="2286"/>
      <c r="AI55" s="2286"/>
      <c r="AJ55" s="2286"/>
      <c r="AK55" s="2286"/>
      <c r="AQ55" s="1156">
        <v>14</v>
      </c>
    </row>
    <row customHeight="1" ht="14.699999999999998">
      <c r="O56" s="538"/>
      <c r="AQ56" s="1156">
        <v>14</v>
      </c>
    </row>
    <row customHeight="1" ht="14.699999999999998">
      <c r="O57" s="538"/>
      <c r="S57" s="1254"/>
      <c r="T57" s="2286"/>
      <c r="U57" s="2286"/>
      <c r="V57" s="2286"/>
      <c r="W57" s="2286"/>
      <c r="X57" s="2286"/>
      <c r="Y57" s="2286"/>
      <c r="Z57" s="2286"/>
      <c r="AA57" s="2286"/>
      <c r="AB57" s="2286"/>
      <c r="AC57" s="2286"/>
      <c r="AD57" s="2286"/>
      <c r="AE57" s="2286"/>
      <c r="AF57" s="2286"/>
      <c r="AG57" s="2286"/>
      <c r="AH57" s="2286"/>
      <c r="AI57" s="2286"/>
      <c r="AJ57" s="2286"/>
      <c r="AK57" s="2286"/>
      <c r="AQ57" s="1156">
        <v>14</v>
      </c>
    </row>
    <row customHeight="1" ht="22.5" hidden="1">
      <c r="A58" s="1161" t="s">
        <v>86</v>
      </c>
      <c r="B58" s="1161">
        <v>0</v>
      </c>
      <c r="C58" s="1161">
        <v>0</v>
      </c>
      <c r="D58" s="1161">
        <v>0</v>
      </c>
      <c r="E58" s="1161">
        <v>0</v>
      </c>
      <c r="F58" s="1161">
        <v>0</v>
      </c>
      <c r="G58" s="1161">
        <v>0</v>
      </c>
      <c r="H58" s="1161">
        <v>0</v>
      </c>
      <c r="I58" s="1161">
        <v>0</v>
      </c>
      <c r="J58" s="1161">
        <v>0</v>
      </c>
      <c r="K58" s="1161">
        <v>0</v>
      </c>
      <c r="L58" s="1479">
        <v>0</v>
      </c>
      <c r="M58" s="1363">
        <v>0</v>
      </c>
      <c r="N58" s="1363">
        <v>0</v>
      </c>
      <c r="O58" s="1363">
        <v>0</v>
      </c>
      <c r="P58" s="1474">
        <v>3</v>
      </c>
      <c r="Q58" s="345">
        <v>3</v>
      </c>
      <c r="R58" s="345">
        <v>3</v>
      </c>
      <c r="S58" s="582">
        <v>12</v>
      </c>
      <c r="T58" s="1156">
        <v>35</v>
      </c>
      <c r="U58" s="1156">
        <v>0</v>
      </c>
      <c r="V58" s="1156">
        <v>0</v>
      </c>
      <c r="W58" s="1156">
        <v>0</v>
      </c>
      <c r="X58" s="1156">
        <v>0</v>
      </c>
      <c r="Y58" s="1156">
        <v>0</v>
      </c>
      <c r="Z58" s="1156">
        <v>0</v>
      </c>
      <c r="AA58" s="1156">
        <v>0</v>
      </c>
      <c r="AB58" s="1156">
        <v>0</v>
      </c>
      <c r="AC58" s="1156">
        <v>24</v>
      </c>
      <c r="AD58" s="1156">
        <v>24</v>
      </c>
      <c r="AE58" s="1156">
        <v>24</v>
      </c>
      <c r="AF58" s="1156">
        <v>11</v>
      </c>
      <c r="AG58" s="1156">
        <v>3</v>
      </c>
      <c r="AH58" s="1156">
        <v>11</v>
      </c>
      <c r="AI58" s="1156">
        <v>0</v>
      </c>
      <c r="AJ58" s="1156">
        <v>4</v>
      </c>
      <c r="AK58" s="1156">
        <v>115</v>
      </c>
      <c r="AL58" s="512">
        <v>10</v>
      </c>
      <c r="AM58" s="512">
        <v>10</v>
      </c>
      <c r="AN58" s="512">
        <v>10</v>
      </c>
      <c r="AO58" s="512">
        <v>10</v>
      </c>
      <c r="AP58" s="512">
        <v>10</v>
      </c>
      <c r="AQ58" s="1156">
        <v>23</v>
      </c>
    </row>
  </sheetData>
  <sheetProtection formatColumns="0" formatRows="0" autoFilter="0" sort="0" insertRows="0" insertColumns="1" deleteRows="0" deleteColumns="0"/>
  <mergeCells count="101">
    <mergeCell ref="AK46:AK47"/>
    <mergeCell ref="T55:AK55"/>
    <mergeCell ref="T57:AK57"/>
    <mergeCell ref="K46:K47"/>
    <mergeCell ref="Y46:Y47"/>
    <mergeCell ref="Z46:Z47"/>
    <mergeCell ref="AA46:AA47"/>
    <mergeCell ref="AB46:AB47"/>
    <mergeCell ref="AF46:AF47"/>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7:AK8"/>
    <mergeCell ref="AF15:AF16"/>
    <mergeCell ref="AG15:AG16"/>
    <mergeCell ref="AH15:AH16"/>
    <mergeCell ref="AI15:AI16"/>
    <mergeCell ref="Z7:Z8"/>
    <mergeCell ref="AA7:AA8"/>
    <mergeCell ref="AB7:AB8"/>
    <mergeCell ref="AF7:AF8"/>
    <mergeCell ref="AG7:AG8"/>
    <mergeCell ref="AH7:AH8"/>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s>
  <dataValidations count="8">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524330 AI196650 AI589866 AI655402 AI15 AI720938 AI786474 AI852010 AI917546 AI983082 AI65578 AI131114 AI458794 AI262186 AI7 AG46 AI327722 AG15 AG7 Z7 AB7 AI393258 AI46 Z46 AB46"/>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AH7 AF7 Y7 AA7 Y46 AA46"/>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5:AJ5 AC44:AJ44">
      <formula1>900</formula1>
    </dataValidation>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AE47 AE8 X8 X47"/>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CBBC689-3318-BA68-64DE-4ADAAFCF0A28}" mc:Ignorable="x14ac xr xr2 xr3">
  <sheetPr>
    <tabColor theme="6" tint="0.4"/>
  </sheetPr>
  <dimension ref="A1:AQ58"/>
  <sheetViews>
    <sheetView showGridLines="0" zoomScale="90" workbookViewId="0">
      <pane xSplit="28" ySplit="40" topLeftCell="AC41" activePane="bottomRight" state="frozen"/>
      <selection pane="bottomLeft" activeCell="A41" sqref="A41"/>
      <selection pane="topRight" activeCell="AC1" sqref="AC1"/>
      <selection pane="bottomRight" activeCell="A1" sqref="A1"/>
    </sheetView>
  </sheetViews>
  <sheetFormatPr defaultColWidth="10.57421875" customHeight="1" defaultRowHeight="14.25"/>
  <cols>
    <col min="1" max="1" style="1367" width="10.57421875" hidden="1"/>
    <col min="2" max="2" style="1367" width="11.00390625" hidden="1" customWidth="1"/>
    <col min="3" max="3" style="1367" width="10.57421875" hidden="1"/>
    <col min="4" max="4" style="1367" width="11.8515625" hidden="1" customWidth="1"/>
    <col min="5" max="5" style="1367" width="10.00390625" hidden="1" customWidth="1"/>
    <col min="6" max="6" style="1367" width="8.7109375" hidden="1" customWidth="1"/>
    <col min="7" max="7" style="1367" width="7.57421875" hidden="1" customWidth="1"/>
    <col min="8" max="8" style="1367" width="11.421875" hidden="1" customWidth="1"/>
    <col min="9" max="9" style="1367" width="14.140625" hidden="1" customWidth="1"/>
    <col min="10" max="10" style="1367" width="9.8515625" hidden="1" customWidth="1"/>
    <col min="11" max="11" style="1367" width="14.7109375" hidden="1" customWidth="1"/>
    <col min="12" max="12" style="2608" width="19.140625" hidden="1" customWidth="1"/>
    <col min="13" max="14" style="1777" width="12.28125" hidden="1" customWidth="1"/>
    <col min="15" max="15" style="1777" width="23.421875" hidden="1" customWidth="1"/>
    <col min="16" max="16" style="2398" width="3.00390625" customWidth="1"/>
    <col min="17" max="18" style="345" width="3.00390625" customWidth="1"/>
    <col min="19" max="19" style="2408" width="12.00390625" customWidth="1"/>
    <col min="20" max="20" style="1636" width="35.00390625" customWidth="1"/>
    <col min="21" max="21" style="1636" width="0.140625" customWidth="1"/>
    <col min="22" max="24" style="1636" width="24.7109375" hidden="1" customWidth="1"/>
    <col min="25" max="25" style="1636" width="11.7109375" hidden="1" customWidth="1"/>
    <col min="26" max="26" style="1636" width="3.7109375" hidden="1" customWidth="1"/>
    <col min="27" max="27" style="1636" width="11.7109375" hidden="1" customWidth="1"/>
    <col min="28" max="28" style="1636" width="8.57421875" hidden="1" customWidth="1"/>
    <col min="29" max="29" style="1636" width="24.7109375" customWidth="1"/>
    <col min="30" max="31" style="1636" width="24.00390625" customWidth="1"/>
    <col min="32" max="32" style="1636" width="11.00390625" customWidth="1"/>
    <col min="33" max="33" style="1636" width="3.7109375" customWidth="1"/>
    <col min="34" max="34" style="1636" width="11.00390625" customWidth="1"/>
    <col min="35" max="35" style="1636" width="8.57421875" hidden="1" customWidth="1"/>
    <col min="36" max="36" style="1636" width="4.00390625" customWidth="1"/>
    <col min="37" max="37" style="1636" width="115.00390625" customWidth="1"/>
    <col min="38" max="42" style="1643" width="10.00390625" customWidth="1"/>
    <col min="43" max="43" style="1636" width="10.57421875" hidden="1"/>
  </cols>
  <sheetData>
    <row customHeight="1" ht="22.5" hidden="1">
      <c r="X1" s="328"/>
      <c r="Y1" s="328"/>
      <c r="AE1" s="328"/>
      <c r="AF1" s="328"/>
      <c r="AQ1" s="1156" t="s">
        <v>14</v>
      </c>
    </row>
    <row customHeight="1" ht="23.25" hidden="1">
      <c r="A2" s="1364"/>
      <c r="B2" s="1364"/>
      <c r="C2" s="1364"/>
      <c r="D2" s="1364"/>
      <c r="E2" s="2259">
        <v>1</v>
      </c>
      <c r="F2" s="1364"/>
      <c r="G2" s="1364"/>
      <c r="H2" s="1364"/>
      <c r="I2" s="1364"/>
      <c r="J2" s="1364"/>
      <c r="K2" s="1364"/>
      <c r="L2" s="1365"/>
      <c r="M2" s="1366"/>
      <c r="N2" s="1366"/>
      <c r="O2" s="1366"/>
      <c r="P2" s="362"/>
      <c r="Q2" s="361"/>
      <c r="R2" s="356"/>
      <c r="S2" s="1494">
        <f>INDEX(PT_DIFFERENTIATION_NUM_NTAR,MATCH(A2,PT_DIFFERENTIATION_NTAR_ID,0))</f>
      </c>
      <c r="T2" s="299" t="s">
        <v>136</v>
      </c>
      <c r="U2" s="301"/>
      <c r="V2" s="2243"/>
      <c r="W2" s="2244"/>
      <c r="X2" s="2244"/>
      <c r="Y2" s="2244"/>
      <c r="Z2" s="2244"/>
      <c r="AA2" s="2244"/>
      <c r="AB2" s="2245"/>
      <c r="AC2" s="2243">
        <f>INDEX(PT_DIFFERENTIATION_NTAR,MATCH(A2,PT_DIFFERENTIATION_NTAR_ID,0))</f>
      </c>
      <c r="AD2" s="2244"/>
      <c r="AE2" s="2244"/>
      <c r="AF2" s="2244"/>
      <c r="AG2" s="2244"/>
      <c r="AH2" s="2244"/>
      <c r="AI2" s="2244"/>
      <c r="AJ2" s="2245"/>
      <c r="AK2" s="125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AM2" s="501"/>
      <c r="AN2" s="501" t="str">
        <f>IF(T2="","",T2)</f>
        <v>Наименование тарифа</v>
      </c>
      <c r="AO2" s="501"/>
      <c r="AP2" s="501"/>
      <c r="AQ2" s="1156">
        <v>0</v>
      </c>
    </row>
    <row customHeight="1" ht="23.25" hidden="1">
      <c r="A3" s="1364"/>
      <c r="B3" s="1364"/>
      <c r="C3" s="1364"/>
      <c r="D3" s="1364"/>
      <c r="E3" s="2260"/>
      <c r="F3" s="2259">
        <v>1</v>
      </c>
      <c r="G3" s="1364"/>
      <c r="H3" s="1364"/>
      <c r="I3" s="1364"/>
      <c r="J3" s="1364"/>
      <c r="K3" s="1364"/>
      <c r="L3" s="1365"/>
      <c r="M3" s="1366"/>
      <c r="N3" s="1366"/>
      <c r="O3" s="1366"/>
      <c r="P3" s="1488"/>
      <c r="Q3" s="353"/>
      <c r="R3" s="354"/>
      <c r="S3" s="1494">
        <f>INDEX(PT_DIFFERENTIATION_NUM_TER,MATCH(B3,PT_DIFFERENTIATION_TER_ID,0))</f>
      </c>
      <c r="T3" s="309" t="s">
        <v>527</v>
      </c>
      <c r="U3" s="301"/>
      <c r="V3" s="2243"/>
      <c r="W3" s="2244"/>
      <c r="X3" s="2244"/>
      <c r="Y3" s="2244"/>
      <c r="Z3" s="2244"/>
      <c r="AA3" s="2244"/>
      <c r="AB3" s="2245"/>
      <c r="AC3" s="2243">
        <f>INDEX(PT_DIFFERENTIATION_TER,MATCH(B3,PT_DIFFERENTIATION_TER_ID,0))</f>
      </c>
      <c r="AD3" s="2244"/>
      <c r="AE3" s="2244"/>
      <c r="AF3" s="2244"/>
      <c r="AG3" s="2244"/>
      <c r="AH3" s="2244"/>
      <c r="AI3" s="2244"/>
      <c r="AJ3" s="2245"/>
      <c r="AK3" s="1259" t="s">
        <v>528</v>
      </c>
      <c r="AM3" s="501"/>
      <c r="AN3" s="501" t="str">
        <f>IF(T3="","",T3)</f>
        <v>Территория действия тарифа</v>
      </c>
      <c r="AO3" s="501"/>
      <c r="AP3" s="501"/>
      <c r="AQ3" s="1156">
        <v>0</v>
      </c>
    </row>
    <row customHeight="1" ht="23.25" hidden="1">
      <c r="A4" s="1364"/>
      <c r="B4" s="1364"/>
      <c r="C4" s="1364"/>
      <c r="D4" s="1364"/>
      <c r="E4" s="2260"/>
      <c r="F4" s="2260"/>
      <c r="G4" s="2259">
        <v>1</v>
      </c>
      <c r="H4" s="1364"/>
      <c r="I4" s="1364"/>
      <c r="J4" s="1364"/>
      <c r="K4" s="1364"/>
      <c r="L4" s="1365"/>
      <c r="M4" s="1366"/>
      <c r="N4" s="1366"/>
      <c r="O4" s="1366"/>
      <c r="P4" s="355"/>
      <c r="Q4" s="353"/>
      <c r="R4" s="354"/>
      <c r="S4" s="1494">
        <f>INDEX(PT_DIFFERENTIATION_NUM_CS,MATCH(C4,PT_DIFFERENTIATION_CS_ID,0))</f>
      </c>
      <c r="T4" s="310" t="s">
        <v>647</v>
      </c>
      <c r="U4" s="301"/>
      <c r="V4" s="2243"/>
      <c r="W4" s="2244"/>
      <c r="X4" s="2244"/>
      <c r="Y4" s="2244"/>
      <c r="Z4" s="2244"/>
      <c r="AA4" s="2244"/>
      <c r="AB4" s="2245"/>
      <c r="AC4" s="2243">
        <f>INDEX(PT_DIFFERENTIATION_CS,MATCH(C4,PT_DIFFERENTIATION_CS_ID,0))</f>
      </c>
      <c r="AD4" s="2244"/>
      <c r="AE4" s="2244"/>
      <c r="AF4" s="2244"/>
      <c r="AG4" s="2244"/>
      <c r="AH4" s="2244"/>
      <c r="AI4" s="2244"/>
      <c r="AJ4" s="2245"/>
      <c r="AK4" s="1259" t="s">
        <v>648</v>
      </c>
      <c r="AM4" s="501"/>
      <c r="AN4" s="501" t="str">
        <f>IF(T4="","",T4)</f>
        <v>Наименование централизованной системы водоотведения</v>
      </c>
      <c r="AO4" s="501"/>
      <c r="AP4" s="501"/>
      <c r="AQ4" s="1156">
        <v>0</v>
      </c>
    </row>
    <row customHeight="1" ht="23.25" hidden="1">
      <c r="A5" s="1364"/>
      <c r="B5" s="1364"/>
      <c r="C5" s="1364"/>
      <c r="D5" s="1364"/>
      <c r="E5" s="2260"/>
      <c r="F5" s="2260"/>
      <c r="G5" s="2260"/>
      <c r="H5" s="2260"/>
      <c r="I5" s="2257">
        <f>S4&amp;".1"</f>
      </c>
      <c r="J5" s="1364"/>
      <c r="K5" s="1364"/>
      <c r="L5" s="1365"/>
      <c r="P5" s="2258">
        <v>1</v>
      </c>
      <c r="Q5" s="1482"/>
      <c r="R5" s="357"/>
      <c r="S5" s="1494">
        <f>$I5</f>
      </c>
      <c r="T5" s="286" t="s">
        <v>614</v>
      </c>
      <c r="U5" s="301"/>
      <c r="V5" s="2351"/>
      <c r="W5" s="2352"/>
      <c r="X5" s="2352"/>
      <c r="Y5" s="2352"/>
      <c r="Z5" s="2352"/>
      <c r="AA5" s="2352"/>
      <c r="AB5" s="2353"/>
      <c r="AC5" s="2354"/>
      <c r="AD5" s="2355"/>
      <c r="AE5" s="2355"/>
      <c r="AF5" s="2355"/>
      <c r="AG5" s="2355"/>
      <c r="AH5" s="2355"/>
      <c r="AI5" s="2355"/>
      <c r="AJ5" s="2356"/>
      <c r="AK5" s="1259" t="s">
        <v>615</v>
      </c>
      <c r="AM5" s="501"/>
      <c r="AN5" s="501" t="str">
        <f>IF(T5="","",T5)</f>
        <v>Наименование признака дифференциации</v>
      </c>
      <c r="AO5" s="501"/>
      <c r="AP5" s="501"/>
      <c r="AQ5" s="1156">
        <v>0</v>
      </c>
    </row>
    <row customHeight="1" ht="23.25" hidden="1">
      <c r="A6" s="1364"/>
      <c r="B6" s="1364"/>
      <c r="C6" s="1364"/>
      <c r="D6" s="1364"/>
      <c r="E6" s="2260"/>
      <c r="F6" s="2260"/>
      <c r="G6" s="2260"/>
      <c r="H6" s="2260"/>
      <c r="I6" s="2287"/>
      <c r="J6" s="2257">
        <f>I5&amp;".1"</f>
      </c>
      <c r="K6" s="1364"/>
      <c r="L6" s="1365" t="s">
        <v>536</v>
      </c>
      <c r="P6" s="2258"/>
      <c r="Q6" s="2258">
        <v>1</v>
      </c>
      <c r="R6" s="358"/>
      <c r="S6" s="1494">
        <f>$J6</f>
      </c>
      <c r="T6" s="287" t="s">
        <v>537</v>
      </c>
      <c r="U6" s="301"/>
      <c r="V6" s="2246"/>
      <c r="W6" s="2247"/>
      <c r="X6" s="2247"/>
      <c r="Y6" s="2247"/>
      <c r="Z6" s="2247"/>
      <c r="AA6" s="2247"/>
      <c r="AB6" s="2248"/>
      <c r="AC6" s="2246"/>
      <c r="AD6" s="2247"/>
      <c r="AE6" s="2247"/>
      <c r="AF6" s="2247"/>
      <c r="AG6" s="2247"/>
      <c r="AH6" s="2247"/>
      <c r="AI6" s="2247"/>
      <c r="AJ6" s="2248"/>
      <c r="AK6" s="1308" t="s">
        <v>616</v>
      </c>
      <c r="AM6" s="501"/>
      <c r="AN6" s="501" t="str">
        <f>IF(T6="","",T6)</f>
        <v>Группа потребителей</v>
      </c>
      <c r="AO6" s="501"/>
      <c r="AP6" s="501"/>
      <c r="AQ6" s="1156">
        <v>0</v>
      </c>
    </row>
    <row customHeight="1" ht="23.25" hidden="1">
      <c r="A7" s="1364"/>
      <c r="B7" s="1364"/>
      <c r="C7" s="1364"/>
      <c r="D7" s="1364"/>
      <c r="E7" s="2260"/>
      <c r="F7" s="2260"/>
      <c r="G7" s="2260"/>
      <c r="H7" s="2260"/>
      <c r="I7" s="2287"/>
      <c r="J7" s="2287"/>
      <c r="K7" s="2257">
        <f>J6&amp;".1"</f>
      </c>
      <c r="L7" s="1365"/>
      <c r="P7" s="2258"/>
      <c r="Q7" s="2258"/>
      <c r="R7" s="358">
        <v>1</v>
      </c>
      <c r="S7" s="1494">
        <f>$K7</f>
      </c>
      <c r="T7" s="1438"/>
      <c r="U7" s="301"/>
      <c r="V7" s="752"/>
      <c r="W7" s="752"/>
      <c r="X7" s="1258"/>
      <c r="Y7" s="2266"/>
      <c r="Z7" s="2108" t="s">
        <v>65</v>
      </c>
      <c r="AA7" s="2266"/>
      <c r="AB7" s="2108" t="s">
        <v>65</v>
      </c>
      <c r="AC7" s="752"/>
      <c r="AD7" s="752"/>
      <c r="AE7" s="1258"/>
      <c r="AF7" s="2266"/>
      <c r="AG7" s="2108" t="s">
        <v>65</v>
      </c>
      <c r="AH7" s="2288"/>
      <c r="AI7" s="2108" t="s">
        <v>65</v>
      </c>
      <c r="AJ7" s="1439"/>
      <c r="AK7" s="2350"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2">
        <f>STRCHECKDATE(V8:AJ8)</f>
      </c>
      <c r="AM7" s="501"/>
      <c r="AN7" s="501" t="str">
        <f>IF(T7="","",T7)</f>
        <v/>
      </c>
      <c r="AO7" s="501"/>
      <c r="AP7" s="501"/>
      <c r="AQ7" s="1156">
        <v>0</v>
      </c>
    </row>
    <row customHeight="1" ht="14.25" hidden="1">
      <c r="A8" s="1364"/>
      <c r="B8" s="1364"/>
      <c r="C8" s="1364"/>
      <c r="D8" s="1364"/>
      <c r="E8" s="2260"/>
      <c r="F8" s="2260"/>
      <c r="G8" s="2260"/>
      <c r="H8" s="2260"/>
      <c r="I8" s="2287"/>
      <c r="J8" s="2287"/>
      <c r="K8" s="2257"/>
      <c r="L8" s="1365"/>
      <c r="P8" s="2258"/>
      <c r="Q8" s="2258"/>
      <c r="R8" s="358"/>
      <c r="S8" s="1491"/>
      <c r="T8" s="301"/>
      <c r="U8" s="301"/>
      <c r="V8" s="326"/>
      <c r="W8" s="326"/>
      <c r="X8" s="329" t="str">
        <f>Y7&amp;"-"&amp;AA7</f>
        <v>-</v>
      </c>
      <c r="Y8" s="2267"/>
      <c r="Z8" s="2108"/>
      <c r="AA8" s="2267"/>
      <c r="AB8" s="2108"/>
      <c r="AC8" s="326"/>
      <c r="AD8" s="326"/>
      <c r="AE8" s="329" t="str">
        <f>AF7&amp;"-"&amp;AH7</f>
        <v>-</v>
      </c>
      <c r="AF8" s="2267"/>
      <c r="AG8" s="2108"/>
      <c r="AH8" s="2289"/>
      <c r="AI8" s="2108"/>
      <c r="AJ8" s="1440"/>
      <c r="AK8" s="2350"/>
      <c r="AM8" s="501"/>
      <c r="AN8" s="501" t="str">
        <f>IF(T8="","",T8)</f>
        <v/>
      </c>
      <c r="AO8" s="501"/>
      <c r="AP8" s="501"/>
      <c r="AQ8" s="1156">
        <v>0</v>
      </c>
    </row>
    <row customHeight="1" ht="21" hidden="1">
      <c r="A9" s="1364"/>
      <c r="B9" s="1364"/>
      <c r="C9" s="1364"/>
      <c r="D9" s="1364"/>
      <c r="E9" s="2260"/>
      <c r="F9" s="2260"/>
      <c r="G9" s="2260"/>
      <c r="H9" s="2260"/>
      <c r="I9" s="2287"/>
      <c r="J9" s="2257"/>
      <c r="K9" s="1364"/>
      <c r="L9" s="1365"/>
      <c r="P9" s="2258"/>
      <c r="Q9" s="2258"/>
      <c r="R9" s="357"/>
      <c r="S9" s="1279"/>
      <c r="T9" s="288" t="s">
        <v>617</v>
      </c>
      <c r="U9" s="368"/>
      <c r="V9" s="368"/>
      <c r="W9" s="368"/>
      <c r="X9" s="368"/>
      <c r="Y9" s="368"/>
      <c r="Z9" s="368"/>
      <c r="AA9" s="368"/>
      <c r="AB9" s="368"/>
      <c r="AC9" s="368"/>
      <c r="AD9" s="368"/>
      <c r="AE9" s="368"/>
      <c r="AF9" s="368"/>
      <c r="AG9" s="368"/>
      <c r="AH9" s="368"/>
      <c r="AI9" s="368"/>
      <c r="AJ9" s="368"/>
      <c r="AK9" s="1259" t="s">
        <v>618</v>
      </c>
      <c r="AM9" s="501"/>
      <c r="AN9" s="501" t="str">
        <f>IF(T9="","",T9)</f>
        <v>Добавить значение признака дифференциации</v>
      </c>
      <c r="AO9" s="501"/>
      <c r="AP9" s="501"/>
      <c r="AQ9" s="1156">
        <v>0</v>
      </c>
    </row>
    <row customHeight="1" ht="21" hidden="1">
      <c r="A10" s="1364"/>
      <c r="B10" s="1364"/>
      <c r="C10" s="1364"/>
      <c r="D10" s="1364"/>
      <c r="E10" s="2260"/>
      <c r="F10" s="2260"/>
      <c r="G10" s="2260"/>
      <c r="H10" s="2260"/>
      <c r="I10" s="2257"/>
      <c r="J10" s="1364"/>
      <c r="K10" s="1364"/>
      <c r="L10" s="1365"/>
      <c r="P10" s="2258"/>
      <c r="Q10" s="1482"/>
      <c r="R10" s="357"/>
      <c r="S10" s="1279"/>
      <c r="T10" s="366" t="s">
        <v>542</v>
      </c>
      <c r="U10" s="368"/>
      <c r="V10" s="368"/>
      <c r="W10" s="368"/>
      <c r="X10" s="368"/>
      <c r="Y10" s="368"/>
      <c r="Z10" s="368"/>
      <c r="AA10" s="368"/>
      <c r="AB10" s="367"/>
      <c r="AC10" s="368"/>
      <c r="AD10" s="368"/>
      <c r="AE10" s="368"/>
      <c r="AF10" s="368"/>
      <c r="AG10" s="368"/>
      <c r="AH10" s="368"/>
      <c r="AI10" s="367"/>
      <c r="AJ10" s="368"/>
      <c r="AK10" s="1441"/>
      <c r="AM10" s="501"/>
      <c r="AN10" s="501" t="str">
        <f>IF(T10="","",T10)</f>
        <v>Добавить группу потребителей</v>
      </c>
      <c r="AO10" s="501"/>
      <c r="AP10" s="501"/>
      <c r="AQ10" s="1156">
        <v>0</v>
      </c>
    </row>
    <row customHeight="1" ht="21" hidden="1">
      <c r="A11" s="1364"/>
      <c r="B11" s="1364"/>
      <c r="C11" s="1364"/>
      <c r="D11" s="1364"/>
      <c r="E11" s="2260"/>
      <c r="F11" s="2260"/>
      <c r="G11" s="2260"/>
      <c r="H11" s="2259"/>
      <c r="I11" s="1364"/>
      <c r="J11" s="1364"/>
      <c r="K11" s="1364"/>
      <c r="L11" s="1365"/>
      <c r="M11" s="1366"/>
      <c r="N11" s="1366"/>
      <c r="O11" s="538"/>
      <c r="P11" s="361"/>
      <c r="Q11" s="376"/>
      <c r="R11" s="356"/>
      <c r="S11" s="1279"/>
      <c r="T11" s="373" t="s">
        <v>619</v>
      </c>
      <c r="U11" s="368"/>
      <c r="V11" s="368"/>
      <c r="W11" s="368"/>
      <c r="X11" s="368"/>
      <c r="Y11" s="368"/>
      <c r="Z11" s="368"/>
      <c r="AA11" s="368"/>
      <c r="AB11" s="367"/>
      <c r="AC11" s="368"/>
      <c r="AD11" s="368"/>
      <c r="AE11" s="368"/>
      <c r="AF11" s="368"/>
      <c r="AG11" s="368"/>
      <c r="AH11" s="368"/>
      <c r="AI11" s="367"/>
      <c r="AJ11" s="368"/>
      <c r="AK11" s="304"/>
      <c r="AM11" s="501"/>
      <c r="AN11" s="501" t="str">
        <f>IF(T11="","",T11)</f>
        <v>Добавить наименование признака дифференциации</v>
      </c>
      <c r="AO11" s="501"/>
      <c r="AP11" s="501"/>
      <c r="AQ11" s="1156">
        <v>0</v>
      </c>
    </row>
    <row s="1643" customFormat="1" customHeight="1" ht="14.25" hidden="1">
      <c r="A12" s="1344"/>
      <c r="B12" s="1344"/>
      <c r="C12" s="1315"/>
      <c r="D12" s="1315"/>
      <c r="E12" s="2260"/>
      <c r="F12" s="2259"/>
      <c r="G12" s="1315"/>
      <c r="H12" s="1315"/>
      <c r="I12" s="1315"/>
      <c r="J12" s="1315"/>
      <c r="K12" s="1315"/>
      <c r="L12" s="1495"/>
      <c r="M12" s="1322"/>
      <c r="N12" s="1322"/>
      <c r="P12" s="1317"/>
      <c r="Q12" s="1318"/>
      <c r="R12" s="1317"/>
      <c r="S12" s="1323"/>
      <c r="T12" s="1326" t="s">
        <v>178</v>
      </c>
      <c r="U12" s="1325"/>
      <c r="V12" s="1325"/>
      <c r="W12" s="1325"/>
      <c r="X12" s="1325"/>
      <c r="Y12" s="1325"/>
      <c r="Z12" s="1325"/>
      <c r="AA12" s="1325"/>
      <c r="AB12" s="1325"/>
      <c r="AC12" s="1325"/>
      <c r="AD12" s="1325"/>
      <c r="AE12" s="1325"/>
      <c r="AF12" s="1325"/>
      <c r="AG12" s="1325"/>
      <c r="AH12" s="1325"/>
      <c r="AI12" s="1325"/>
      <c r="AJ12" s="1325"/>
      <c r="AK12" s="1325"/>
      <c r="AM12" s="790"/>
      <c r="AN12" s="790" t="str">
        <f>IF(T12="","",T12)</f>
        <v>Добавить централизованную систему для дифференциации</v>
      </c>
      <c r="AO12" s="790"/>
      <c r="AP12" s="790"/>
      <c r="AQ12" s="519">
        <v>0</v>
      </c>
    </row>
    <row s="1643" customFormat="1" customHeight="1" ht="14.25" hidden="1">
      <c r="A13" s="1344"/>
      <c r="B13" s="1344"/>
      <c r="C13" s="1344"/>
      <c r="D13" s="1344"/>
      <c r="E13" s="2259"/>
      <c r="F13" s="1344"/>
      <c r="G13" s="1344"/>
      <c r="H13" s="1344"/>
      <c r="I13" s="1344"/>
      <c r="J13" s="1344"/>
      <c r="K13" s="1344"/>
      <c r="L13" s="1347"/>
      <c r="M13" s="1322"/>
      <c r="N13" s="1322"/>
      <c r="O13" s="519"/>
      <c r="P13" s="381"/>
      <c r="Q13" s="1345"/>
      <c r="R13" s="381"/>
      <c r="S13" s="1323"/>
      <c r="T13" s="1326" t="s">
        <v>183</v>
      </c>
      <c r="U13" s="1325"/>
      <c r="V13" s="1325"/>
      <c r="W13" s="1325"/>
      <c r="X13" s="1325"/>
      <c r="Y13" s="1325"/>
      <c r="Z13" s="1325"/>
      <c r="AA13" s="1325"/>
      <c r="AB13" s="1325"/>
      <c r="AC13" s="1325"/>
      <c r="AD13" s="1325"/>
      <c r="AE13" s="1325"/>
      <c r="AF13" s="1325"/>
      <c r="AG13" s="1325"/>
      <c r="AH13" s="1325"/>
      <c r="AI13" s="1325"/>
      <c r="AJ13" s="1325"/>
      <c r="AK13" s="1325"/>
      <c r="AM13" s="501"/>
      <c r="AN13" s="501" t="str">
        <f>IF(T13="","",T13)</f>
        <v>Добавить территорию для дифференциации</v>
      </c>
      <c r="AO13" s="501"/>
      <c r="AP13" s="501"/>
      <c r="AQ13" s="512">
        <v>0</v>
      </c>
    </row>
    <row customHeight="1" ht="14.25" hidden="1">
      <c r="AB14" s="328"/>
      <c r="AI14" s="328"/>
      <c r="AQ14" s="1156">
        <v>0</v>
      </c>
    </row>
    <row customHeight="1" ht="14.25" hidden="1">
      <c r="AC15" s="1361"/>
      <c r="AD15" s="1361"/>
      <c r="AE15" s="1362"/>
      <c r="AF15" s="2268"/>
      <c r="AG15" s="2269" t="s">
        <v>65</v>
      </c>
      <c r="AH15" s="2268"/>
      <c r="AI15" s="2269" t="s">
        <v>65</v>
      </c>
      <c r="AQ15" s="1156">
        <v>0</v>
      </c>
    </row>
    <row customHeight="1" ht="14.25" hidden="1">
      <c r="AC16" s="1361"/>
      <c r="AD16" s="1361"/>
      <c r="AE16" s="329" t="str">
        <f>AF15&amp;"-"&amp;AH15</f>
        <v>-</v>
      </c>
      <c r="AF16" s="2269"/>
      <c r="AG16" s="2269"/>
      <c r="AH16" s="2269"/>
      <c r="AI16" s="2269"/>
      <c r="AQ16" s="1156">
        <v>0</v>
      </c>
    </row>
    <row customHeight="1" ht="14.25" hidden="1">
      <c r="AI17" s="328"/>
      <c r="AQ17" s="1156">
        <v>0</v>
      </c>
    </row>
    <row s="1367" customFormat="1" customHeight="1" ht="22.5" hidden="1">
      <c r="L18" s="1479"/>
      <c r="M18" s="1363"/>
      <c r="N18" s="1363"/>
      <c r="O18" s="1368" t="s">
        <v>544</v>
      </c>
      <c r="P18" s="1363"/>
      <c r="Q18" s="1372"/>
      <c r="R18" s="1372"/>
      <c r="S18" s="730"/>
      <c r="Y18" s="1368"/>
      <c r="AA18" s="1368"/>
      <c r="AB18" s="1367"/>
      <c r="AF18" s="1368"/>
      <c r="AH18" s="1368"/>
      <c r="AI18" s="1367"/>
      <c r="AL18" s="512"/>
      <c r="AM18" s="512"/>
      <c r="AN18" s="512"/>
      <c r="AO18" s="512"/>
      <c r="AP18" s="512"/>
      <c r="AQ18" s="1161">
        <v>0</v>
      </c>
    </row>
    <row s="1367" customFormat="1" customHeight="1" ht="14.25" hidden="1">
      <c r="L19" s="1479"/>
      <c r="M19" s="1363"/>
      <c r="N19" s="1363"/>
      <c r="O19" s="1363"/>
      <c r="P19" s="1363"/>
      <c r="Q19" s="1372"/>
      <c r="R19" s="1372"/>
      <c r="S19" s="730"/>
      <c r="AB19" s="1367"/>
      <c r="AI19" s="1367"/>
      <c r="AL19" s="512"/>
      <c r="AM19" s="512"/>
      <c r="AN19" s="512"/>
      <c r="AO19" s="512"/>
      <c r="AP19" s="512"/>
      <c r="AQ19" s="1161">
        <v>0</v>
      </c>
    </row>
    <row s="1367" customFormat="1" customHeight="1" ht="12" hidden="1">
      <c r="L20" s="1479"/>
      <c r="M20" s="1363"/>
      <c r="N20" s="1363"/>
      <c r="O20" s="1365" t="s">
        <v>545</v>
      </c>
      <c r="P20" s="1363"/>
      <c r="Q20" s="1443"/>
      <c r="R20" s="1443"/>
      <c r="S20" s="730"/>
      <c r="T20" s="1161" t="s">
        <v>546</v>
      </c>
      <c r="Z20" s="187" t="s">
        <v>547</v>
      </c>
      <c r="AB20" s="187" t="s">
        <v>548</v>
      </c>
      <c r="AC20" s="1161" t="s">
        <v>546</v>
      </c>
      <c r="AG20" s="187" t="s">
        <v>549</v>
      </c>
      <c r="AI20" s="187" t="s">
        <v>548</v>
      </c>
      <c r="AQ20" s="1161">
        <v>0</v>
      </c>
    </row>
    <row customHeight="1" ht="14.25" hidden="1">
      <c r="O21" s="1365"/>
      <c r="AQ21" s="1156">
        <v>0</v>
      </c>
    </row>
    <row customHeight="1" ht="14.25" hidden="1">
      <c r="O22" s="1365"/>
      <c r="AQ22" s="1156">
        <v>0</v>
      </c>
    </row>
    <row customHeight="1" ht="14.699999999999998">
      <c r="Q23" s="377"/>
      <c r="R23" s="377"/>
      <c r="S23" s="1276"/>
      <c r="T23" s="364"/>
      <c r="U23" s="364"/>
      <c r="V23" s="510"/>
      <c r="W23" s="510"/>
      <c r="X23" s="510"/>
      <c r="Y23" s="510"/>
      <c r="Z23" s="510"/>
      <c r="AA23" s="510"/>
      <c r="AB23" s="510"/>
      <c r="AC23" s="510"/>
      <c r="AD23" s="510"/>
      <c r="AE23" s="510"/>
      <c r="AF23" s="510"/>
      <c r="AG23" s="510"/>
      <c r="AH23" s="510"/>
      <c r="AI23" s="510"/>
      <c r="AQ23" s="1156">
        <v>14</v>
      </c>
    </row>
    <row customHeight="1" ht="14.699999999999998">
      <c r="Q24" s="377"/>
      <c r="R24" s="377"/>
      <c r="S24" s="2249" t="str">
        <f>IF(TEMPLATE_GROUP="P",PT_P_FORM_VOTV_4_NAME_FORM,PT_R_FORM_VOTV_16_NAME_FORM)</f>
        <v>Форма 2. Информация о тарифах в сфере водоотведения на товары (услуги) организации водоотведения, подлежащих регулированию</v>
      </c>
      <c r="T24" s="2249"/>
      <c r="U24" s="2249"/>
      <c r="V24" s="2249"/>
      <c r="W24" s="2249"/>
      <c r="X24" s="2249"/>
      <c r="Y24" s="2249"/>
      <c r="Z24" s="2249"/>
      <c r="AA24" s="2249"/>
      <c r="AB24" s="2249"/>
      <c r="AC24" s="2249"/>
      <c r="AD24" s="2249"/>
      <c r="AE24" s="2249"/>
      <c r="AF24" s="2249"/>
      <c r="AG24" s="2249"/>
      <c r="AH24" s="2249"/>
      <c r="AI24" s="1244"/>
      <c r="AQ24" s="1156">
        <v>14</v>
      </c>
    </row>
    <row customHeight="1" ht="14.699999999999998">
      <c r="Q25" s="377"/>
      <c r="R25" s="377"/>
      <c r="S25" s="2250" t="str">
        <f>IF(org=0,"Не определено",org)</f>
        <v>ПАО "ТГК-1" (филиал "Кольский")</v>
      </c>
      <c r="T25" s="2250"/>
      <c r="U25" s="2250"/>
      <c r="V25" s="2250"/>
      <c r="W25" s="2250"/>
      <c r="X25" s="2250"/>
      <c r="Y25" s="2250"/>
      <c r="Z25" s="2250"/>
      <c r="AA25" s="2250"/>
      <c r="AB25" s="2250"/>
      <c r="AC25" s="2250"/>
      <c r="AD25" s="2250"/>
      <c r="AE25" s="2250"/>
      <c r="AF25" s="2250"/>
      <c r="AG25" s="2250"/>
      <c r="AH25" s="2250"/>
      <c r="AI25" s="1244"/>
      <c r="AQ25" s="1156">
        <v>14</v>
      </c>
    </row>
    <row customHeight="1" ht="14.25">
      <c r="Q26" s="377"/>
      <c r="R26" s="377"/>
      <c r="S26" s="1276"/>
      <c r="T26" s="364"/>
      <c r="U26" s="364"/>
      <c r="V26" s="323"/>
      <c r="W26" s="323"/>
      <c r="X26" s="323"/>
      <c r="Y26" s="323"/>
      <c r="Z26" s="323"/>
      <c r="AA26" s="323"/>
      <c r="AB26" s="323"/>
      <c r="AC26" s="323"/>
      <c r="AD26" s="323"/>
      <c r="AE26" s="323"/>
      <c r="AF26" s="323"/>
      <c r="AG26" s="323"/>
      <c r="AH26" s="323"/>
      <c r="AI26" s="323"/>
      <c r="AJ26" s="510"/>
      <c r="AQ26" s="1156">
        <v>0</v>
      </c>
    </row>
    <row s="1854" customFormat="1" customHeight="1" ht="25.5">
      <c r="A27" s="1369"/>
      <c r="B27" s="1369"/>
      <c r="C27" s="1369"/>
      <c r="D27" s="1369"/>
      <c r="E27" s="1369"/>
      <c r="F27" s="1369"/>
      <c r="G27" s="1369"/>
      <c r="H27" s="1369"/>
      <c r="I27" s="1369"/>
      <c r="J27" s="1369"/>
      <c r="K27" s="1369"/>
      <c r="L27" s="1370"/>
      <c r="M27" s="1369"/>
      <c r="N27" s="1369"/>
      <c r="O27" s="1369"/>
      <c r="S27" s="2251" t="s">
        <v>42</v>
      </c>
      <c r="T27" s="2251"/>
      <c r="U27" s="1373"/>
      <c r="V27" s="2252" t="str">
        <f>IF(TITLE_NAME_OR_PR_CHANGE="",IF(TITLE_NAME_OR_PR="","",TITLE_NAME_OR_PR),TITLE_NAME_OR_PR_CHANGE)</f>
        <v>Комитет по тарифному регулированию Мурманской области</v>
      </c>
      <c r="W27" s="2252"/>
      <c r="X27" s="2252"/>
      <c r="Y27" s="2252"/>
      <c r="Z27" s="2252"/>
      <c r="AA27" s="2252"/>
      <c r="AB27" s="327"/>
      <c r="AC27" s="2252" t="str">
        <f>IF(TITLE_NAME_OR_PR_CHANGE="",IF(TITLE_NAME_OR_PR="","",TITLE_NAME_OR_PR),TITLE_NAME_OR_PR_CHANGE)</f>
        <v>Комитет по тарифному регулированию Мурманской области</v>
      </c>
      <c r="AD27" s="2252"/>
      <c r="AE27" s="2252"/>
      <c r="AF27" s="2252"/>
      <c r="AG27" s="2252"/>
      <c r="AH27" s="2252"/>
      <c r="AI27" s="327"/>
      <c r="AJ27" s="327"/>
      <c r="AK27" s="281"/>
      <c r="AL27" s="369"/>
      <c r="AM27" s="369"/>
      <c r="AN27" s="369"/>
      <c r="AO27" s="369"/>
      <c r="AP27" s="369"/>
      <c r="AQ27" s="419">
        <v>0</v>
      </c>
    </row>
    <row s="1854" customFormat="1" customHeight="1" ht="18.75">
      <c r="A28" s="1369"/>
      <c r="B28" s="1369"/>
      <c r="C28" s="1369"/>
      <c r="D28" s="1369"/>
      <c r="E28" s="1369"/>
      <c r="F28" s="1369"/>
      <c r="G28" s="1369"/>
      <c r="H28" s="1369"/>
      <c r="I28" s="1369"/>
      <c r="J28" s="1369"/>
      <c r="K28" s="1369"/>
      <c r="L28" s="1370"/>
      <c r="M28" s="1369"/>
      <c r="N28" s="1369"/>
      <c r="O28" s="1369"/>
      <c r="S28" s="2251" t="s">
        <v>550</v>
      </c>
      <c r="T28" s="2251"/>
      <c r="U28" s="1373"/>
      <c r="V28" s="2265" t="str">
        <f>IF(TITLE_DATE_PR_CHANGE="",IF(TITLE_DATE_PR="","",TITLE_DATE_PR),TITLE_DATE_PR_CHANGE)</f>
        <v>46010</v>
      </c>
      <c r="W28" s="2265"/>
      <c r="X28" s="2265"/>
      <c r="Y28" s="2265"/>
      <c r="Z28" s="2265"/>
      <c r="AA28" s="2265"/>
      <c r="AB28" s="327"/>
      <c r="AC28" s="2265" t="str">
        <f>IF(TITLE_DATE_PR_CHANGE="",IF(TITLE_DATE_PR="","",TITLE_DATE_PR),TITLE_DATE_PR_CHANGE)</f>
        <v>46010</v>
      </c>
      <c r="AD28" s="2265"/>
      <c r="AE28" s="2265"/>
      <c r="AF28" s="2265"/>
      <c r="AG28" s="2265"/>
      <c r="AH28" s="2265"/>
      <c r="AI28" s="327"/>
      <c r="AJ28" s="327"/>
      <c r="AK28" s="281"/>
      <c r="AL28" s="369"/>
      <c r="AM28" s="369"/>
      <c r="AN28" s="369"/>
      <c r="AO28" s="369"/>
      <c r="AP28" s="369"/>
      <c r="AQ28" s="419">
        <v>0</v>
      </c>
    </row>
    <row s="1854" customFormat="1" customHeight="1" ht="18.75">
      <c r="A29" s="1369"/>
      <c r="B29" s="1369"/>
      <c r="C29" s="1369"/>
      <c r="D29" s="1369"/>
      <c r="E29" s="1369"/>
      <c r="F29" s="1369"/>
      <c r="G29" s="1369"/>
      <c r="H29" s="1369"/>
      <c r="I29" s="1369"/>
      <c r="J29" s="1369"/>
      <c r="K29" s="1369"/>
      <c r="L29" s="1370"/>
      <c r="M29" s="1369"/>
      <c r="N29" s="1369"/>
      <c r="O29" s="1369"/>
      <c r="S29" s="2251" t="s">
        <v>551</v>
      </c>
      <c r="T29" s="2251"/>
      <c r="U29" s="1373"/>
      <c r="V29" s="2252" t="str">
        <f>IF(TITLE_NUMBER_PR_CHANGE="",IF(TITLE_NUMBER_PR="","",TITLE_NUMBER_PR),TITLE_NUMBER_PR_CHANGE)</f>
        <v>53/77; 53/49</v>
      </c>
      <c r="W29" s="2252"/>
      <c r="X29" s="2252"/>
      <c r="Y29" s="2252"/>
      <c r="Z29" s="2252"/>
      <c r="AA29" s="2252"/>
      <c r="AB29" s="327"/>
      <c r="AC29" s="2252" t="str">
        <f>IF(TITLE_NUMBER_PR_CHANGE="",IF(TITLE_NUMBER_PR="","",TITLE_NUMBER_PR),TITLE_NUMBER_PR_CHANGE)</f>
        <v>53/77; 53/49</v>
      </c>
      <c r="AD29" s="2252"/>
      <c r="AE29" s="2252"/>
      <c r="AF29" s="2252"/>
      <c r="AG29" s="2252"/>
      <c r="AH29" s="2252"/>
      <c r="AI29" s="327"/>
      <c r="AJ29" s="327"/>
      <c r="AK29" s="281"/>
      <c r="AL29" s="369"/>
      <c r="AM29" s="369"/>
      <c r="AN29" s="369"/>
      <c r="AO29" s="369"/>
      <c r="AP29" s="369"/>
      <c r="AQ29" s="419">
        <v>0</v>
      </c>
    </row>
    <row s="1854" customFormat="1" customHeight="1" ht="18.75">
      <c r="A30" s="1369"/>
      <c r="B30" s="1369"/>
      <c r="C30" s="1369"/>
      <c r="D30" s="1369"/>
      <c r="E30" s="1369"/>
      <c r="F30" s="1369"/>
      <c r="G30" s="1369"/>
      <c r="H30" s="1369"/>
      <c r="I30" s="1369"/>
      <c r="J30" s="1369"/>
      <c r="K30" s="1369"/>
      <c r="L30" s="1370"/>
      <c r="M30" s="1369"/>
      <c r="N30" s="1369"/>
      <c r="O30" s="1369"/>
      <c r="S30" s="2251" t="s">
        <v>44</v>
      </c>
      <c r="T30" s="2251"/>
      <c r="U30" s="1373"/>
      <c r="V30" s="2252" t="str">
        <f>IF(TITLE_IST_PUB_CHANGE="",IF(TITLE_IST_PUB="","",TITLE_IST_PUB),TITLE_IST_PUB_CHANGE)</f>
        <v>Официальный электронный бюллетень Правительства Мурманской области</v>
      </c>
      <c r="W30" s="2252"/>
      <c r="X30" s="2252"/>
      <c r="Y30" s="2252"/>
      <c r="Z30" s="2252"/>
      <c r="AA30" s="2252"/>
      <c r="AB30" s="327"/>
      <c r="AC30" s="2252" t="str">
        <f>IF(TITLE_IST_PUB_CHANGE="",IF(TITLE_IST_PUB="","",TITLE_IST_PUB),TITLE_IST_PUB_CHANGE)</f>
        <v>Официальный электронный бюллетень Правительства Мурманской области</v>
      </c>
      <c r="AD30" s="2252"/>
      <c r="AE30" s="2252"/>
      <c r="AF30" s="2252"/>
      <c r="AG30" s="2252"/>
      <c r="AH30" s="2252"/>
      <c r="AI30" s="327"/>
      <c r="AJ30" s="327"/>
      <c r="AK30" s="281"/>
      <c r="AL30" s="369"/>
      <c r="AM30" s="369"/>
      <c r="AN30" s="369"/>
      <c r="AO30" s="369"/>
      <c r="AP30" s="369"/>
      <c r="AQ30" s="419">
        <v>0</v>
      </c>
    </row>
    <row customHeight="1" ht="14.25" hidden="1">
      <c r="Q31" s="377"/>
      <c r="R31" s="377"/>
      <c r="S31" s="1276"/>
      <c r="T31" s="364"/>
      <c r="U31" s="364"/>
      <c r="V31" s="323"/>
      <c r="W31" s="323"/>
      <c r="X31" s="323"/>
      <c r="Y31" s="323"/>
      <c r="Z31" s="323"/>
      <c r="AA31" s="323"/>
      <c r="AB31" s="323"/>
      <c r="AC31" s="323"/>
      <c r="AD31" s="323"/>
      <c r="AE31" s="323"/>
      <c r="AF31" s="323"/>
      <c r="AG31" s="323"/>
      <c r="AH31" s="323"/>
      <c r="AI31" s="323"/>
      <c r="AJ31" s="510"/>
      <c r="AQ31" s="1156">
        <v>0</v>
      </c>
    </row>
    <row s="1854" customFormat="1" customHeight="1" ht="18.75" hidden="1">
      <c r="A32" s="1369"/>
      <c r="B32" s="1369"/>
      <c r="C32" s="1369"/>
      <c r="D32" s="1369"/>
      <c r="E32" s="1369"/>
      <c r="F32" s="1369"/>
      <c r="G32" s="1369"/>
      <c r="H32" s="1369"/>
      <c r="I32" s="1369"/>
      <c r="J32" s="1369"/>
      <c r="K32" s="1369"/>
      <c r="L32" s="1370"/>
      <c r="M32" s="1369"/>
      <c r="N32" s="1369"/>
      <c r="O32" s="1369"/>
      <c r="S32" s="2251" t="s">
        <v>552</v>
      </c>
      <c r="T32" s="2251"/>
      <c r="U32" s="1373"/>
      <c r="V32" s="2265" t="str">
        <f>IF(TITLE_DATE_PR_CHANGE="",IF(TITLE_DATE_PR="","",TITLE_DATE_PR),TITLE_DATE_PR_CHANGE)</f>
        <v>46010</v>
      </c>
      <c r="W32" s="2265"/>
      <c r="X32" s="2265"/>
      <c r="Y32" s="2265"/>
      <c r="Z32" s="2265"/>
      <c r="AA32" s="2265"/>
      <c r="AB32" s="327"/>
      <c r="AC32" s="2265" t="str">
        <f>IF(TITLE_DATE_PR_CHANGE="",IF(TITLE_DATE_PR="","",TITLE_DATE_PR),TITLE_DATE_PR_CHANGE)</f>
        <v>46010</v>
      </c>
      <c r="AD32" s="2265"/>
      <c r="AE32" s="2265"/>
      <c r="AF32" s="2265"/>
      <c r="AG32" s="2265"/>
      <c r="AH32" s="2265"/>
      <c r="AI32" s="327"/>
      <c r="AJ32" s="327"/>
      <c r="AK32" s="281"/>
      <c r="AL32" s="369"/>
      <c r="AM32" s="369"/>
      <c r="AN32" s="369"/>
      <c r="AO32" s="369"/>
      <c r="AP32" s="369"/>
      <c r="AQ32" s="419">
        <v>0</v>
      </c>
    </row>
    <row s="1854" customFormat="1" customHeight="1" ht="18.75" hidden="1">
      <c r="A33" s="1369"/>
      <c r="B33" s="1369"/>
      <c r="C33" s="1369"/>
      <c r="D33" s="1369"/>
      <c r="E33" s="1369"/>
      <c r="F33" s="1369"/>
      <c r="G33" s="1369"/>
      <c r="H33" s="1369"/>
      <c r="I33" s="1369"/>
      <c r="J33" s="1369"/>
      <c r="K33" s="1369"/>
      <c r="L33" s="1370"/>
      <c r="M33" s="1369"/>
      <c r="N33" s="1369"/>
      <c r="O33" s="1369"/>
      <c r="S33" s="2251" t="s">
        <v>553</v>
      </c>
      <c r="T33" s="2251"/>
      <c r="U33" s="1373"/>
      <c r="V33" s="2252" t="str">
        <f>IF(TITLE_NUMBER_PR_CHANGE="",IF(TITLE_NUMBER_PR="","",TITLE_NUMBER_PR),TITLE_NUMBER_PR_CHANGE)</f>
        <v>53/77; 53/49</v>
      </c>
      <c r="W33" s="2252"/>
      <c r="X33" s="2252"/>
      <c r="Y33" s="2252"/>
      <c r="Z33" s="2252"/>
      <c r="AA33" s="2252"/>
      <c r="AB33" s="327"/>
      <c r="AC33" s="2252" t="str">
        <f>IF(TITLE_NUMBER_PR_CHANGE="",IF(TITLE_NUMBER_PR="","",TITLE_NUMBER_PR),TITLE_NUMBER_PR_CHANGE)</f>
        <v>53/77; 53/49</v>
      </c>
      <c r="AD33" s="2252"/>
      <c r="AE33" s="2252"/>
      <c r="AF33" s="2252"/>
      <c r="AG33" s="2252"/>
      <c r="AH33" s="2252"/>
      <c r="AI33" s="327"/>
      <c r="AJ33" s="327"/>
      <c r="AK33" s="281"/>
      <c r="AL33" s="369"/>
      <c r="AM33" s="369"/>
      <c r="AN33" s="369"/>
      <c r="AO33" s="369"/>
      <c r="AP33" s="369"/>
      <c r="AQ33" s="419">
        <v>0</v>
      </c>
    </row>
    <row s="1854" customFormat="1" customHeight="1" ht="1.05">
      <c r="A34" s="1369"/>
      <c r="B34" s="1369"/>
      <c r="C34" s="1369"/>
      <c r="D34" s="1369"/>
      <c r="E34" s="1369"/>
      <c r="F34" s="1369"/>
      <c r="G34" s="1369"/>
      <c r="H34" s="1369"/>
      <c r="I34" s="1369"/>
      <c r="J34" s="1369"/>
      <c r="K34" s="1369"/>
      <c r="L34" s="1370"/>
      <c r="M34" s="1369"/>
      <c r="N34" s="1369"/>
      <c r="O34" s="1369"/>
      <c r="S34" s="324"/>
      <c r="T34" s="324"/>
      <c r="U34" s="1489"/>
      <c r="V34" s="327"/>
      <c r="W34" s="327"/>
      <c r="X34" s="327"/>
      <c r="Y34" s="327"/>
      <c r="Z34" s="327"/>
      <c r="AA34" s="327"/>
      <c r="AB34" s="279" t="s">
        <v>554</v>
      </c>
      <c r="AC34" s="327"/>
      <c r="AD34" s="327"/>
      <c r="AE34" s="327"/>
      <c r="AF34" s="327"/>
      <c r="AG34" s="327"/>
      <c r="AH34" s="327"/>
      <c r="AI34" s="279" t="s">
        <v>554</v>
      </c>
      <c r="AL34" s="369"/>
      <c r="AM34" s="369"/>
      <c r="AN34" s="369"/>
      <c r="AO34" s="369"/>
      <c r="AP34" s="369"/>
      <c r="AQ34" s="419">
        <v>1</v>
      </c>
    </row>
    <row customHeight="1" ht="14.699999999999998">
      <c r="Q35" s="377"/>
      <c r="R35" s="377"/>
      <c r="S35" s="1276"/>
      <c r="T35" s="364"/>
      <c r="U35" s="1245"/>
      <c r="V35" s="2253"/>
      <c r="W35" s="2253"/>
      <c r="X35" s="2253"/>
      <c r="Y35" s="2253"/>
      <c r="Z35" s="2253"/>
      <c r="AA35" s="2253"/>
      <c r="AB35" s="2253"/>
      <c r="AC35" s="2253"/>
      <c r="AD35" s="2253"/>
      <c r="AE35" s="2253"/>
      <c r="AF35" s="2253"/>
      <c r="AG35" s="2253"/>
      <c r="AH35" s="2253"/>
      <c r="AI35" s="2253"/>
      <c r="AQ35" s="1156">
        <v>14</v>
      </c>
    </row>
    <row customHeight="1" ht="14.699999999999998">
      <c r="Q36" s="377"/>
      <c r="R36" s="377"/>
      <c r="S36" s="2128" t="s">
        <v>430</v>
      </c>
      <c r="T36" s="2128"/>
      <c r="U36" s="2128"/>
      <c r="V36" s="2128"/>
      <c r="W36" s="2128"/>
      <c r="X36" s="2128"/>
      <c r="Y36" s="2128"/>
      <c r="Z36" s="2128"/>
      <c r="AA36" s="2128"/>
      <c r="AB36" s="2128"/>
      <c r="AC36" s="2128"/>
      <c r="AD36" s="2128"/>
      <c r="AE36" s="2128"/>
      <c r="AF36" s="2128"/>
      <c r="AG36" s="2128"/>
      <c r="AH36" s="2128"/>
      <c r="AI36" s="2128"/>
      <c r="AJ36" s="2128"/>
      <c r="AK36" s="2128" t="s">
        <v>431</v>
      </c>
      <c r="AQ36" s="1156">
        <v>14</v>
      </c>
    </row>
    <row customHeight="1" ht="14.699999999999998">
      <c r="Q37" s="377"/>
      <c r="R37" s="377"/>
      <c r="S37" s="2274" t="s">
        <v>92</v>
      </c>
      <c r="T37" s="2210" t="s">
        <v>555</v>
      </c>
      <c r="U37" s="302"/>
      <c r="V37" s="2275" t="s">
        <v>556</v>
      </c>
      <c r="W37" s="2276"/>
      <c r="X37" s="2276"/>
      <c r="Y37" s="2276"/>
      <c r="Z37" s="2276"/>
      <c r="AA37" s="2277"/>
      <c r="AB37" s="2278" t="s">
        <v>557</v>
      </c>
      <c r="AC37" s="2275" t="s">
        <v>556</v>
      </c>
      <c r="AD37" s="2276"/>
      <c r="AE37" s="2276"/>
      <c r="AF37" s="2276"/>
      <c r="AG37" s="2276"/>
      <c r="AH37" s="2277"/>
      <c r="AI37" s="2278" t="s">
        <v>558</v>
      </c>
      <c r="AJ37" s="2281" t="s">
        <v>559</v>
      </c>
      <c r="AK37" s="2128"/>
      <c r="AQ37" s="1156">
        <v>14</v>
      </c>
    </row>
    <row customHeight="1" ht="35.699999999999996">
      <c r="Q38" s="377"/>
      <c r="R38" s="377"/>
      <c r="S38" s="2274"/>
      <c r="T38" s="2210"/>
      <c r="U38" s="1032"/>
      <c r="V38" s="1484" t="s">
        <v>620</v>
      </c>
      <c r="W38" s="2263" t="s">
        <v>562</v>
      </c>
      <c r="X38" s="2264"/>
      <c r="Y38" s="2263" t="s">
        <v>563</v>
      </c>
      <c r="Z38" s="2270"/>
      <c r="AA38" s="2264"/>
      <c r="AB38" s="2279"/>
      <c r="AC38" s="1484" t="s">
        <v>620</v>
      </c>
      <c r="AD38" s="2263" t="s">
        <v>562</v>
      </c>
      <c r="AE38" s="2264"/>
      <c r="AF38" s="2263" t="s">
        <v>563</v>
      </c>
      <c r="AG38" s="2270"/>
      <c r="AH38" s="2264"/>
      <c r="AI38" s="2279"/>
      <c r="AJ38" s="2282"/>
      <c r="AK38" s="2128"/>
      <c r="AQ38" s="1156">
        <v>34</v>
      </c>
    </row>
    <row customHeight="1" ht="90.3">
      <c r="A39" s="1371"/>
      <c r="B39" s="1371" t="s">
        <v>148</v>
      </c>
      <c r="C39" s="1371" t="s">
        <v>149</v>
      </c>
      <c r="D39" s="1371" t="s">
        <v>150</v>
      </c>
      <c r="E39" s="1365" t="s">
        <v>564</v>
      </c>
      <c r="F39" s="1365" t="s">
        <v>565</v>
      </c>
      <c r="G39" s="1365" t="s">
        <v>566</v>
      </c>
      <c r="H39" s="1365"/>
      <c r="I39" s="1365" t="s">
        <v>621</v>
      </c>
      <c r="J39" s="1365" t="s">
        <v>569</v>
      </c>
      <c r="K39" s="1365" t="s">
        <v>622</v>
      </c>
      <c r="L39" s="1365" t="s">
        <v>545</v>
      </c>
      <c r="Q39" s="377"/>
      <c r="R39" s="377"/>
      <c r="S39" s="2274"/>
      <c r="T39" s="2210"/>
      <c r="U39" s="303"/>
      <c r="V39" s="1484" t="s">
        <v>649</v>
      </c>
      <c r="W39" s="1223" t="s">
        <v>650</v>
      </c>
      <c r="X39" s="1223" t="s">
        <v>625</v>
      </c>
      <c r="Y39" s="1490" t="s">
        <v>573</v>
      </c>
      <c r="Z39" s="2271" t="s">
        <v>574</v>
      </c>
      <c r="AA39" s="2272"/>
      <c r="AB39" s="2280"/>
      <c r="AC39" s="1484" t="s">
        <v>649</v>
      </c>
      <c r="AD39" s="1223" t="s">
        <v>650</v>
      </c>
      <c r="AE39" s="1223" t="s">
        <v>625</v>
      </c>
      <c r="AF39" s="1490" t="s">
        <v>573</v>
      </c>
      <c r="AG39" s="2271" t="s">
        <v>574</v>
      </c>
      <c r="AH39" s="2272"/>
      <c r="AI39" s="2280"/>
      <c r="AJ39" s="2283"/>
      <c r="AK39" s="2128"/>
      <c r="AQ39" s="1156">
        <v>86</v>
      </c>
    </row>
    <row s="1642" customFormat="1" customHeight="1" ht="0">
      <c r="A40" s="1371"/>
      <c r="B40" s="1371"/>
      <c r="C40" s="1371"/>
      <c r="D40" s="1371"/>
      <c r="E40" s="1371"/>
      <c r="F40" s="1371"/>
      <c r="G40" s="1371"/>
      <c r="H40" s="1371"/>
      <c r="I40" s="1371"/>
      <c r="J40" s="1371"/>
      <c r="K40" s="1371"/>
      <c r="L40" s="1365"/>
      <c r="M40" s="1363"/>
      <c r="N40" s="1363"/>
      <c r="O40" s="1363"/>
      <c r="P40" s="1247"/>
      <c r="Q40" s="1248"/>
      <c r="R40" s="1255">
        <v>1</v>
      </c>
      <c r="S40" s="1278" t="s">
        <v>123</v>
      </c>
      <c r="T40" s="1256" t="s">
        <v>107</v>
      </c>
      <c r="U40" s="1246" t="str">
        <f>OFFSET(U40,0,-1)</f>
        <v>2</v>
      </c>
      <c r="V40" s="1483">
        <f>OFFSET(V40,0,-1)+1</f>
        <v>3</v>
      </c>
      <c r="W40" s="1483">
        <f>OFFSET(W40,0,-1)+1</f>
        <v>4</v>
      </c>
      <c r="X40" s="1483">
        <f>OFFSET(X40,0,-1)+1</f>
        <v>5</v>
      </c>
      <c r="Y40" s="1483">
        <f>OFFSET(Y40,0,-1)+1</f>
        <v>6</v>
      </c>
      <c r="Z40" s="2273">
        <f>OFFSET(Z40,0,-1)+1</f>
        <v>7</v>
      </c>
      <c r="AA40" s="2273"/>
      <c r="AB40" s="1483">
        <f>OFFSET(AB40,0,-2)+1</f>
        <v>8</v>
      </c>
      <c r="AC40" s="1483">
        <f>OFFSET(AC40,0,-1)+1</f>
        <v>9</v>
      </c>
      <c r="AD40" s="1483">
        <f>OFFSET(AD40,0,-1)+1</f>
        <v>10</v>
      </c>
      <c r="AE40" s="1483">
        <f>OFFSET(AE40,0,-1)+1</f>
        <v>11</v>
      </c>
      <c r="AF40" s="1483">
        <f>OFFSET(AF40,0,-1)+1</f>
        <v>12</v>
      </c>
      <c r="AG40" s="2273">
        <f>OFFSET(AG40,0,-1)+1</f>
        <v>13</v>
      </c>
      <c r="AH40" s="2273"/>
      <c r="AI40" s="1483">
        <f>OFFSET(AI40,0,-2)+1</f>
        <v>14</v>
      </c>
      <c r="AJ40" s="1246">
        <f>OFFSET(AJ40,0,-1)</f>
        <v>14</v>
      </c>
      <c r="AK40" s="1483">
        <f>OFFSET(AK40,0,-1)+1</f>
        <v>15</v>
      </c>
      <c r="AL40" s="512"/>
      <c r="AM40" s="512"/>
      <c r="AN40" s="512"/>
      <c r="AO40" s="512"/>
      <c r="AP40" s="512"/>
      <c r="AQ40" s="497">
        <v>0</v>
      </c>
    </row>
    <row customHeight="1" ht="24">
      <c r="A41" s="1364" t="s">
        <v>401</v>
      </c>
      <c r="B41" s="1364"/>
      <c r="C41" s="1364"/>
      <c r="D41" s="1364"/>
      <c r="E41" s="2259">
        <v>1</v>
      </c>
      <c r="F41" s="1364"/>
      <c r="G41" s="1364"/>
      <c r="H41" s="1364"/>
      <c r="I41" s="1364"/>
      <c r="J41" s="1364"/>
      <c r="K41" s="1364"/>
      <c r="L41" s="1365"/>
      <c r="M41" s="1366"/>
      <c r="N41" s="1366"/>
      <c r="O41" s="1366"/>
      <c r="P41" s="362"/>
      <c r="Q41" s="361"/>
      <c r="R41" s="356"/>
      <c r="S41" s="1494">
        <f>INDEX(PT_DIFFERENTIATION_NUM_NTAR,MATCH(A41,PT_DIFFERENTIATION_NTAR_ID,0))</f>
        <v>0</v>
      </c>
      <c r="T41" s="299" t="s">
        <v>136</v>
      </c>
      <c r="U41" s="301"/>
      <c r="V41" s="2243"/>
      <c r="W41" s="2244"/>
      <c r="X41" s="2244"/>
      <c r="Y41" s="2244"/>
      <c r="Z41" s="2244"/>
      <c r="AA41" s="2244"/>
      <c r="AB41" s="2245"/>
      <c r="AC41" s="2243" t="str">
        <f>INDEX(PT_DIFFERENTIATION_NTAR,MATCH(A41,PT_DIFFERENTIATION_NTAR_ID,0))</f>
        <v/>
      </c>
      <c r="AD41" s="2244"/>
      <c r="AE41" s="2244"/>
      <c r="AF41" s="2244"/>
      <c r="AG41" s="2244"/>
      <c r="AH41" s="2244"/>
      <c r="AI41" s="2244"/>
      <c r="AJ41" s="2245"/>
      <c r="AK41" s="125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AM41" s="501"/>
      <c r="AN41" s="501" t="str">
        <f>IF(T41="","",T41)</f>
        <v>Наименование тарифа</v>
      </c>
      <c r="AO41" s="501"/>
      <c r="AP41" s="501"/>
      <c r="AQ41" s="1156">
        <v>23</v>
      </c>
    </row>
    <row customHeight="1" ht="24">
      <c r="A42" s="1364" t="s">
        <v>401</v>
      </c>
      <c r="B42" s="1364" t="s">
        <v>402</v>
      </c>
      <c r="C42" s="1364"/>
      <c r="D42" s="1364"/>
      <c r="E42" s="2260"/>
      <c r="F42" s="2259">
        <v>1</v>
      </c>
      <c r="G42" s="1364"/>
      <c r="H42" s="1364"/>
      <c r="I42" s="1364"/>
      <c r="J42" s="1364"/>
      <c r="K42" s="1364"/>
      <c r="L42" s="1365"/>
      <c r="M42" s="1366"/>
      <c r="N42" s="1366"/>
      <c r="O42" s="1366"/>
      <c r="P42" s="1488"/>
      <c r="Q42" s="353"/>
      <c r="R42" s="354"/>
      <c r="S42" s="1494" t="str">
        <f>INDEX(PT_DIFFERENTIATION_NUM_TER,MATCH(B42,PT_DIFFERENTIATION_TER_ID,0))</f>
        <v>.</v>
      </c>
      <c r="T42" s="309" t="s">
        <v>527</v>
      </c>
      <c r="U42" s="301"/>
      <c r="V42" s="2243"/>
      <c r="W42" s="2244"/>
      <c r="X42" s="2244"/>
      <c r="Y42" s="2244"/>
      <c r="Z42" s="2244"/>
      <c r="AA42" s="2244"/>
      <c r="AB42" s="2245"/>
      <c r="AC42" s="2243" t="str">
        <f>INDEX(PT_DIFFERENTIATION_TER,MATCH(B42,PT_DIFFERENTIATION_TER_ID,0))</f>
        <v/>
      </c>
      <c r="AD42" s="2244"/>
      <c r="AE42" s="2244"/>
      <c r="AF42" s="2244"/>
      <c r="AG42" s="2244"/>
      <c r="AH42" s="2244"/>
      <c r="AI42" s="2244"/>
      <c r="AJ42" s="2245"/>
      <c r="AK42" s="1259" t="s">
        <v>528</v>
      </c>
      <c r="AM42" s="501"/>
      <c r="AN42" s="501" t="str">
        <f>IF(T42="","",T42)</f>
        <v>Территория действия тарифа</v>
      </c>
      <c r="AO42" s="501"/>
      <c r="AP42" s="501"/>
      <c r="AQ42" s="1156">
        <v>23</v>
      </c>
    </row>
    <row customHeight="1" ht="24">
      <c r="A43" s="1364" t="s">
        <v>401</v>
      </c>
      <c r="B43" s="1364" t="s">
        <v>402</v>
      </c>
      <c r="C43" s="1364" t="s">
        <v>403</v>
      </c>
      <c r="D43" s="1364"/>
      <c r="E43" s="2260"/>
      <c r="F43" s="2260"/>
      <c r="G43" s="2259">
        <v>1</v>
      </c>
      <c r="H43" s="1364"/>
      <c r="I43" s="1364"/>
      <c r="J43" s="1364"/>
      <c r="K43" s="1364"/>
      <c r="L43" s="1365"/>
      <c r="M43" s="1366"/>
      <c r="N43" s="1366"/>
      <c r="O43" s="1366"/>
      <c r="P43" s="355"/>
      <c r="Q43" s="353"/>
      <c r="R43" s="354"/>
      <c r="S43" s="1494" t="str">
        <f>INDEX(PT_DIFFERENTIATION_NUM_CS,MATCH(C43,PT_DIFFERENTIATION_CS_ID,0))</f>
        <v>..</v>
      </c>
      <c r="T43" s="310" t="s">
        <v>647</v>
      </c>
      <c r="U43" s="301"/>
      <c r="V43" s="2243"/>
      <c r="W43" s="2244"/>
      <c r="X43" s="2244"/>
      <c r="Y43" s="2244"/>
      <c r="Z43" s="2244"/>
      <c r="AA43" s="2244"/>
      <c r="AB43" s="2245"/>
      <c r="AC43" s="2243" t="str">
        <f>INDEX(PT_DIFFERENTIATION_CS,MATCH(C43,PT_DIFFERENTIATION_CS_ID,0))</f>
        <v/>
      </c>
      <c r="AD43" s="2244"/>
      <c r="AE43" s="2244"/>
      <c r="AF43" s="2244"/>
      <c r="AG43" s="2244"/>
      <c r="AH43" s="2244"/>
      <c r="AI43" s="2244"/>
      <c r="AJ43" s="2245"/>
      <c r="AK43" s="1259" t="s">
        <v>648</v>
      </c>
      <c r="AM43" s="501"/>
      <c r="AN43" s="501" t="str">
        <f>IF(T43="","",T43)</f>
        <v>Наименование централизованной системы водоотведения</v>
      </c>
      <c r="AO43" s="501"/>
      <c r="AP43" s="501"/>
      <c r="AQ43" s="1156">
        <v>23</v>
      </c>
    </row>
    <row customHeight="1" ht="24">
      <c r="A44" s="1364" t="s">
        <v>401</v>
      </c>
      <c r="B44" s="1364" t="s">
        <v>402</v>
      </c>
      <c r="C44" s="1364" t="s">
        <v>403</v>
      </c>
      <c r="D44" s="1364" t="s">
        <v>652</v>
      </c>
      <c r="E44" s="2260"/>
      <c r="F44" s="2260"/>
      <c r="G44" s="2260"/>
      <c r="H44" s="2260"/>
      <c r="I44" s="2257" t="str">
        <f>S43&amp;".1"</f>
        <v>...1</v>
      </c>
      <c r="J44" s="1364"/>
      <c r="K44" s="1364"/>
      <c r="L44" s="1365"/>
      <c r="P44" s="2258">
        <v>1</v>
      </c>
      <c r="Q44" s="1482"/>
      <c r="R44" s="357"/>
      <c r="S44" s="1494" t="str">
        <f>$I44</f>
        <v>...1</v>
      </c>
      <c r="T44" s="286" t="s">
        <v>614</v>
      </c>
      <c r="U44" s="301"/>
      <c r="V44" s="2351"/>
      <c r="W44" s="2352"/>
      <c r="X44" s="2352"/>
      <c r="Y44" s="2352"/>
      <c r="Z44" s="2352"/>
      <c r="AA44" s="2352"/>
      <c r="AB44" s="2353"/>
      <c r="AC44" s="2354"/>
      <c r="AD44" s="2355"/>
      <c r="AE44" s="2355"/>
      <c r="AF44" s="2355"/>
      <c r="AG44" s="2355"/>
      <c r="AH44" s="2355"/>
      <c r="AI44" s="2355"/>
      <c r="AJ44" s="2356"/>
      <c r="AK44" s="1259" t="s">
        <v>615</v>
      </c>
      <c r="AM44" s="501"/>
      <c r="AN44" s="501" t="str">
        <f>IF(T44="","",T44)</f>
        <v>Наименование признака дифференциации</v>
      </c>
      <c r="AO44" s="501"/>
      <c r="AP44" s="501"/>
      <c r="AQ44" s="1156">
        <v>23</v>
      </c>
    </row>
    <row customHeight="1" ht="24">
      <c r="A45" s="1364" t="s">
        <v>401</v>
      </c>
      <c r="B45" s="1364" t="s">
        <v>402</v>
      </c>
      <c r="C45" s="1364" t="s">
        <v>403</v>
      </c>
      <c r="D45" s="1364" t="s">
        <v>652</v>
      </c>
      <c r="E45" s="2260"/>
      <c r="F45" s="2260"/>
      <c r="G45" s="2260"/>
      <c r="H45" s="2260"/>
      <c r="I45" s="2287"/>
      <c r="J45" s="2257" t="str">
        <f>I44&amp;".1"</f>
        <v>...1.1</v>
      </c>
      <c r="K45" s="1364"/>
      <c r="L45" s="1365" t="s">
        <v>536</v>
      </c>
      <c r="P45" s="2258"/>
      <c r="Q45" s="2258">
        <v>1</v>
      </c>
      <c r="R45" s="358"/>
      <c r="S45" s="1494" t="str">
        <f>$J45</f>
        <v>...1.1</v>
      </c>
      <c r="T45" s="287" t="s">
        <v>537</v>
      </c>
      <c r="U45" s="301"/>
      <c r="V45" s="2246"/>
      <c r="W45" s="2247"/>
      <c r="X45" s="2247"/>
      <c r="Y45" s="2247"/>
      <c r="Z45" s="2247"/>
      <c r="AA45" s="2247"/>
      <c r="AB45" s="2248"/>
      <c r="AC45" s="2246"/>
      <c r="AD45" s="2247"/>
      <c r="AE45" s="2247"/>
      <c r="AF45" s="2247"/>
      <c r="AG45" s="2247"/>
      <c r="AH45" s="2247"/>
      <c r="AI45" s="2247"/>
      <c r="AJ45" s="2248"/>
      <c r="AK45" s="1308" t="s">
        <v>616</v>
      </c>
      <c r="AM45" s="501"/>
      <c r="AN45" s="501" t="str">
        <f>IF(T45="","",T45)</f>
        <v>Группа потребителей</v>
      </c>
      <c r="AO45" s="501"/>
      <c r="AP45" s="501"/>
      <c r="AQ45" s="1156">
        <v>23</v>
      </c>
    </row>
    <row customHeight="1" ht="24">
      <c r="A46" s="1364" t="s">
        <v>401</v>
      </c>
      <c r="B46" s="1364" t="s">
        <v>402</v>
      </c>
      <c r="C46" s="1364" t="s">
        <v>403</v>
      </c>
      <c r="D46" s="1364" t="s">
        <v>652</v>
      </c>
      <c r="E46" s="2260"/>
      <c r="F46" s="2260"/>
      <c r="G46" s="2260"/>
      <c r="H46" s="2260"/>
      <c r="I46" s="2287"/>
      <c r="J46" s="2287"/>
      <c r="K46" s="2257" t="str">
        <f>J45&amp;".1"</f>
        <v>...1.1.1</v>
      </c>
      <c r="L46" s="1365"/>
      <c r="P46" s="2258"/>
      <c r="Q46" s="2258"/>
      <c r="R46" s="358">
        <v>1</v>
      </c>
      <c r="S46" s="1494" t="str">
        <f>$K46</f>
        <v>...1.1.1</v>
      </c>
      <c r="T46" s="1438"/>
      <c r="U46" s="301"/>
      <c r="V46" s="1361"/>
      <c r="W46" s="1361"/>
      <c r="X46" s="1362"/>
      <c r="Y46" s="2268"/>
      <c r="Z46" s="2269" t="s">
        <v>65</v>
      </c>
      <c r="AA46" s="2268"/>
      <c r="AB46" s="2269" t="s">
        <v>65</v>
      </c>
      <c r="AC46" s="752"/>
      <c r="AD46" s="752"/>
      <c r="AE46" s="1258"/>
      <c r="AF46" s="2266"/>
      <c r="AG46" s="2108" t="s">
        <v>65</v>
      </c>
      <c r="AH46" s="2288"/>
      <c r="AI46" s="2108" t="s">
        <v>19</v>
      </c>
      <c r="AJ46" s="1439"/>
      <c r="AK46" s="2350"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2">
        <f>STRCHECKDATE(V47:AJ47)</f>
      </c>
      <c r="AM46" s="501"/>
      <c r="AN46" s="501" t="str">
        <f>IF(T46="","",T46)</f>
        <v/>
      </c>
      <c r="AO46" s="501"/>
      <c r="AP46" s="501"/>
      <c r="AQ46" s="1156">
        <v>23</v>
      </c>
    </row>
    <row customHeight="1" ht="0">
      <c r="A47" s="1364" t="s">
        <v>401</v>
      </c>
      <c r="B47" s="1364" t="s">
        <v>402</v>
      </c>
      <c r="C47" s="1364" t="s">
        <v>403</v>
      </c>
      <c r="D47" s="1364" t="s">
        <v>652</v>
      </c>
      <c r="E47" s="2260"/>
      <c r="F47" s="2260"/>
      <c r="G47" s="2260"/>
      <c r="H47" s="2260"/>
      <c r="I47" s="2287"/>
      <c r="J47" s="2287"/>
      <c r="K47" s="2257"/>
      <c r="L47" s="1365"/>
      <c r="P47" s="2258"/>
      <c r="Q47" s="2258"/>
      <c r="R47" s="358"/>
      <c r="S47" s="1491"/>
      <c r="T47" s="301"/>
      <c r="U47" s="301"/>
      <c r="V47" s="1361"/>
      <c r="W47" s="1361"/>
      <c r="X47" s="329" t="str">
        <f>Y46&amp;"-"&amp;AA46</f>
        <v>-</v>
      </c>
      <c r="Y47" s="2269"/>
      <c r="Z47" s="2269"/>
      <c r="AA47" s="2269"/>
      <c r="AB47" s="2269"/>
      <c r="AC47" s="326"/>
      <c r="AD47" s="326"/>
      <c r="AE47" s="329" t="str">
        <f>AF46&amp;"-"&amp;AH46</f>
        <v>-</v>
      </c>
      <c r="AF47" s="2267"/>
      <c r="AG47" s="2108"/>
      <c r="AH47" s="2289"/>
      <c r="AI47" s="2108"/>
      <c r="AJ47" s="1440"/>
      <c r="AK47" s="2350"/>
      <c r="AM47" s="501"/>
      <c r="AN47" s="501" t="str">
        <f>IF(T47="","",T47)</f>
        <v/>
      </c>
      <c r="AO47" s="501"/>
      <c r="AP47" s="501"/>
      <c r="AQ47" s="1156">
        <v>0</v>
      </c>
    </row>
    <row customHeight="1" ht="21">
      <c r="A48" s="1364" t="s">
        <v>401</v>
      </c>
      <c r="B48" s="1364" t="s">
        <v>402</v>
      </c>
      <c r="C48" s="1364" t="s">
        <v>403</v>
      </c>
      <c r="D48" s="1364" t="s">
        <v>652</v>
      </c>
      <c r="E48" s="2260"/>
      <c r="F48" s="2260"/>
      <c r="G48" s="2260"/>
      <c r="H48" s="2260"/>
      <c r="I48" s="2287"/>
      <c r="J48" s="2257"/>
      <c r="K48" s="1364"/>
      <c r="L48" s="1365"/>
      <c r="P48" s="2258"/>
      <c r="Q48" s="2258"/>
      <c r="R48" s="357"/>
      <c r="S48" s="1279"/>
      <c r="T48" s="288" t="s">
        <v>617</v>
      </c>
      <c r="U48" s="368"/>
      <c r="V48" s="368"/>
      <c r="W48" s="368"/>
      <c r="X48" s="368"/>
      <c r="Y48" s="368"/>
      <c r="Z48" s="368"/>
      <c r="AA48" s="368"/>
      <c r="AB48" s="368"/>
      <c r="AC48" s="368"/>
      <c r="AD48" s="368"/>
      <c r="AE48" s="368"/>
      <c r="AF48" s="368"/>
      <c r="AG48" s="368"/>
      <c r="AH48" s="368"/>
      <c r="AI48" s="368"/>
      <c r="AJ48" s="368"/>
      <c r="AK48" s="1259" t="s">
        <v>618</v>
      </c>
      <c r="AM48" s="501"/>
      <c r="AN48" s="501" t="str">
        <f>IF(T48="","",T48)</f>
        <v>Добавить значение признака дифференциации</v>
      </c>
      <c r="AO48" s="501"/>
      <c r="AP48" s="501"/>
      <c r="AQ48" s="1156">
        <v>20</v>
      </c>
    </row>
    <row customHeight="1" ht="22.049999999999997">
      <c r="A49" s="1364" t="s">
        <v>401</v>
      </c>
      <c r="B49" s="1364" t="s">
        <v>402</v>
      </c>
      <c r="C49" s="1364" t="s">
        <v>403</v>
      </c>
      <c r="D49" s="1364" t="s">
        <v>652</v>
      </c>
      <c r="E49" s="2260"/>
      <c r="F49" s="2260"/>
      <c r="G49" s="2260"/>
      <c r="H49" s="2260"/>
      <c r="I49" s="2257"/>
      <c r="J49" s="1364"/>
      <c r="K49" s="1364"/>
      <c r="L49" s="1365"/>
      <c r="P49" s="2258"/>
      <c r="Q49" s="1482"/>
      <c r="R49" s="357"/>
      <c r="S49" s="1279"/>
      <c r="T49" s="366" t="s">
        <v>542</v>
      </c>
      <c r="U49" s="368"/>
      <c r="V49" s="368"/>
      <c r="W49" s="368"/>
      <c r="X49" s="368"/>
      <c r="Y49" s="368"/>
      <c r="Z49" s="368"/>
      <c r="AA49" s="368"/>
      <c r="AB49" s="367"/>
      <c r="AC49" s="368"/>
      <c r="AD49" s="368"/>
      <c r="AE49" s="368"/>
      <c r="AF49" s="368"/>
      <c r="AG49" s="368"/>
      <c r="AH49" s="368"/>
      <c r="AI49" s="367"/>
      <c r="AJ49" s="368"/>
      <c r="AK49" s="1441"/>
      <c r="AM49" s="501"/>
      <c r="AN49" s="501" t="str">
        <f>IF(T49="","",T49)</f>
        <v>Добавить группу потребителей</v>
      </c>
      <c r="AO49" s="501"/>
      <c r="AP49" s="501"/>
      <c r="AQ49" s="1156">
        <v>21</v>
      </c>
    </row>
    <row customHeight="1" ht="22.049999999999997">
      <c r="A50" s="1364" t="s">
        <v>401</v>
      </c>
      <c r="B50" s="1364" t="s">
        <v>402</v>
      </c>
      <c r="C50" s="1364" t="s">
        <v>403</v>
      </c>
      <c r="D50" s="1364" t="s">
        <v>652</v>
      </c>
      <c r="E50" s="2260"/>
      <c r="F50" s="2260"/>
      <c r="G50" s="2260"/>
      <c r="H50" s="2259"/>
      <c r="I50" s="1364"/>
      <c r="J50" s="1364"/>
      <c r="K50" s="1364"/>
      <c r="L50" s="1365"/>
      <c r="M50" s="1366"/>
      <c r="N50" s="1366"/>
      <c r="O50" s="538"/>
      <c r="P50" s="361"/>
      <c r="Q50" s="376"/>
      <c r="R50" s="356"/>
      <c r="S50" s="1279"/>
      <c r="T50" s="373" t="s">
        <v>619</v>
      </c>
      <c r="U50" s="368"/>
      <c r="V50" s="368"/>
      <c r="W50" s="368"/>
      <c r="X50" s="368"/>
      <c r="Y50" s="368"/>
      <c r="Z50" s="368"/>
      <c r="AA50" s="368"/>
      <c r="AB50" s="367"/>
      <c r="AC50" s="368"/>
      <c r="AD50" s="368"/>
      <c r="AE50" s="368"/>
      <c r="AF50" s="368"/>
      <c r="AG50" s="368"/>
      <c r="AH50" s="368"/>
      <c r="AI50" s="367"/>
      <c r="AJ50" s="368"/>
      <c r="AK50" s="304"/>
      <c r="AM50" s="501"/>
      <c r="AN50" s="501" t="str">
        <f>IF(T50="","",T50)</f>
        <v>Добавить наименование признака дифференциации</v>
      </c>
      <c r="AO50" s="501"/>
      <c r="AP50" s="501"/>
      <c r="AQ50" s="1156">
        <v>21</v>
      </c>
    </row>
    <row s="1643" customFormat="1" customHeight="1" ht="0">
      <c r="A51" s="1344" t="s">
        <v>401</v>
      </c>
      <c r="B51" s="1344" t="s">
        <v>402</v>
      </c>
      <c r="C51" s="1315"/>
      <c r="D51" s="1315"/>
      <c r="E51" s="2260"/>
      <c r="F51" s="2259"/>
      <c r="G51" s="1315"/>
      <c r="H51" s="1315"/>
      <c r="I51" s="1315"/>
      <c r="J51" s="1315"/>
      <c r="K51" s="1315"/>
      <c r="L51" s="1495"/>
      <c r="M51" s="1322"/>
      <c r="N51" s="1322"/>
      <c r="P51" s="1317"/>
      <c r="Q51" s="1318"/>
      <c r="R51" s="1317"/>
      <c r="S51" s="1323"/>
      <c r="T51" s="1326" t="s">
        <v>178</v>
      </c>
      <c r="U51" s="1325"/>
      <c r="V51" s="1325"/>
      <c r="W51" s="1325"/>
      <c r="X51" s="1325"/>
      <c r="Y51" s="1325"/>
      <c r="Z51" s="1325"/>
      <c r="AA51" s="1325"/>
      <c r="AB51" s="1325"/>
      <c r="AC51" s="1325"/>
      <c r="AD51" s="1325"/>
      <c r="AE51" s="1325"/>
      <c r="AF51" s="1325"/>
      <c r="AG51" s="1325"/>
      <c r="AH51" s="1325"/>
      <c r="AI51" s="1325"/>
      <c r="AJ51" s="1325"/>
      <c r="AK51" s="1325"/>
      <c r="AM51" s="790"/>
      <c r="AN51" s="790" t="str">
        <f>IF(T51="","",T51)</f>
        <v>Добавить централизованную систему для дифференциации</v>
      </c>
      <c r="AO51" s="790"/>
      <c r="AP51" s="790"/>
      <c r="AQ51" s="519">
        <v>0</v>
      </c>
    </row>
    <row s="1643" customFormat="1" customHeight="1" ht="0">
      <c r="A52" s="1344" t="s">
        <v>401</v>
      </c>
      <c r="B52" s="1344"/>
      <c r="C52" s="1344"/>
      <c r="D52" s="1344"/>
      <c r="E52" s="2259"/>
      <c r="F52" s="1344"/>
      <c r="G52" s="1344"/>
      <c r="H52" s="1344"/>
      <c r="I52" s="1344"/>
      <c r="J52" s="1344"/>
      <c r="K52" s="1344"/>
      <c r="L52" s="1347"/>
      <c r="M52" s="1322"/>
      <c r="N52" s="1322"/>
      <c r="O52" s="519"/>
      <c r="P52" s="381"/>
      <c r="Q52" s="1345"/>
      <c r="R52" s="381"/>
      <c r="S52" s="1323"/>
      <c r="T52" s="1326" t="s">
        <v>183</v>
      </c>
      <c r="U52" s="1325"/>
      <c r="V52" s="1325"/>
      <c r="W52" s="1325"/>
      <c r="X52" s="1325"/>
      <c r="Y52" s="1325"/>
      <c r="Z52" s="1325"/>
      <c r="AA52" s="1325"/>
      <c r="AB52" s="1325"/>
      <c r="AC52" s="1325"/>
      <c r="AD52" s="1325"/>
      <c r="AE52" s="1325"/>
      <c r="AF52" s="1325"/>
      <c r="AG52" s="1325"/>
      <c r="AH52" s="1325"/>
      <c r="AI52" s="1325"/>
      <c r="AJ52" s="1325"/>
      <c r="AK52" s="1325"/>
      <c r="AM52" s="501"/>
      <c r="AN52" s="501" t="str">
        <f>IF(T52="","",T52)</f>
        <v>Добавить территорию для дифференциации</v>
      </c>
      <c r="AO52" s="501"/>
      <c r="AP52" s="501"/>
      <c r="AQ52" s="512">
        <v>0</v>
      </c>
    </row>
    <row s="1643" customFormat="1" customHeight="1" ht="0">
      <c r="A53" s="1315"/>
      <c r="B53" s="1315"/>
      <c r="C53" s="1315"/>
      <c r="D53" s="1315"/>
      <c r="E53" s="1344"/>
      <c r="F53" s="1315"/>
      <c r="G53" s="1315"/>
      <c r="H53" s="1315"/>
      <c r="I53" s="1315"/>
      <c r="J53" s="1315"/>
      <c r="K53" s="1315"/>
      <c r="L53" s="1495"/>
      <c r="M53" s="1322"/>
      <c r="N53" s="1322"/>
      <c r="P53" s="1317"/>
      <c r="Q53" s="1318"/>
      <c r="R53" s="1317"/>
      <c r="S53" s="1323"/>
      <c r="T53" s="1326" t="s">
        <v>222</v>
      </c>
      <c r="U53" s="1325"/>
      <c r="V53" s="1325"/>
      <c r="W53" s="1325"/>
      <c r="X53" s="1325"/>
      <c r="Y53" s="1325"/>
      <c r="Z53" s="1325"/>
      <c r="AA53" s="1325"/>
      <c r="AB53" s="1325"/>
      <c r="AC53" s="1325"/>
      <c r="AD53" s="1325"/>
      <c r="AE53" s="1325"/>
      <c r="AF53" s="1325"/>
      <c r="AG53" s="1325"/>
      <c r="AH53" s="1325"/>
      <c r="AI53" s="1325"/>
      <c r="AJ53" s="1325"/>
      <c r="AK53" s="1325"/>
      <c r="AM53" s="790"/>
      <c r="AN53" s="790" t="str">
        <f>IF(T53="","",T53)</f>
        <v>Добавить наименование тарифа</v>
      </c>
      <c r="AO53" s="790"/>
      <c r="AP53" s="790"/>
      <c r="AQ53" s="519">
        <v>0</v>
      </c>
    </row>
    <row customHeight="1" ht="11.549999999999999">
      <c r="M54" s="1161"/>
      <c r="N54" s="1161"/>
      <c r="O54" s="538"/>
      <c r="P54" s="1156"/>
      <c r="Q54" s="1156"/>
      <c r="R54" s="1156"/>
      <c r="S54" s="1156"/>
      <c r="AL54" s="1156"/>
      <c r="AM54" s="1156"/>
      <c r="AN54" s="1156"/>
      <c r="AO54" s="1156"/>
      <c r="AP54" s="1156"/>
      <c r="AQ54" s="1156">
        <v>11</v>
      </c>
    </row>
    <row customHeight="1" ht="14.699999999999998">
      <c r="O55" s="538"/>
      <c r="S55" s="1254"/>
      <c r="T55" s="2286"/>
      <c r="U55" s="2286"/>
      <c r="V55" s="2286"/>
      <c r="W55" s="2286"/>
      <c r="X55" s="2286"/>
      <c r="Y55" s="2286"/>
      <c r="Z55" s="2286"/>
      <c r="AA55" s="2286"/>
      <c r="AB55" s="2286"/>
      <c r="AC55" s="2286"/>
      <c r="AD55" s="2286"/>
      <c r="AE55" s="2286"/>
      <c r="AF55" s="2286"/>
      <c r="AG55" s="2286"/>
      <c r="AH55" s="2286"/>
      <c r="AI55" s="2286"/>
      <c r="AJ55" s="2286"/>
      <c r="AK55" s="2286"/>
      <c r="AQ55" s="1156">
        <v>14</v>
      </c>
    </row>
    <row customHeight="1" ht="14.699999999999998">
      <c r="O56" s="538"/>
      <c r="AQ56" s="1156">
        <v>14</v>
      </c>
    </row>
    <row customHeight="1" ht="14.699999999999998">
      <c r="O57" s="538"/>
      <c r="S57" s="1254"/>
      <c r="T57" s="2286"/>
      <c r="U57" s="2286"/>
      <c r="V57" s="2286"/>
      <c r="W57" s="2286"/>
      <c r="X57" s="2286"/>
      <c r="Y57" s="2286"/>
      <c r="Z57" s="2286"/>
      <c r="AA57" s="2286"/>
      <c r="AB57" s="2286"/>
      <c r="AC57" s="2286"/>
      <c r="AD57" s="2286"/>
      <c r="AE57" s="2286"/>
      <c r="AF57" s="2286"/>
      <c r="AG57" s="2286"/>
      <c r="AH57" s="2286"/>
      <c r="AI57" s="2286"/>
      <c r="AJ57" s="2286"/>
      <c r="AK57" s="2286"/>
      <c r="AQ57" s="1156">
        <v>14</v>
      </c>
    </row>
    <row customHeight="1" ht="22.5" hidden="1">
      <c r="A58" s="1161" t="s">
        <v>86</v>
      </c>
      <c r="B58" s="1161">
        <v>0</v>
      </c>
      <c r="C58" s="1161">
        <v>0</v>
      </c>
      <c r="D58" s="1161">
        <v>0</v>
      </c>
      <c r="E58" s="1161">
        <v>0</v>
      </c>
      <c r="F58" s="1161">
        <v>0</v>
      </c>
      <c r="G58" s="1161">
        <v>0</v>
      </c>
      <c r="H58" s="1161">
        <v>0</v>
      </c>
      <c r="I58" s="1161">
        <v>0</v>
      </c>
      <c r="J58" s="1161">
        <v>0</v>
      </c>
      <c r="K58" s="1161">
        <v>0</v>
      </c>
      <c r="L58" s="1479">
        <v>0</v>
      </c>
      <c r="M58" s="1363">
        <v>0</v>
      </c>
      <c r="N58" s="1363">
        <v>0</v>
      </c>
      <c r="O58" s="1363">
        <v>0</v>
      </c>
      <c r="P58" s="1474">
        <v>3</v>
      </c>
      <c r="Q58" s="345">
        <v>3</v>
      </c>
      <c r="R58" s="345">
        <v>3</v>
      </c>
      <c r="S58" s="582">
        <v>12</v>
      </c>
      <c r="T58" s="1156">
        <v>35</v>
      </c>
      <c r="U58" s="1156">
        <v>0</v>
      </c>
      <c r="V58" s="1156">
        <v>0</v>
      </c>
      <c r="W58" s="1156">
        <v>0</v>
      </c>
      <c r="X58" s="1156">
        <v>0</v>
      </c>
      <c r="Y58" s="1156">
        <v>0</v>
      </c>
      <c r="Z58" s="1156">
        <v>0</v>
      </c>
      <c r="AA58" s="1156">
        <v>0</v>
      </c>
      <c r="AB58" s="1156">
        <v>0</v>
      </c>
      <c r="AC58" s="1156">
        <v>24</v>
      </c>
      <c r="AD58" s="1156">
        <v>24</v>
      </c>
      <c r="AE58" s="1156">
        <v>24</v>
      </c>
      <c r="AF58" s="1156">
        <v>11</v>
      </c>
      <c r="AG58" s="1156">
        <v>3</v>
      </c>
      <c r="AH58" s="1156">
        <v>11</v>
      </c>
      <c r="AI58" s="1156">
        <v>0</v>
      </c>
      <c r="AJ58" s="1156">
        <v>4</v>
      </c>
      <c r="AK58" s="1156">
        <v>115</v>
      </c>
      <c r="AL58" s="512">
        <v>10</v>
      </c>
      <c r="AM58" s="512">
        <v>10</v>
      </c>
      <c r="AN58" s="512">
        <v>10</v>
      </c>
      <c r="AO58" s="512">
        <v>10</v>
      </c>
      <c r="AP58" s="512">
        <v>10</v>
      </c>
      <c r="AQ58" s="1156">
        <v>23</v>
      </c>
    </row>
  </sheetData>
  <sheetProtection formatColumns="0" formatRows="0" autoFilter="0" sort="0" insertRows="0" insertColumns="1" deleteRows="0" deleteColumns="0"/>
  <mergeCells count="101">
    <mergeCell ref="AK46:AK47"/>
    <mergeCell ref="T55:AK55"/>
    <mergeCell ref="T57:AK57"/>
    <mergeCell ref="K46:K47"/>
    <mergeCell ref="Y46:Y47"/>
    <mergeCell ref="Z46:Z47"/>
    <mergeCell ref="AA46:AA47"/>
    <mergeCell ref="AB46:AB47"/>
    <mergeCell ref="AF46:AF47"/>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7:AK8"/>
    <mergeCell ref="AF15:AF16"/>
    <mergeCell ref="AG15:AG16"/>
    <mergeCell ref="AH15:AH16"/>
    <mergeCell ref="AI15:AI16"/>
    <mergeCell ref="Z7:Z8"/>
    <mergeCell ref="AA7:AA8"/>
    <mergeCell ref="AB7:AB8"/>
    <mergeCell ref="AF7:AF8"/>
    <mergeCell ref="AG7:AG8"/>
    <mergeCell ref="AH7:AH8"/>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s>
  <dataValidations count="8">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AE47 AE8 X8 X47"/>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5:AJ5 AC44:AJ44">
      <formula1>900</formula1>
    </dataValidation>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AH7 AF7 Y7 AA7 Y46 AA4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524330 AI196650 AI589866 AI655402 AI15 AI720938 AI786474 AI852010 AI917546 AI983082 AI65578 AI131114 AI458794 AI262186 AI7 AG46 AI327722 AG15 AG7 Z7 AB7 AI393258 AI46 Z46 AB46"/>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06B91FB-49F8-8B65-CD98-926E550E9F72}" mc:Ignorable="x14ac xr xr2 xr3">
  <sheetPr>
    <tabColor theme="6" tint="0.4"/>
  </sheetPr>
  <dimension ref="A1:BI69"/>
  <sheetViews>
    <sheetView showGridLines="0" zoomScale="90" workbookViewId="0">
      <pane xSplit="29" ySplit="45" topLeftCell="AD46" activePane="bottomRight" state="frozen"/>
      <selection pane="bottomLeft" activeCell="A46" sqref="A46"/>
      <selection pane="topRight" activeCell="AD1" sqref="AD1"/>
      <selection pane="bottomRight" activeCell="A1" sqref="A1"/>
    </sheetView>
  </sheetViews>
  <sheetFormatPr defaultColWidth="10.57421875" customHeight="1" defaultRowHeight="14.25"/>
  <cols>
    <col min="1" max="1" style="1367" width="11.57421875" hidden="1" customWidth="1"/>
    <col min="2" max="2" style="1367" width="11.00390625" hidden="1" customWidth="1"/>
    <col min="3" max="3" style="1367" width="10.57421875" hidden="1"/>
    <col min="4" max="4" style="1367" width="12.8515625" hidden="1" customWidth="1"/>
    <col min="5" max="5" style="1367" width="10.00390625" hidden="1" customWidth="1"/>
    <col min="6" max="6" style="1367" width="8.7109375" hidden="1" customWidth="1"/>
    <col min="7" max="7" style="1367" width="7.57421875" hidden="1" customWidth="1"/>
    <col min="8" max="8" style="1367" width="11.421875" hidden="1" customWidth="1"/>
    <col min="9" max="9" style="1367" width="12.00390625" hidden="1" customWidth="1"/>
    <col min="10" max="10" style="1367" width="9.8515625" hidden="1" customWidth="1"/>
    <col min="11" max="11" style="1367" width="11.421875" hidden="1" customWidth="1"/>
    <col min="12" max="12" style="2608" width="19.140625" hidden="1" customWidth="1"/>
    <col min="13" max="14" style="1777" width="12.28125" hidden="1" customWidth="1"/>
    <col min="15" max="15" style="1777" width="23.421875" hidden="1" customWidth="1"/>
    <col min="16" max="16" style="1777" width="3.7109375" hidden="1" customWidth="1"/>
    <col min="17" max="17" style="1372" width="3.7109375" hidden="1" customWidth="1"/>
    <col min="18" max="18" style="345" width="3.00390625" customWidth="1"/>
    <col min="19" max="19" style="2408" width="12.00390625" customWidth="1"/>
    <col min="20" max="20" style="1636" width="31.00390625" customWidth="1"/>
    <col min="21" max="21" style="1636" width="0.140625" customWidth="1"/>
    <col min="22" max="25" style="1636" width="21.7109375" hidden="1" customWidth="1"/>
    <col min="26" max="26" style="1636" width="11.7109375" hidden="1" customWidth="1"/>
    <col min="27" max="27" style="1636" width="3.7109375" hidden="1" customWidth="1"/>
    <col min="28" max="28" style="1636" width="11.7109375" hidden="1" customWidth="1"/>
    <col min="29" max="29" style="1636" width="8.57421875" hidden="1" customWidth="1"/>
    <col min="30" max="30" style="1636" width="3.7109375" customWidth="1"/>
    <col min="31" max="32" style="1636" width="3.00390625" customWidth="1"/>
    <col min="33" max="33" style="1636" width="24.00390625" customWidth="1"/>
    <col min="34" max="34" style="1636" width="3.7109375" customWidth="1"/>
    <col min="35" max="36" style="1636" width="3.00390625" customWidth="1"/>
    <col min="37" max="37" style="1636" width="24.00390625" customWidth="1"/>
    <col min="38" max="38" style="1636" width="3.7109375" customWidth="1"/>
    <col min="39" max="40" style="1636" width="3.00390625" customWidth="1"/>
    <col min="41" max="41" style="1636" width="18.00390625" customWidth="1"/>
    <col min="42" max="42" style="1636" width="3.7109375" customWidth="1"/>
    <col min="43" max="44" style="1636" width="3.00390625" customWidth="1"/>
    <col min="45" max="45" style="1636" width="18.00390625" customWidth="1"/>
    <col min="46" max="49" style="1636" width="21.00390625" customWidth="1"/>
    <col min="50" max="50" style="1636" width="11.00390625" customWidth="1"/>
    <col min="51" max="51" style="1636" width="3.7109375" customWidth="1"/>
    <col min="52" max="52" style="1636" width="11.00390625" customWidth="1"/>
    <col min="53" max="53" style="1636" width="8.57421875" hidden="1" customWidth="1"/>
    <col min="54" max="54" style="1636" width="4.00390625" customWidth="1"/>
    <col min="55" max="55" style="1636" width="115.00390625" customWidth="1"/>
    <col min="56" max="60" style="1643" width="10.00390625" customWidth="1"/>
    <col min="61" max="61" style="1636" width="10.57421875" hidden="1"/>
  </cols>
  <sheetData>
    <row customHeight="1" ht="22.5" hidden="1">
      <c r="W1" s="328"/>
      <c r="Y1" s="328"/>
      <c r="Z1" s="328"/>
      <c r="AW1" s="328"/>
      <c r="AX1" s="328"/>
      <c r="BI1" s="1156" t="s">
        <v>14</v>
      </c>
    </row>
    <row customHeight="1" ht="21" hidden="1">
      <c r="A2" s="1364"/>
      <c r="B2" s="1364"/>
      <c r="C2" s="1364"/>
      <c r="D2" s="1364"/>
      <c r="E2" s="2259">
        <v>1</v>
      </c>
      <c r="F2" s="1364"/>
      <c r="G2" s="1364"/>
      <c r="H2" s="1364"/>
      <c r="I2" s="1364"/>
      <c r="J2" s="1364"/>
      <c r="K2" s="1364"/>
      <c r="L2" s="1365"/>
      <c r="M2" s="1366"/>
      <c r="N2" s="1366"/>
      <c r="O2" s="1366"/>
      <c r="P2" s="1410"/>
      <c r="Q2" s="874"/>
      <c r="R2" s="356"/>
      <c r="S2" s="1494">
        <f>INDEX(PT_DIFFERENTIATION_NUM_NTAR,MATCH(A2,PT_DIFFERENTIATION_NTAR_ID,0))</f>
      </c>
      <c r="T2" s="299" t="s">
        <v>136</v>
      </c>
      <c r="U2" s="301"/>
      <c r="V2" s="2244"/>
      <c r="W2" s="2244"/>
      <c r="X2" s="2244"/>
      <c r="Y2" s="2244"/>
      <c r="Z2" s="2244"/>
      <c r="AA2" s="2244"/>
      <c r="AB2" s="2244"/>
      <c r="AC2" s="2245"/>
      <c r="AD2" s="2243">
        <f>INDEX(PT_DIFFERENTIATION_NTAR,MATCH(A2,PT_DIFFERENTIATION_NTAR_ID,0))</f>
      </c>
      <c r="AE2" s="2244"/>
      <c r="AF2" s="2244"/>
      <c r="AG2" s="2244"/>
      <c r="AH2" s="2244"/>
      <c r="AI2" s="2244"/>
      <c r="AJ2" s="2244"/>
      <c r="AK2" s="2244"/>
      <c r="AL2" s="2244"/>
      <c r="AM2" s="2244"/>
      <c r="AN2" s="2244"/>
      <c r="AO2" s="2244"/>
      <c r="AP2" s="2244"/>
      <c r="AQ2" s="2244"/>
      <c r="AR2" s="2244"/>
      <c r="AS2" s="2244"/>
      <c r="AT2" s="2244"/>
      <c r="AU2" s="2244"/>
      <c r="AV2" s="2244"/>
      <c r="AW2" s="2244"/>
      <c r="AX2" s="2244"/>
      <c r="AY2" s="2244"/>
      <c r="AZ2" s="2244"/>
      <c r="BA2" s="2244"/>
      <c r="BB2" s="2245"/>
      <c r="BC2" s="125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BE2" s="501"/>
      <c r="BF2" s="501" t="str">
        <f>IF(T2="","",T2)</f>
        <v>Наименование тарифа</v>
      </c>
      <c r="BG2" s="501"/>
      <c r="BH2" s="501"/>
      <c r="BI2" s="1156">
        <v>0</v>
      </c>
    </row>
    <row customHeight="1" ht="21" hidden="1">
      <c r="A3" s="1364"/>
      <c r="B3" s="1364"/>
      <c r="C3" s="1364"/>
      <c r="D3" s="1364"/>
      <c r="E3" s="2260"/>
      <c r="F3" s="2259">
        <v>1</v>
      </c>
      <c r="G3" s="1364"/>
      <c r="H3" s="1364"/>
      <c r="I3" s="1364"/>
      <c r="J3" s="1364"/>
      <c r="K3" s="1364"/>
      <c r="L3" s="1365"/>
      <c r="M3" s="1366"/>
      <c r="N3" s="1366"/>
      <c r="O3" s="1366"/>
      <c r="P3" s="1411"/>
      <c r="Q3" s="1412"/>
      <c r="R3" s="354"/>
      <c r="S3" s="1494">
        <f>INDEX(PT_DIFFERENTIATION_NUM_TER,MATCH(B3,PT_DIFFERENTIATION_TER_ID,0))</f>
      </c>
      <c r="T3" s="309" t="s">
        <v>527</v>
      </c>
      <c r="U3" s="301"/>
      <c r="V3" s="2244"/>
      <c r="W3" s="2244"/>
      <c r="X3" s="2244"/>
      <c r="Y3" s="2244"/>
      <c r="Z3" s="2244"/>
      <c r="AA3" s="2244"/>
      <c r="AB3" s="2244"/>
      <c r="AC3" s="2245"/>
      <c r="AD3" s="2243">
        <f>INDEX(PT_DIFFERENTIATION_TER,MATCH(B3,PT_DIFFERENTIATION_TER_ID,0))</f>
      </c>
      <c r="AE3" s="2244"/>
      <c r="AF3" s="2244"/>
      <c r="AG3" s="2244"/>
      <c r="AH3" s="2244"/>
      <c r="AI3" s="2244"/>
      <c r="AJ3" s="2244"/>
      <c r="AK3" s="2244"/>
      <c r="AL3" s="2244"/>
      <c r="AM3" s="2244"/>
      <c r="AN3" s="2244"/>
      <c r="AO3" s="2244"/>
      <c r="AP3" s="2244"/>
      <c r="AQ3" s="2244"/>
      <c r="AR3" s="2244"/>
      <c r="AS3" s="2244"/>
      <c r="AT3" s="2244"/>
      <c r="AU3" s="2244"/>
      <c r="AV3" s="2244"/>
      <c r="AW3" s="2244"/>
      <c r="AX3" s="2244"/>
      <c r="AY3" s="2244"/>
      <c r="AZ3" s="2244"/>
      <c r="BA3" s="2244"/>
      <c r="BB3" s="2245"/>
      <c r="BC3" s="1259" t="s">
        <v>528</v>
      </c>
      <c r="BE3" s="501"/>
      <c r="BF3" s="501" t="str">
        <f>IF(T3="","",T3)</f>
        <v>Территория действия тарифа</v>
      </c>
      <c r="BG3" s="501"/>
      <c r="BH3" s="501"/>
      <c r="BI3" s="1156">
        <v>0</v>
      </c>
    </row>
    <row customHeight="1" ht="33.75" hidden="1">
      <c r="A4" s="1364"/>
      <c r="B4" s="1364"/>
      <c r="C4" s="1364"/>
      <c r="D4" s="1364"/>
      <c r="E4" s="2260"/>
      <c r="F4" s="2260"/>
      <c r="G4" s="2259">
        <v>1</v>
      </c>
      <c r="H4" s="1364"/>
      <c r="I4" s="1364"/>
      <c r="J4" s="1364"/>
      <c r="K4" s="1364"/>
      <c r="L4" s="1365"/>
      <c r="M4" s="1366"/>
      <c r="N4" s="1366"/>
      <c r="O4" s="1366"/>
      <c r="P4" s="1413"/>
      <c r="Q4" s="1412"/>
      <c r="R4" s="354"/>
      <c r="S4" s="1494">
        <f>INDEX(PT_DIFFERENTIATION_NUM_CS,MATCH(C4,PT_DIFFERENTIATION_CS_ID,0))</f>
      </c>
      <c r="T4" s="310" t="s">
        <v>647</v>
      </c>
      <c r="U4" s="301"/>
      <c r="V4" s="2244"/>
      <c r="W4" s="2244"/>
      <c r="X4" s="2244"/>
      <c r="Y4" s="2244"/>
      <c r="Z4" s="2244"/>
      <c r="AA4" s="2244"/>
      <c r="AB4" s="2244"/>
      <c r="AC4" s="2245"/>
      <c r="AD4" s="2243">
        <f>INDEX(PT_DIFFERENTIATION_CS,MATCH(C4,PT_DIFFERENTIATION_CS_ID,0))</f>
      </c>
      <c r="AE4" s="2244"/>
      <c r="AF4" s="2244"/>
      <c r="AG4" s="2244"/>
      <c r="AH4" s="2244"/>
      <c r="AI4" s="2244"/>
      <c r="AJ4" s="2244"/>
      <c r="AK4" s="2244"/>
      <c r="AL4" s="2244"/>
      <c r="AM4" s="2244"/>
      <c r="AN4" s="2244"/>
      <c r="AO4" s="2244"/>
      <c r="AP4" s="2244"/>
      <c r="AQ4" s="2244"/>
      <c r="AR4" s="2244"/>
      <c r="AS4" s="2244"/>
      <c r="AT4" s="2244"/>
      <c r="AU4" s="2244"/>
      <c r="AV4" s="2244"/>
      <c r="AW4" s="2244"/>
      <c r="AX4" s="2244"/>
      <c r="AY4" s="2244"/>
      <c r="AZ4" s="2244"/>
      <c r="BA4" s="2244"/>
      <c r="BB4" s="2245"/>
      <c r="BC4" s="1259" t="s">
        <v>648</v>
      </c>
      <c r="BE4" s="501"/>
      <c r="BF4" s="501" t="str">
        <f>IF(T4="","",T4)</f>
        <v>Наименование централизованной системы водоотведения</v>
      </c>
      <c r="BG4" s="501"/>
      <c r="BH4" s="501"/>
      <c r="BI4" s="1156">
        <v>0</v>
      </c>
    </row>
    <row s="1643" customFormat="1" customHeight="1" ht="14.25" hidden="1">
      <c r="A5" s="1344"/>
      <c r="B5" s="1344"/>
      <c r="C5" s="1344"/>
      <c r="D5" s="1344"/>
      <c r="E5" s="2260"/>
      <c r="F5" s="2260"/>
      <c r="G5" s="2260"/>
      <c r="H5" s="2259">
        <v>1</v>
      </c>
      <c r="I5" s="1344"/>
      <c r="J5" s="1344"/>
      <c r="K5" s="1344"/>
      <c r="L5" s="1347"/>
      <c r="M5" s="1316"/>
      <c r="N5" s="1316"/>
      <c r="O5" s="1316"/>
      <c r="P5" s="1498"/>
      <c r="Q5" s="1499"/>
      <c r="R5" s="358"/>
      <c r="S5" s="1043"/>
      <c r="T5" s="1500"/>
      <c r="U5" s="1385"/>
      <c r="V5" s="2298"/>
      <c r="W5" s="2298"/>
      <c r="X5" s="2298"/>
      <c r="Y5" s="2298"/>
      <c r="Z5" s="2298"/>
      <c r="AA5" s="2298"/>
      <c r="AB5" s="2298"/>
      <c r="AC5" s="2299"/>
      <c r="AD5" s="2297"/>
      <c r="AE5" s="2298"/>
      <c r="AF5" s="2298"/>
      <c r="AG5" s="2298"/>
      <c r="AH5" s="2298"/>
      <c r="AI5" s="2298"/>
      <c r="AJ5" s="2298"/>
      <c r="AK5" s="2298"/>
      <c r="AL5" s="2298"/>
      <c r="AM5" s="2298"/>
      <c r="AN5" s="2298"/>
      <c r="AO5" s="2298"/>
      <c r="AP5" s="2298"/>
      <c r="AQ5" s="2298"/>
      <c r="AR5" s="2298"/>
      <c r="AS5" s="2298"/>
      <c r="AT5" s="2298"/>
      <c r="AU5" s="2298"/>
      <c r="AV5" s="2298"/>
      <c r="AW5" s="2298"/>
      <c r="AX5" s="2298"/>
      <c r="AY5" s="2298"/>
      <c r="AZ5" s="2298"/>
      <c r="BA5" s="2298"/>
      <c r="BB5" s="2299"/>
      <c r="BC5" s="1386" t="s">
        <v>532</v>
      </c>
      <c r="BE5" s="501"/>
      <c r="BF5" s="501" t="str">
        <f>IF(T5="","",T5)</f>
        <v/>
      </c>
      <c r="BG5" s="501"/>
      <c r="BH5" s="501"/>
      <c r="BI5" s="512">
        <v>0</v>
      </c>
    </row>
    <row s="1643" customFormat="1" customHeight="1" ht="14.25" hidden="1">
      <c r="A6" s="1344"/>
      <c r="B6" s="1344"/>
      <c r="C6" s="1344"/>
      <c r="D6" s="1344"/>
      <c r="E6" s="2260"/>
      <c r="F6" s="2260"/>
      <c r="G6" s="2260"/>
      <c r="H6" s="2260"/>
      <c r="I6" s="2257" t="str">
        <f>S5&amp;".1"</f>
        <v>.1</v>
      </c>
      <c r="J6" s="1344"/>
      <c r="K6" s="1344"/>
      <c r="L6" s="1347" t="s">
        <v>533</v>
      </c>
      <c r="M6" s="511"/>
      <c r="N6" s="511"/>
      <c r="O6" s="511"/>
      <c r="P6" s="2258">
        <v>1</v>
      </c>
      <c r="Q6" s="1482"/>
      <c r="R6" s="357"/>
      <c r="S6" s="1043"/>
      <c r="T6" s="1384"/>
      <c r="U6" s="1385"/>
      <c r="V6" s="2298"/>
      <c r="W6" s="2298"/>
      <c r="X6" s="2298"/>
      <c r="Y6" s="2298"/>
      <c r="Z6" s="2298"/>
      <c r="AA6" s="2298"/>
      <c r="AB6" s="2298"/>
      <c r="AC6" s="2299"/>
      <c r="AD6" s="2297"/>
      <c r="AE6" s="2298"/>
      <c r="AF6" s="2298"/>
      <c r="AG6" s="2298"/>
      <c r="AH6" s="2298"/>
      <c r="AI6" s="2298"/>
      <c r="AJ6" s="2298"/>
      <c r="AK6" s="2298"/>
      <c r="AL6" s="2298"/>
      <c r="AM6" s="2298"/>
      <c r="AN6" s="2298"/>
      <c r="AO6" s="2298"/>
      <c r="AP6" s="2298"/>
      <c r="AQ6" s="2298"/>
      <c r="AR6" s="2298"/>
      <c r="AS6" s="2298"/>
      <c r="AT6" s="2298"/>
      <c r="AU6" s="2298"/>
      <c r="AV6" s="2298"/>
      <c r="AW6" s="2298"/>
      <c r="AX6" s="2298"/>
      <c r="AY6" s="2298"/>
      <c r="AZ6" s="2298"/>
      <c r="BA6" s="2298"/>
      <c r="BB6" s="2299"/>
      <c r="BC6" s="1386"/>
      <c r="BE6" s="501"/>
      <c r="BF6" s="501" t="str">
        <f>IF(T6="","",T6)</f>
        <v/>
      </c>
      <c r="BG6" s="501"/>
      <c r="BH6" s="501"/>
      <c r="BI6" s="512">
        <v>0</v>
      </c>
    </row>
    <row s="1643" customFormat="1" customHeight="1" ht="14.25" hidden="1">
      <c r="A7" s="1344"/>
      <c r="B7" s="1344"/>
      <c r="C7" s="1344"/>
      <c r="D7" s="1344"/>
      <c r="E7" s="2260"/>
      <c r="F7" s="2260"/>
      <c r="G7" s="2260"/>
      <c r="H7" s="2260"/>
      <c r="I7" s="2287"/>
      <c r="J7" s="2257" t="str">
        <f>S5&amp;".1"</f>
        <v>.1</v>
      </c>
      <c r="K7" s="1344"/>
      <c r="L7" s="1347"/>
      <c r="M7" s="511"/>
      <c r="N7" s="511"/>
      <c r="O7" s="511"/>
      <c r="P7" s="2258"/>
      <c r="Q7" s="2258">
        <v>1</v>
      </c>
      <c r="R7" s="358"/>
      <c r="S7" s="1043"/>
      <c r="T7" s="1400"/>
      <c r="U7" s="1385"/>
      <c r="V7" s="2298"/>
      <c r="W7" s="2298"/>
      <c r="X7" s="2298"/>
      <c r="Y7" s="2298"/>
      <c r="Z7" s="2298"/>
      <c r="AA7" s="2298"/>
      <c r="AB7" s="2298"/>
      <c r="AC7" s="2299"/>
      <c r="AD7" s="2297"/>
      <c r="AE7" s="2298"/>
      <c r="AF7" s="2298"/>
      <c r="AG7" s="2298"/>
      <c r="AH7" s="2298"/>
      <c r="AI7" s="2298"/>
      <c r="AJ7" s="2298"/>
      <c r="AK7" s="2298"/>
      <c r="AL7" s="2298"/>
      <c r="AM7" s="2298"/>
      <c r="AN7" s="2298"/>
      <c r="AO7" s="2298"/>
      <c r="AP7" s="2298"/>
      <c r="AQ7" s="2298"/>
      <c r="AR7" s="2298"/>
      <c r="AS7" s="2298"/>
      <c r="AT7" s="2298"/>
      <c r="AU7" s="2298"/>
      <c r="AV7" s="2298"/>
      <c r="AW7" s="2298"/>
      <c r="AX7" s="2298"/>
      <c r="AY7" s="2298"/>
      <c r="AZ7" s="2298"/>
      <c r="BA7" s="2298"/>
      <c r="BB7" s="2299"/>
      <c r="BC7" s="1386"/>
      <c r="BE7" s="501"/>
      <c r="BF7" s="501" t="str">
        <f>IF(T7="","",T7)</f>
        <v/>
      </c>
      <c r="BG7" s="501"/>
      <c r="BH7" s="501"/>
      <c r="BI7" s="512">
        <v>0</v>
      </c>
    </row>
    <row customHeight="1" ht="11.25" hidden="1">
      <c r="A8" s="1364"/>
      <c r="B8" s="1364"/>
      <c r="C8" s="1364"/>
      <c r="D8" s="1364"/>
      <c r="E8" s="2260"/>
      <c r="F8" s="2260"/>
      <c r="G8" s="2260"/>
      <c r="H8" s="2260"/>
      <c r="I8" s="2287"/>
      <c r="J8" s="2287"/>
      <c r="K8" s="2257">
        <f>S4&amp;".1"</f>
      </c>
      <c r="L8" s="1365"/>
      <c r="P8" s="2258"/>
      <c r="Q8" s="2258"/>
      <c r="R8" s="2348">
        <v>1</v>
      </c>
      <c r="S8" s="2342">
        <f>$K8</f>
      </c>
      <c r="T8" s="2361"/>
      <c r="U8" s="301"/>
      <c r="V8" s="752"/>
      <c r="W8" s="1258"/>
      <c r="X8" s="752"/>
      <c r="Y8" s="1258"/>
      <c r="Z8" s="1735"/>
      <c r="AA8" s="1470" t="s">
        <v>65</v>
      </c>
      <c r="AB8" s="1735"/>
      <c r="AC8" s="1470" t="s">
        <v>65</v>
      </c>
      <c r="AD8" s="2186" t="s">
        <v>65</v>
      </c>
      <c r="AE8" s="2327"/>
      <c r="AF8" s="2206">
        <v>1</v>
      </c>
      <c r="AG8" s="2364"/>
      <c r="AH8" s="2108" t="s">
        <v>65</v>
      </c>
      <c r="AI8" s="2327"/>
      <c r="AJ8" s="2206">
        <v>1</v>
      </c>
      <c r="AK8" s="2328" t="s">
        <v>28</v>
      </c>
      <c r="AL8" s="2108" t="s">
        <v>65</v>
      </c>
      <c r="AM8" s="2193"/>
      <c r="AN8" s="2206">
        <v>1</v>
      </c>
      <c r="AO8" s="2358"/>
      <c r="AP8" s="2359" t="s">
        <v>65</v>
      </c>
      <c r="AQ8" s="312"/>
      <c r="AR8" s="1487">
        <v>1</v>
      </c>
      <c r="AS8" s="1493" t="s">
        <v>28</v>
      </c>
      <c r="AT8" s="752"/>
      <c r="AU8" s="1258"/>
      <c r="AV8" s="752"/>
      <c r="AW8" s="1258"/>
      <c r="AX8" s="1735"/>
      <c r="AY8" s="1470" t="s">
        <v>65</v>
      </c>
      <c r="AZ8" s="1735"/>
      <c r="BA8" s="1470" t="s">
        <v>65</v>
      </c>
      <c r="BB8" s="1349"/>
      <c r="BC8" s="2254" t="s">
        <v>632</v>
      </c>
      <c r="BE8" s="501"/>
      <c r="BF8" s="501" t="str">
        <f>IF(T8="","",T8)</f>
        <v/>
      </c>
      <c r="BG8" s="501"/>
      <c r="BH8" s="501"/>
      <c r="BI8" s="1156">
        <v>0</v>
      </c>
    </row>
    <row customHeight="1" ht="11.25" hidden="1">
      <c r="A9" s="1364"/>
      <c r="B9" s="1364"/>
      <c r="C9" s="1364"/>
      <c r="D9" s="1364"/>
      <c r="E9" s="2260"/>
      <c r="F9" s="2260"/>
      <c r="G9" s="2260"/>
      <c r="H9" s="2260"/>
      <c r="I9" s="2287"/>
      <c r="J9" s="2287"/>
      <c r="K9" s="2257"/>
      <c r="L9" s="1365"/>
      <c r="P9" s="2258"/>
      <c r="Q9" s="2258"/>
      <c r="R9" s="2348"/>
      <c r="S9" s="2343"/>
      <c r="T9" s="2362"/>
      <c r="U9" s="301"/>
      <c r="V9" s="1394"/>
      <c r="W9" s="1497"/>
      <c r="X9" s="1394"/>
      <c r="Y9" s="1497"/>
      <c r="Z9" s="1394"/>
      <c r="AA9" s="1394"/>
      <c r="AB9" s="1394"/>
      <c r="AC9" s="1394"/>
      <c r="AD9" s="2187"/>
      <c r="AE9" s="2327"/>
      <c r="AF9" s="2206"/>
      <c r="AG9" s="2364"/>
      <c r="AH9" s="2108"/>
      <c r="AI9" s="2327"/>
      <c r="AJ9" s="2206"/>
      <c r="AK9" s="2328"/>
      <c r="AL9" s="2108"/>
      <c r="AM9" s="2201"/>
      <c r="AN9" s="2206"/>
      <c r="AO9" s="2358"/>
      <c r="AP9" s="2360"/>
      <c r="AQ9" s="317"/>
      <c r="AR9" s="417"/>
      <c r="AS9" s="417" t="s">
        <v>633</v>
      </c>
      <c r="AT9" s="1394"/>
      <c r="AU9" s="1497"/>
      <c r="AV9" s="1394"/>
      <c r="AW9" s="1497"/>
      <c r="AX9" s="1394"/>
      <c r="AY9" s="1394"/>
      <c r="AZ9" s="1394"/>
      <c r="BA9" s="1394"/>
      <c r="BB9" s="1398"/>
      <c r="BC9" s="2255"/>
      <c r="BE9" s="501"/>
      <c r="BF9" s="501"/>
      <c r="BG9" s="501"/>
      <c r="BH9" s="501"/>
      <c r="BI9" s="1156">
        <v>0</v>
      </c>
    </row>
    <row customHeight="1" ht="11.25" hidden="1">
      <c r="A10" s="1364"/>
      <c r="B10" s="1364"/>
      <c r="C10" s="1364"/>
      <c r="D10" s="1364"/>
      <c r="E10" s="2260"/>
      <c r="F10" s="2260"/>
      <c r="G10" s="2260"/>
      <c r="H10" s="2260"/>
      <c r="I10" s="2287"/>
      <c r="J10" s="2287"/>
      <c r="K10" s="2257"/>
      <c r="L10" s="1365"/>
      <c r="P10" s="2258"/>
      <c r="Q10" s="2258"/>
      <c r="R10" s="2348"/>
      <c r="S10" s="2343"/>
      <c r="T10" s="2362"/>
      <c r="U10" s="301"/>
      <c r="V10" s="1394"/>
      <c r="W10" s="1497"/>
      <c r="X10" s="1394"/>
      <c r="Y10" s="1497"/>
      <c r="Z10" s="1394"/>
      <c r="AA10" s="1394"/>
      <c r="AB10" s="1394"/>
      <c r="AC10" s="1394"/>
      <c r="AD10" s="2187"/>
      <c r="AE10" s="2327"/>
      <c r="AF10" s="2206"/>
      <c r="AG10" s="2364"/>
      <c r="AH10" s="2108"/>
      <c r="AI10" s="2327"/>
      <c r="AJ10" s="2206"/>
      <c r="AK10" s="2328"/>
      <c r="AL10" s="2108"/>
      <c r="AM10" s="317"/>
      <c r="AN10" s="1501"/>
      <c r="AO10" s="1501" t="s">
        <v>653</v>
      </c>
      <c r="AP10" s="417"/>
      <c r="AQ10" s="417"/>
      <c r="AR10" s="417"/>
      <c r="AS10" s="1394"/>
      <c r="AT10" s="1394"/>
      <c r="AU10" s="1497"/>
      <c r="AV10" s="1394"/>
      <c r="AW10" s="1497"/>
      <c r="AX10" s="1394"/>
      <c r="AY10" s="1394"/>
      <c r="AZ10" s="1394"/>
      <c r="BA10" s="1394"/>
      <c r="BB10" s="1398"/>
      <c r="BC10" s="2255"/>
      <c r="BE10" s="501"/>
      <c r="BF10" s="501"/>
      <c r="BG10" s="501"/>
      <c r="BH10" s="501"/>
      <c r="BI10" s="1156">
        <v>0</v>
      </c>
    </row>
    <row customHeight="1" ht="11.25" hidden="1">
      <c r="A11" s="1364"/>
      <c r="B11" s="1364"/>
      <c r="C11" s="1364"/>
      <c r="D11" s="1364"/>
      <c r="E11" s="2260"/>
      <c r="F11" s="2260"/>
      <c r="G11" s="2260"/>
      <c r="H11" s="2260"/>
      <c r="I11" s="2287"/>
      <c r="J11" s="2287"/>
      <c r="K11" s="2257"/>
      <c r="L11" s="1365"/>
      <c r="P11" s="2258"/>
      <c r="Q11" s="2258"/>
      <c r="R11" s="2348"/>
      <c r="S11" s="2343"/>
      <c r="T11" s="2362"/>
      <c r="U11" s="301"/>
      <c r="V11" s="1394"/>
      <c r="W11" s="1497"/>
      <c r="X11" s="1394"/>
      <c r="Y11" s="1497"/>
      <c r="Z11" s="1394"/>
      <c r="AA11" s="1394"/>
      <c r="AB11" s="1394"/>
      <c r="AC11" s="1394"/>
      <c r="AD11" s="2187"/>
      <c r="AE11" s="2327"/>
      <c r="AF11" s="2206"/>
      <c r="AG11" s="2364"/>
      <c r="AH11" s="2108"/>
      <c r="AI11" s="295"/>
      <c r="AJ11" s="416"/>
      <c r="AK11" s="314" t="s">
        <v>654</v>
      </c>
      <c r="AL11" s="1394"/>
      <c r="AM11" s="1394"/>
      <c r="AN11" s="1394"/>
      <c r="AO11" s="1394"/>
      <c r="AP11" s="1394"/>
      <c r="AQ11" s="1394"/>
      <c r="AR11" s="1394"/>
      <c r="AS11" s="1394"/>
      <c r="AT11" s="1394"/>
      <c r="AU11" s="1497"/>
      <c r="AV11" s="1394"/>
      <c r="AW11" s="1497"/>
      <c r="AX11" s="1394"/>
      <c r="AY11" s="1394"/>
      <c r="AZ11" s="1394"/>
      <c r="BA11" s="1394"/>
      <c r="BB11" s="1398"/>
      <c r="BC11" s="2255"/>
      <c r="BE11" s="501"/>
      <c r="BF11" s="501"/>
      <c r="BG11" s="501"/>
      <c r="BH11" s="501"/>
      <c r="BI11" s="1156">
        <v>0</v>
      </c>
    </row>
    <row customHeight="1" ht="11.25" hidden="1">
      <c r="A12" s="1364"/>
      <c r="B12" s="1364"/>
      <c r="C12" s="1364"/>
      <c r="D12" s="1364"/>
      <c r="E12" s="2260"/>
      <c r="F12" s="2260"/>
      <c r="G12" s="2260"/>
      <c r="H12" s="2260"/>
      <c r="I12" s="2287"/>
      <c r="J12" s="2287"/>
      <c r="K12" s="2257"/>
      <c r="L12" s="1365"/>
      <c r="P12" s="2258"/>
      <c r="Q12" s="2258"/>
      <c r="R12" s="2348"/>
      <c r="S12" s="2344"/>
      <c r="T12" s="2363"/>
      <c r="U12" s="301"/>
      <c r="V12" s="1394"/>
      <c r="W12" s="1395" t="str">
        <f>Z8&amp;"-"&amp;AB8</f>
        <v>-</v>
      </c>
      <c r="X12" s="1394"/>
      <c r="Y12" s="1395" t="str">
        <f>AB8&amp;"-"&amp;AD8</f>
        <v>-да</v>
      </c>
      <c r="Z12" s="1394"/>
      <c r="AA12" s="1394"/>
      <c r="AB12" s="1394"/>
      <c r="AC12" s="1394"/>
      <c r="AD12" s="2113"/>
      <c r="AE12" s="313"/>
      <c r="AF12" s="315"/>
      <c r="AG12" s="417" t="s">
        <v>636</v>
      </c>
      <c r="AH12" s="1394"/>
      <c r="AI12" s="1394"/>
      <c r="AJ12" s="1394"/>
      <c r="AK12" s="1394"/>
      <c r="AL12" s="1394"/>
      <c r="AM12" s="1394"/>
      <c r="AN12" s="1394"/>
      <c r="AO12" s="1394"/>
      <c r="AP12" s="1394"/>
      <c r="AQ12" s="1394"/>
      <c r="AR12" s="1394"/>
      <c r="AS12" s="1394"/>
      <c r="AT12" s="1394"/>
      <c r="AU12" s="1395" t="str">
        <f>AX8&amp;"-"&amp;AZ8</f>
        <v>-</v>
      </c>
      <c r="AV12" s="1394"/>
      <c r="AW12" s="1395" t="str">
        <f>AZ8&amp;"-"&amp;BB8</f>
        <v>-</v>
      </c>
      <c r="AX12" s="1394"/>
      <c r="AY12" s="1394"/>
      <c r="AZ12" s="1394"/>
      <c r="BA12" s="1394"/>
      <c r="BB12" s="1397" t="str">
        <f>BE8&amp;"-"&amp;BG8</f>
        <v>-</v>
      </c>
      <c r="BC12" s="2255"/>
      <c r="BE12" s="501"/>
      <c r="BF12" s="501" t="str">
        <f>IF(T12="","",T12)</f>
        <v/>
      </c>
      <c r="BG12" s="501"/>
      <c r="BH12" s="501"/>
      <c r="BI12" s="1156">
        <v>0</v>
      </c>
    </row>
    <row customHeight="1" ht="11.25" hidden="1">
      <c r="A13" s="1364"/>
      <c r="B13" s="1364"/>
      <c r="C13" s="1364"/>
      <c r="D13" s="1364"/>
      <c r="E13" s="2260"/>
      <c r="F13" s="2260"/>
      <c r="G13" s="2260"/>
      <c r="H13" s="2260"/>
      <c r="I13" s="2287"/>
      <c r="J13" s="2257"/>
      <c r="K13" s="1364"/>
      <c r="L13" s="1365"/>
      <c r="P13" s="2258"/>
      <c r="Q13" s="2258"/>
      <c r="R13" s="357"/>
      <c r="S13" s="1279"/>
      <c r="T13" s="288" t="s">
        <v>599</v>
      </c>
      <c r="U13" s="368"/>
      <c r="V13" s="368"/>
      <c r="W13" s="368"/>
      <c r="X13" s="368"/>
      <c r="Y13" s="368"/>
      <c r="Z13" s="368"/>
      <c r="AA13" s="368"/>
      <c r="AB13" s="368"/>
      <c r="AC13" s="368"/>
      <c r="AD13" s="1506"/>
      <c r="AE13" s="368"/>
      <c r="AF13" s="368"/>
      <c r="AG13" s="368"/>
      <c r="AH13" s="368"/>
      <c r="AI13" s="368"/>
      <c r="AJ13" s="368"/>
      <c r="AK13" s="368"/>
      <c r="AL13" s="368"/>
      <c r="AM13" s="368"/>
      <c r="AN13" s="368"/>
      <c r="AO13" s="368"/>
      <c r="AP13" s="368"/>
      <c r="AQ13" s="368"/>
      <c r="AR13" s="368"/>
      <c r="AS13" s="368"/>
      <c r="AT13" s="368"/>
      <c r="AU13" s="368"/>
      <c r="AV13" s="368"/>
      <c r="AW13" s="368"/>
      <c r="AX13" s="368"/>
      <c r="AY13" s="368"/>
      <c r="AZ13" s="368"/>
      <c r="BA13" s="368"/>
      <c r="BB13" s="325"/>
      <c r="BC13" s="2256"/>
      <c r="BE13" s="501"/>
      <c r="BF13" s="501" t="str">
        <f>IF(T13="","",T13)</f>
        <v>Добавить строку</v>
      </c>
      <c r="BG13" s="501"/>
      <c r="BH13" s="501"/>
      <c r="BI13" s="1156">
        <v>0</v>
      </c>
    </row>
    <row s="1643" customFormat="1" customHeight="1" ht="14.25" hidden="1">
      <c r="A14" s="1344"/>
      <c r="B14" s="1344"/>
      <c r="C14" s="1344"/>
      <c r="D14" s="1344"/>
      <c r="E14" s="2260"/>
      <c r="F14" s="2260"/>
      <c r="G14" s="2260"/>
      <c r="H14" s="2260"/>
      <c r="I14" s="2257"/>
      <c r="J14" s="1344"/>
      <c r="K14" s="1344"/>
      <c r="L14" s="1347"/>
      <c r="M14" s="511"/>
      <c r="N14" s="511"/>
      <c r="O14" s="511"/>
      <c r="P14" s="2258"/>
      <c r="Q14" s="1482"/>
      <c r="R14" s="357"/>
      <c r="S14" s="1387"/>
      <c r="T14" s="1388"/>
      <c r="U14" s="1389"/>
      <c r="V14" s="1389"/>
      <c r="W14" s="1389"/>
      <c r="X14" s="1389"/>
      <c r="Y14" s="1389"/>
      <c r="Z14" s="1389"/>
      <c r="AA14" s="1389"/>
      <c r="AB14" s="1389"/>
      <c r="AC14" s="1389"/>
      <c r="AD14" s="1389"/>
      <c r="AE14" s="1389"/>
      <c r="AF14" s="1389"/>
      <c r="AG14" s="1389"/>
      <c r="AH14" s="1389"/>
      <c r="AI14" s="1389"/>
      <c r="AJ14" s="1389"/>
      <c r="AK14" s="1389"/>
      <c r="AL14" s="1389"/>
      <c r="AM14" s="1389"/>
      <c r="AN14" s="1389"/>
      <c r="AO14" s="1389"/>
      <c r="AP14" s="1389"/>
      <c r="AQ14" s="1389"/>
      <c r="AR14" s="1389"/>
      <c r="AS14" s="1389"/>
      <c r="AT14" s="1389"/>
      <c r="AU14" s="1389"/>
      <c r="AV14" s="1389"/>
      <c r="AW14" s="1389"/>
      <c r="AX14" s="1389"/>
      <c r="AY14" s="1389"/>
      <c r="AZ14" s="1389"/>
      <c r="BA14" s="1389"/>
      <c r="BB14" s="1389"/>
      <c r="BC14" s="1390"/>
      <c r="BE14" s="501"/>
      <c r="BF14" s="501" t="str">
        <f>IF(T14="","",T14)</f>
        <v/>
      </c>
      <c r="BG14" s="501"/>
      <c r="BH14" s="501"/>
      <c r="BI14" s="512">
        <v>0</v>
      </c>
    </row>
    <row s="1643" customFormat="1" customHeight="1" ht="14.25" hidden="1">
      <c r="A15" s="1344"/>
      <c r="B15" s="1344"/>
      <c r="C15" s="1344"/>
      <c r="D15" s="1344"/>
      <c r="E15" s="2260"/>
      <c r="F15" s="2260"/>
      <c r="G15" s="2260"/>
      <c r="H15" s="2259"/>
      <c r="I15" s="1344"/>
      <c r="J15" s="1344"/>
      <c r="K15" s="1344"/>
      <c r="L15" s="1347"/>
      <c r="M15" s="1316"/>
      <c r="N15" s="1316"/>
      <c r="O15" s="519"/>
      <c r="P15" s="381"/>
      <c r="Q15" s="1345"/>
      <c r="R15" s="1402"/>
      <c r="S15" s="1387"/>
      <c r="T15" s="1388"/>
      <c r="U15" s="1389"/>
      <c r="V15" s="1389"/>
      <c r="W15" s="1389"/>
      <c r="X15" s="1389"/>
      <c r="Y15" s="1389"/>
      <c r="Z15" s="1389"/>
      <c r="AA15" s="1389"/>
      <c r="AB15" s="1389"/>
      <c r="AC15" s="1389"/>
      <c r="AD15" s="1389"/>
      <c r="AE15" s="1389"/>
      <c r="AF15" s="1389"/>
      <c r="AG15" s="1389"/>
      <c r="AH15" s="1389"/>
      <c r="AI15" s="1389"/>
      <c r="AJ15" s="1389"/>
      <c r="AK15" s="1389"/>
      <c r="AL15" s="1389"/>
      <c r="AM15" s="1389"/>
      <c r="AN15" s="1389"/>
      <c r="AO15" s="1389"/>
      <c r="AP15" s="1389"/>
      <c r="AQ15" s="1389"/>
      <c r="AR15" s="1389"/>
      <c r="AS15" s="1389"/>
      <c r="AT15" s="1389"/>
      <c r="AU15" s="1389"/>
      <c r="AV15" s="1389"/>
      <c r="AW15" s="1389"/>
      <c r="AX15" s="1389"/>
      <c r="AY15" s="1389"/>
      <c r="AZ15" s="1389"/>
      <c r="BA15" s="1389"/>
      <c r="BB15" s="1389"/>
      <c r="BC15" s="1390"/>
      <c r="BE15" s="501"/>
      <c r="BF15" s="501" t="str">
        <f>IF(T15="","",T15)</f>
        <v/>
      </c>
      <c r="BG15" s="501"/>
      <c r="BH15" s="501"/>
      <c r="BI15" s="512">
        <v>0</v>
      </c>
    </row>
    <row s="1643" customFormat="1" customHeight="1" ht="14.25" hidden="1">
      <c r="A16" s="1344"/>
      <c r="B16" s="1344"/>
      <c r="C16" s="1344"/>
      <c r="D16" s="1315"/>
      <c r="E16" s="2260"/>
      <c r="F16" s="2260"/>
      <c r="G16" s="2259"/>
      <c r="H16" s="1315"/>
      <c r="I16" s="1315"/>
      <c r="J16" s="1315"/>
      <c r="K16" s="1315"/>
      <c r="L16" s="1495"/>
      <c r="M16" s="1316"/>
      <c r="N16" s="1316"/>
      <c r="P16" s="1317"/>
      <c r="Q16" s="1318"/>
      <c r="R16" s="1317"/>
      <c r="S16" s="1323"/>
      <c r="T16" s="1326"/>
      <c r="U16" s="1325"/>
      <c r="V16" s="1325"/>
      <c r="W16" s="1325"/>
      <c r="X16" s="1325"/>
      <c r="Y16" s="1325"/>
      <c r="Z16" s="1325"/>
      <c r="AA16" s="1325"/>
      <c r="AB16" s="1325"/>
      <c r="AC16" s="1325"/>
      <c r="AD16" s="1325"/>
      <c r="AE16" s="1325"/>
      <c r="AF16" s="1325"/>
      <c r="AG16" s="1325"/>
      <c r="AH16" s="1325"/>
      <c r="AI16" s="1325"/>
      <c r="AJ16" s="1325"/>
      <c r="AK16" s="1325"/>
      <c r="AL16" s="1325"/>
      <c r="AM16" s="1325"/>
      <c r="AN16" s="1325"/>
      <c r="AO16" s="1325"/>
      <c r="AP16" s="1325"/>
      <c r="AQ16" s="1325"/>
      <c r="AR16" s="1325"/>
      <c r="AS16" s="1325"/>
      <c r="AT16" s="1325"/>
      <c r="AU16" s="1325"/>
      <c r="AV16" s="1325"/>
      <c r="AW16" s="1325"/>
      <c r="AX16" s="1325"/>
      <c r="AY16" s="1325"/>
      <c r="AZ16" s="1325"/>
      <c r="BA16" s="1325"/>
      <c r="BB16" s="1325"/>
      <c r="BC16" s="1325"/>
      <c r="BE16" s="790"/>
      <c r="BF16" s="790" t="str">
        <f>IF(T16="","",T16)</f>
        <v/>
      </c>
      <c r="BG16" s="790"/>
      <c r="BH16" s="790"/>
      <c r="BI16" s="519">
        <v>0</v>
      </c>
    </row>
    <row s="1643" customFormat="1" customHeight="1" ht="14.25" hidden="1">
      <c r="A17" s="1344"/>
      <c r="B17" s="1344"/>
      <c r="C17" s="1315"/>
      <c r="D17" s="1315"/>
      <c r="E17" s="2260"/>
      <c r="F17" s="2259"/>
      <c r="G17" s="1315"/>
      <c r="H17" s="1315"/>
      <c r="I17" s="1315"/>
      <c r="J17" s="1315"/>
      <c r="K17" s="1315"/>
      <c r="L17" s="1495"/>
      <c r="M17" s="1322"/>
      <c r="N17" s="1322"/>
      <c r="P17" s="1317"/>
      <c r="Q17" s="1318"/>
      <c r="R17" s="1317"/>
      <c r="S17" s="1323"/>
      <c r="T17" s="1326" t="s">
        <v>178</v>
      </c>
      <c r="U17" s="1325"/>
      <c r="V17" s="1325"/>
      <c r="W17" s="1325"/>
      <c r="X17" s="1325"/>
      <c r="Y17" s="1325"/>
      <c r="Z17" s="1325"/>
      <c r="AA17" s="1325"/>
      <c r="AB17" s="1325"/>
      <c r="AC17" s="1325"/>
      <c r="AD17" s="1325"/>
      <c r="AE17" s="1325"/>
      <c r="AF17" s="1325"/>
      <c r="AG17" s="1325"/>
      <c r="AH17" s="1325"/>
      <c r="AI17" s="1325"/>
      <c r="AJ17" s="1325"/>
      <c r="AK17" s="1325"/>
      <c r="AL17" s="1325"/>
      <c r="AM17" s="1325"/>
      <c r="AN17" s="1325"/>
      <c r="AO17" s="1325"/>
      <c r="AP17" s="1325"/>
      <c r="AQ17" s="1325"/>
      <c r="AR17" s="1325"/>
      <c r="AS17" s="1325"/>
      <c r="AT17" s="1325"/>
      <c r="AU17" s="1325"/>
      <c r="AV17" s="1325"/>
      <c r="AW17" s="1325"/>
      <c r="AX17" s="1325"/>
      <c r="AY17" s="1325"/>
      <c r="AZ17" s="1325"/>
      <c r="BA17" s="1325"/>
      <c r="BB17" s="1325"/>
      <c r="BC17" s="1325"/>
      <c r="BE17" s="790"/>
      <c r="BF17" s="790" t="str">
        <f>IF(T17="","",T17)</f>
        <v>Добавить централизованную систему для дифференциации</v>
      </c>
      <c r="BG17" s="790"/>
      <c r="BH17" s="790"/>
      <c r="BI17" s="519">
        <v>0</v>
      </c>
    </row>
    <row s="1643" customFormat="1" customHeight="1" ht="14.25" hidden="1">
      <c r="A18" s="1344"/>
      <c r="B18" s="1344"/>
      <c r="C18" s="1344"/>
      <c r="D18" s="1344"/>
      <c r="E18" s="2259"/>
      <c r="F18" s="1344"/>
      <c r="G18" s="1344"/>
      <c r="H18" s="1344"/>
      <c r="I18" s="1344"/>
      <c r="J18" s="1344"/>
      <c r="K18" s="1344"/>
      <c r="L18" s="1347"/>
      <c r="M18" s="1322"/>
      <c r="N18" s="1322"/>
      <c r="O18" s="519"/>
      <c r="P18" s="381"/>
      <c r="Q18" s="1345"/>
      <c r="R18" s="381"/>
      <c r="S18" s="1323"/>
      <c r="T18" s="1326" t="s">
        <v>183</v>
      </c>
      <c r="U18" s="1325"/>
      <c r="V18" s="1325"/>
      <c r="W18" s="1325"/>
      <c r="X18" s="1325"/>
      <c r="Y18" s="1325"/>
      <c r="Z18" s="1325"/>
      <c r="AA18" s="1325"/>
      <c r="AB18" s="1325"/>
      <c r="AC18" s="1325"/>
      <c r="AD18" s="1325"/>
      <c r="AE18" s="1325"/>
      <c r="AF18" s="1325"/>
      <c r="AG18" s="1325"/>
      <c r="AH18" s="1325"/>
      <c r="AI18" s="1325"/>
      <c r="AJ18" s="1325"/>
      <c r="AK18" s="1325"/>
      <c r="AL18" s="1325"/>
      <c r="AM18" s="1325"/>
      <c r="AN18" s="1325"/>
      <c r="AO18" s="1325"/>
      <c r="AP18" s="1325"/>
      <c r="AQ18" s="1325"/>
      <c r="AR18" s="1325"/>
      <c r="AS18" s="1325"/>
      <c r="AT18" s="1325"/>
      <c r="AU18" s="1325"/>
      <c r="AV18" s="1325"/>
      <c r="AW18" s="1325"/>
      <c r="AX18" s="1325"/>
      <c r="AY18" s="1325"/>
      <c r="AZ18" s="1325"/>
      <c r="BA18" s="1325"/>
      <c r="BB18" s="1325"/>
      <c r="BC18" s="1325"/>
      <c r="BE18" s="501"/>
      <c r="BF18" s="501" t="str">
        <f>IF(T18="","",T18)</f>
        <v>Добавить территорию для дифференциации</v>
      </c>
      <c r="BG18" s="501"/>
      <c r="BH18" s="501"/>
      <c r="BI18" s="512">
        <v>0</v>
      </c>
    </row>
    <row customHeight="1" ht="14.25" hidden="1">
      <c r="AC19" s="328"/>
      <c r="BA19" s="328"/>
      <c r="BI19" s="1156">
        <v>0</v>
      </c>
    </row>
    <row customHeight="1" ht="14.25" hidden="1">
      <c r="AD20" s="1325" t="s">
        <v>19</v>
      </c>
      <c r="AE20" s="1502"/>
      <c r="AF20" s="549">
        <v>1</v>
      </c>
      <c r="AG20" s="1503"/>
      <c r="AH20" s="1325" t="s">
        <v>19</v>
      </c>
      <c r="AI20" s="1502"/>
      <c r="AJ20" s="549">
        <v>1</v>
      </c>
      <c r="AK20" s="1503"/>
      <c r="AL20" s="1325" t="s">
        <v>19</v>
      </c>
      <c r="AM20" s="1504"/>
      <c r="AN20" s="549">
        <v>1</v>
      </c>
      <c r="AO20" s="1505"/>
      <c r="AP20" s="1325" t="s">
        <v>19</v>
      </c>
      <c r="AQ20" s="1504"/>
      <c r="AR20" s="549">
        <v>1</v>
      </c>
      <c r="AS20" s="1505"/>
      <c r="AT20" s="326"/>
      <c r="AU20" s="385"/>
      <c r="AV20" s="326"/>
      <c r="AW20" s="385"/>
      <c r="AX20" s="1737"/>
      <c r="AY20" s="1486" t="s">
        <v>65</v>
      </c>
      <c r="AZ20" s="1737"/>
      <c r="BA20" s="1486" t="s">
        <v>65</v>
      </c>
      <c r="BI20" s="1156">
        <v>0</v>
      </c>
    </row>
    <row customHeight="1" ht="14.25" hidden="1">
      <c r="BD21" s="497"/>
      <c r="BE21" s="497"/>
      <c r="BF21" s="497"/>
      <c r="BG21" s="497"/>
      <c r="BH21" s="497"/>
      <c r="BI21" s="1156">
        <v>0</v>
      </c>
    </row>
    <row customHeight="1" ht="14.25" hidden="1">
      <c r="O22" s="1368" t="s">
        <v>544</v>
      </c>
      <c r="Z22" s="1346"/>
      <c r="AB22" s="1346"/>
      <c r="AC22" s="328"/>
      <c r="AX22" s="1346"/>
      <c r="AZ22" s="1346"/>
      <c r="BA22" s="328"/>
      <c r="BD22" s="497"/>
      <c r="BE22" s="497"/>
      <c r="BF22" s="497"/>
      <c r="BG22" s="497"/>
      <c r="BH22" s="497"/>
      <c r="BI22" s="1156">
        <v>0</v>
      </c>
    </row>
    <row customHeight="1" ht="14.25" hidden="1">
      <c r="AC23" s="328"/>
      <c r="BA23" s="328"/>
      <c r="BD23" s="497"/>
      <c r="BE23" s="497"/>
      <c r="BF23" s="497"/>
      <c r="BG23" s="497"/>
      <c r="BH23" s="497"/>
      <c r="BI23" s="1156">
        <v>0</v>
      </c>
    </row>
    <row s="1510" customFormat="1" customHeight="1" ht="14.25" hidden="1">
      <c r="M24" s="1509"/>
      <c r="N24" s="1509"/>
      <c r="O24" s="1510" t="s">
        <v>545</v>
      </c>
      <c r="P24" s="1509"/>
      <c r="Q24" s="1511"/>
      <c r="R24" s="1511"/>
      <c r="AA24" s="1508" t="s">
        <v>547</v>
      </c>
      <c r="AC24" s="1508" t="s">
        <v>548</v>
      </c>
      <c r="AD24" s="1508" t="s">
        <v>600</v>
      </c>
      <c r="AH24" s="1508" t="s">
        <v>600</v>
      </c>
      <c r="AK24" s="1508" t="s">
        <v>637</v>
      </c>
      <c r="AL24" s="1508" t="s">
        <v>600</v>
      </c>
      <c r="AP24" s="1508" t="s">
        <v>600</v>
      </c>
      <c r="AY24" s="1508" t="s">
        <v>547</v>
      </c>
      <c r="BA24" s="1508" t="s">
        <v>548</v>
      </c>
      <c r="BD24" s="1512"/>
      <c r="BE24" s="1512"/>
      <c r="BF24" s="1512"/>
      <c r="BG24" s="1512"/>
      <c r="BH24" s="1512"/>
      <c r="BI24" s="1508">
        <v>0</v>
      </c>
    </row>
    <row customHeight="1" ht="14.25" hidden="1">
      <c r="O25" s="1365"/>
      <c r="BD25" s="497"/>
      <c r="BE25" s="497"/>
      <c r="BF25" s="497"/>
      <c r="BG25" s="497"/>
      <c r="BH25" s="497"/>
      <c r="BI25" s="1156">
        <v>0</v>
      </c>
    </row>
    <row customHeight="1" ht="14.25" hidden="1">
      <c r="O26" s="1365"/>
      <c r="BD26" s="497"/>
      <c r="BE26" s="497"/>
      <c r="BF26" s="497"/>
      <c r="BG26" s="497"/>
      <c r="BH26" s="497"/>
      <c r="BI26" s="1156">
        <v>0</v>
      </c>
    </row>
    <row customHeight="1" ht="14.699999999999998">
      <c r="Q27" s="292"/>
      <c r="R27" s="377"/>
      <c r="S27" s="1276"/>
      <c r="T27" s="364"/>
      <c r="U27" s="364"/>
      <c r="V27" s="510"/>
      <c r="W27" s="510"/>
      <c r="X27" s="510"/>
      <c r="Y27" s="510"/>
      <c r="Z27" s="510"/>
      <c r="AA27" s="510"/>
      <c r="AB27" s="510"/>
      <c r="AC27" s="510"/>
      <c r="AD27" s="510"/>
      <c r="AE27" s="510"/>
      <c r="AF27" s="510"/>
      <c r="AG27" s="510"/>
      <c r="AH27" s="510"/>
      <c r="AI27" s="510"/>
      <c r="AJ27" s="510"/>
      <c r="AK27" s="510"/>
      <c r="AL27" s="510"/>
      <c r="AM27" s="510"/>
      <c r="AN27" s="510"/>
      <c r="AO27" s="510"/>
      <c r="AP27" s="510"/>
      <c r="AQ27" s="510"/>
      <c r="AR27" s="510"/>
      <c r="AS27" s="510"/>
      <c r="AT27" s="510"/>
      <c r="AU27" s="510"/>
      <c r="AV27" s="510"/>
      <c r="AW27" s="510"/>
      <c r="AX27" s="510"/>
      <c r="AY27" s="510"/>
      <c r="AZ27" s="510"/>
      <c r="BA27" s="510"/>
      <c r="BI27" s="1156">
        <v>14</v>
      </c>
    </row>
    <row customHeight="1" ht="14.699999999999998">
      <c r="Q28" s="292"/>
      <c r="R28" s="377"/>
      <c r="S28" s="2249" t="str">
        <f>IF(TEMPLATE_GROUP="P",PT_P_FORM_VOTV_5_NAME_FORM,PT_R_FORM_VOTV_17_NAME_FORM)</f>
        <v>Форма 3.  Информация об установленных тарифах на подключение (технологическое присоединение) к централизованной системе водоотведения</v>
      </c>
      <c r="T28" s="2249"/>
      <c r="U28" s="2249"/>
      <c r="V28" s="2249"/>
      <c r="W28" s="2249"/>
      <c r="X28" s="2249"/>
      <c r="Y28" s="2249"/>
      <c r="Z28" s="2249"/>
      <c r="AA28" s="2249"/>
      <c r="AB28" s="2249"/>
      <c r="AC28" s="2249"/>
      <c r="AD28" s="2249"/>
      <c r="AE28" s="2249"/>
      <c r="AF28" s="2249"/>
      <c r="AG28" s="2249"/>
      <c r="AH28" s="2249"/>
      <c r="AI28" s="2249"/>
      <c r="AJ28" s="2249"/>
      <c r="AK28" s="2249"/>
      <c r="AL28" s="2249"/>
      <c r="AM28" s="2249"/>
      <c r="AN28" s="2249"/>
      <c r="AO28" s="2249"/>
      <c r="AP28" s="2249"/>
      <c r="AQ28" s="2249"/>
      <c r="AR28" s="2249"/>
      <c r="AS28" s="2249"/>
      <c r="AT28" s="2249"/>
      <c r="AU28" s="2249"/>
      <c r="AV28" s="2249"/>
      <c r="AW28" s="2249"/>
      <c r="AX28" s="2249"/>
      <c r="AY28" s="2249"/>
      <c r="AZ28" s="2249"/>
      <c r="BA28" s="1244"/>
      <c r="BI28" s="1156">
        <v>14</v>
      </c>
    </row>
    <row customHeight="1" ht="14.699999999999998">
      <c r="Q29" s="292"/>
      <c r="R29" s="377"/>
      <c r="S29" s="2250" t="str">
        <f>IF(org=0,"Не определено",org)</f>
        <v>ПАО "ТГК-1" (филиал "Кольский")</v>
      </c>
      <c r="T29" s="2250"/>
      <c r="U29" s="2250"/>
      <c r="V29" s="2250"/>
      <c r="W29" s="2250"/>
      <c r="X29" s="2250"/>
      <c r="Y29" s="2250"/>
      <c r="Z29" s="2250"/>
      <c r="AA29" s="2250"/>
      <c r="AB29" s="2250"/>
      <c r="AC29" s="2250"/>
      <c r="AD29" s="2250"/>
      <c r="AE29" s="2250"/>
      <c r="AF29" s="2250"/>
      <c r="AG29" s="2250"/>
      <c r="AH29" s="2250"/>
      <c r="AI29" s="2250"/>
      <c r="AJ29" s="2250"/>
      <c r="AK29" s="2250"/>
      <c r="AL29" s="2250"/>
      <c r="AM29" s="2250"/>
      <c r="AN29" s="2250"/>
      <c r="AO29" s="2250"/>
      <c r="AP29" s="2250"/>
      <c r="AQ29" s="2250"/>
      <c r="AR29" s="2250"/>
      <c r="AS29" s="2250"/>
      <c r="AT29" s="2250"/>
      <c r="AU29" s="2250"/>
      <c r="AV29" s="2250"/>
      <c r="AW29" s="2250"/>
      <c r="AX29" s="2250"/>
      <c r="AY29" s="2250"/>
      <c r="AZ29" s="2250"/>
      <c r="BA29" s="1244"/>
      <c r="BI29" s="1156">
        <v>14</v>
      </c>
    </row>
    <row customHeight="1" ht="14.25">
      <c r="Q30" s="292"/>
      <c r="R30" s="377"/>
      <c r="S30" s="1276"/>
      <c r="T30" s="364"/>
      <c r="U30" s="364"/>
      <c r="V30" s="323"/>
      <c r="W30" s="323"/>
      <c r="X30" s="323"/>
      <c r="Y30" s="323"/>
      <c r="Z30" s="323"/>
      <c r="AA30" s="323"/>
      <c r="AB30" s="323"/>
      <c r="AC30" s="323"/>
      <c r="AD30" s="323"/>
      <c r="AE30" s="323"/>
      <c r="AF30" s="323"/>
      <c r="AG30" s="323"/>
      <c r="AH30" s="323"/>
      <c r="AI30" s="323"/>
      <c r="AJ30" s="323"/>
      <c r="AK30" s="323"/>
      <c r="AL30" s="323"/>
      <c r="AM30" s="323"/>
      <c r="AN30" s="323"/>
      <c r="AO30" s="323"/>
      <c r="AP30" s="323"/>
      <c r="AQ30" s="323"/>
      <c r="AR30" s="323"/>
      <c r="AS30" s="323"/>
      <c r="AT30" s="323"/>
      <c r="AU30" s="323"/>
      <c r="AV30" s="323"/>
      <c r="AW30" s="323"/>
      <c r="AX30" s="323"/>
      <c r="AY30" s="323"/>
      <c r="AZ30" s="323"/>
      <c r="BA30" s="323"/>
      <c r="BB30" s="510"/>
      <c r="BI30" s="1156">
        <v>0</v>
      </c>
    </row>
    <row s="1854" customFormat="1" customHeight="1" ht="25.5">
      <c r="A31" s="1369"/>
      <c r="B31" s="1369"/>
      <c r="C31" s="1369"/>
      <c r="D31" s="1369"/>
      <c r="E31" s="1369"/>
      <c r="F31" s="1369"/>
      <c r="G31" s="1369"/>
      <c r="H31" s="1369"/>
      <c r="I31" s="1369"/>
      <c r="J31" s="1369"/>
      <c r="K31" s="1369"/>
      <c r="L31" s="1370"/>
      <c r="M31" s="1369"/>
      <c r="N31" s="1369"/>
      <c r="O31" s="1369"/>
      <c r="P31" s="1369"/>
      <c r="Q31" s="1369"/>
      <c r="S31" s="2251" t="s">
        <v>42</v>
      </c>
      <c r="T31" s="2251"/>
      <c r="U31" s="1373"/>
      <c r="V31" s="2252" t="str">
        <f>IF(TITLE_NAME_OR_PR_CHANGE="",IF(TITLE_NAME_OR_PR="","",TITLE_NAME_OR_PR),TITLE_NAME_OR_PR_CHANGE)</f>
        <v>Комитет по тарифному регулированию Мурманской области</v>
      </c>
      <c r="W31" s="2252"/>
      <c r="X31" s="2252"/>
      <c r="Y31" s="2252"/>
      <c r="Z31" s="2252"/>
      <c r="AA31" s="2252"/>
      <c r="AB31" s="2252"/>
      <c r="AC31" s="327"/>
      <c r="AD31" s="2252" t="str">
        <f>IF(TITLE_NAME_OR_PR_CHANGE="",IF(TITLE_NAME_OR_PR="","",TITLE_NAME_OR_PR),TITLE_NAME_OR_PR_CHANGE)</f>
        <v>Комитет по тарифному регулированию Мурманской области</v>
      </c>
      <c r="AE31" s="2252"/>
      <c r="AF31" s="2252"/>
      <c r="AG31" s="2252"/>
      <c r="AH31" s="2252"/>
      <c r="AI31" s="2252"/>
      <c r="AJ31" s="2252"/>
      <c r="AK31" s="2252"/>
      <c r="AL31" s="2252"/>
      <c r="AM31" s="2252"/>
      <c r="AN31" s="2252"/>
      <c r="AO31" s="2252"/>
      <c r="AP31" s="2252"/>
      <c r="AQ31" s="2252"/>
      <c r="AR31" s="2252"/>
      <c r="AS31" s="2252"/>
      <c r="AT31" s="2252"/>
      <c r="AU31" s="2252"/>
      <c r="AV31" s="2252"/>
      <c r="AW31" s="2252"/>
      <c r="AX31" s="2252"/>
      <c r="AY31" s="2252"/>
      <c r="AZ31" s="2252"/>
      <c r="BA31" s="327"/>
      <c r="BB31" s="327"/>
      <c r="BC31" s="281"/>
      <c r="BD31" s="369"/>
      <c r="BE31" s="369"/>
      <c r="BF31" s="369"/>
      <c r="BG31" s="369"/>
      <c r="BH31" s="369"/>
      <c r="BI31" s="419">
        <v>0</v>
      </c>
    </row>
    <row s="1854" customFormat="1" customHeight="1" ht="18.75">
      <c r="A32" s="1369"/>
      <c r="B32" s="1369"/>
      <c r="C32" s="1369"/>
      <c r="D32" s="1369"/>
      <c r="E32" s="1369"/>
      <c r="F32" s="1369"/>
      <c r="G32" s="1369"/>
      <c r="H32" s="1369"/>
      <c r="I32" s="1369"/>
      <c r="J32" s="1369"/>
      <c r="K32" s="1369"/>
      <c r="L32" s="1370"/>
      <c r="M32" s="1369"/>
      <c r="N32" s="1369"/>
      <c r="O32" s="1369"/>
      <c r="P32" s="1369"/>
      <c r="Q32" s="1369"/>
      <c r="S32" s="2251" t="s">
        <v>550</v>
      </c>
      <c r="T32" s="2251"/>
      <c r="U32" s="1373"/>
      <c r="V32" s="2265" t="str">
        <f>IF(TITLE_DATE_PR_CHANGE="",IF(TITLE_DATE_PR="","",TITLE_DATE_PR),TITLE_DATE_PR_CHANGE)</f>
        <v>46010</v>
      </c>
      <c r="W32" s="2265"/>
      <c r="X32" s="2265"/>
      <c r="Y32" s="2265"/>
      <c r="Z32" s="2265"/>
      <c r="AA32" s="2265"/>
      <c r="AB32" s="2265"/>
      <c r="AC32" s="327"/>
      <c r="AD32" s="2265" t="str">
        <f>IF(TITLE_DATE_PR_CHANGE="",IF(TITLE_DATE_PR="","",TITLE_DATE_PR),TITLE_DATE_PR_CHANGE)</f>
        <v>46010</v>
      </c>
      <c r="AE32" s="2265"/>
      <c r="AF32" s="2265"/>
      <c r="AG32" s="2265"/>
      <c r="AH32" s="2265"/>
      <c r="AI32" s="2265"/>
      <c r="AJ32" s="2265"/>
      <c r="AK32" s="2265"/>
      <c r="AL32" s="2265"/>
      <c r="AM32" s="2265"/>
      <c r="AN32" s="2265"/>
      <c r="AO32" s="2265"/>
      <c r="AP32" s="2265"/>
      <c r="AQ32" s="2265"/>
      <c r="AR32" s="2265"/>
      <c r="AS32" s="2265"/>
      <c r="AT32" s="2265"/>
      <c r="AU32" s="2265"/>
      <c r="AV32" s="2265"/>
      <c r="AW32" s="2265"/>
      <c r="AX32" s="2265"/>
      <c r="AY32" s="2265"/>
      <c r="AZ32" s="2265"/>
      <c r="BA32" s="327"/>
      <c r="BB32" s="327"/>
      <c r="BC32" s="281"/>
      <c r="BD32" s="369"/>
      <c r="BE32" s="369"/>
      <c r="BF32" s="369"/>
      <c r="BG32" s="369"/>
      <c r="BH32" s="369"/>
      <c r="BI32" s="419">
        <v>0</v>
      </c>
    </row>
    <row s="1854" customFormat="1" customHeight="1" ht="18.75">
      <c r="A33" s="1369"/>
      <c r="B33" s="1369"/>
      <c r="C33" s="1369"/>
      <c r="D33" s="1369"/>
      <c r="E33" s="1369"/>
      <c r="F33" s="1369"/>
      <c r="G33" s="1369"/>
      <c r="H33" s="1369"/>
      <c r="I33" s="1369"/>
      <c r="J33" s="1369"/>
      <c r="K33" s="1369"/>
      <c r="L33" s="1370"/>
      <c r="M33" s="1369"/>
      <c r="N33" s="1369"/>
      <c r="O33" s="1369"/>
      <c r="P33" s="1369"/>
      <c r="Q33" s="1369"/>
      <c r="S33" s="2251" t="s">
        <v>551</v>
      </c>
      <c r="T33" s="2251"/>
      <c r="U33" s="1373"/>
      <c r="V33" s="2252" t="str">
        <f>IF(TITLE_NUMBER_PR_CHANGE="",IF(TITLE_NUMBER_PR="","",TITLE_NUMBER_PR),TITLE_NUMBER_PR_CHANGE)</f>
        <v>53/77; 53/49</v>
      </c>
      <c r="W33" s="2252"/>
      <c r="X33" s="2252"/>
      <c r="Y33" s="2252"/>
      <c r="Z33" s="2252"/>
      <c r="AA33" s="2252"/>
      <c r="AB33" s="2252"/>
      <c r="AC33" s="327"/>
      <c r="AD33" s="2252" t="str">
        <f>IF(TITLE_NUMBER_PR_CHANGE="",IF(TITLE_NUMBER_PR="","",TITLE_NUMBER_PR),TITLE_NUMBER_PR_CHANGE)</f>
        <v>53/77; 53/49</v>
      </c>
      <c r="AE33" s="2252"/>
      <c r="AF33" s="2252"/>
      <c r="AG33" s="2252"/>
      <c r="AH33" s="2252"/>
      <c r="AI33" s="2252"/>
      <c r="AJ33" s="2252"/>
      <c r="AK33" s="2252"/>
      <c r="AL33" s="2252"/>
      <c r="AM33" s="2252"/>
      <c r="AN33" s="2252"/>
      <c r="AO33" s="2252"/>
      <c r="AP33" s="2252"/>
      <c r="AQ33" s="2252"/>
      <c r="AR33" s="2252"/>
      <c r="AS33" s="2252"/>
      <c r="AT33" s="2252"/>
      <c r="AU33" s="2252"/>
      <c r="AV33" s="2252"/>
      <c r="AW33" s="2252"/>
      <c r="AX33" s="2252"/>
      <c r="AY33" s="2252"/>
      <c r="AZ33" s="2252"/>
      <c r="BA33" s="327"/>
      <c r="BB33" s="327"/>
      <c r="BC33" s="281"/>
      <c r="BD33" s="369"/>
      <c r="BE33" s="369"/>
      <c r="BF33" s="369"/>
      <c r="BG33" s="369"/>
      <c r="BH33" s="369"/>
      <c r="BI33" s="419">
        <v>0</v>
      </c>
    </row>
    <row s="1854" customFormat="1" customHeight="1" ht="18.75">
      <c r="A34" s="1369"/>
      <c r="B34" s="1369"/>
      <c r="C34" s="1369"/>
      <c r="D34" s="1369"/>
      <c r="E34" s="1369"/>
      <c r="F34" s="1369"/>
      <c r="G34" s="1369"/>
      <c r="H34" s="1369"/>
      <c r="I34" s="1369"/>
      <c r="J34" s="1369"/>
      <c r="K34" s="1369"/>
      <c r="L34" s="1370"/>
      <c r="M34" s="1369"/>
      <c r="N34" s="1369"/>
      <c r="O34" s="1369"/>
      <c r="P34" s="1369"/>
      <c r="Q34" s="1369"/>
      <c r="S34" s="2251" t="s">
        <v>44</v>
      </c>
      <c r="T34" s="2251"/>
      <c r="U34" s="1373"/>
      <c r="V34" s="2252" t="str">
        <f>IF(TITLE_IST_PUB_CHANGE="",IF(TITLE_IST_PUB="","",TITLE_IST_PUB),TITLE_IST_PUB_CHANGE)</f>
        <v>Официальный электронный бюллетень Правительства Мурманской области</v>
      </c>
      <c r="W34" s="2252"/>
      <c r="X34" s="2252"/>
      <c r="Y34" s="2252"/>
      <c r="Z34" s="2252"/>
      <c r="AA34" s="2252"/>
      <c r="AB34" s="2252"/>
      <c r="AC34" s="327"/>
      <c r="AD34" s="2252" t="str">
        <f>IF(TITLE_IST_PUB_CHANGE="",IF(TITLE_IST_PUB="","",TITLE_IST_PUB),TITLE_IST_PUB_CHANGE)</f>
        <v>Официальный электронный бюллетень Правительства Мурманской области</v>
      </c>
      <c r="AE34" s="2252"/>
      <c r="AF34" s="2252"/>
      <c r="AG34" s="2252"/>
      <c r="AH34" s="2252"/>
      <c r="AI34" s="2252"/>
      <c r="AJ34" s="2252"/>
      <c r="AK34" s="2252"/>
      <c r="AL34" s="2252"/>
      <c r="AM34" s="2252"/>
      <c r="AN34" s="2252"/>
      <c r="AO34" s="2252"/>
      <c r="AP34" s="2252"/>
      <c r="AQ34" s="2252"/>
      <c r="AR34" s="2252"/>
      <c r="AS34" s="2252"/>
      <c r="AT34" s="2252"/>
      <c r="AU34" s="2252"/>
      <c r="AV34" s="2252"/>
      <c r="AW34" s="2252"/>
      <c r="AX34" s="2252"/>
      <c r="AY34" s="2252"/>
      <c r="AZ34" s="2252"/>
      <c r="BA34" s="327"/>
      <c r="BB34" s="327"/>
      <c r="BC34" s="281"/>
      <c r="BD34" s="369"/>
      <c r="BE34" s="369"/>
      <c r="BF34" s="369"/>
      <c r="BG34" s="369"/>
      <c r="BH34" s="369"/>
      <c r="BI34" s="419">
        <v>0</v>
      </c>
    </row>
    <row customHeight="1" ht="14.25" hidden="1">
      <c r="Q35" s="292"/>
      <c r="R35" s="377"/>
      <c r="S35" s="1276"/>
      <c r="T35" s="364"/>
      <c r="U35" s="364"/>
      <c r="V35" s="323"/>
      <c r="W35" s="323"/>
      <c r="X35" s="323"/>
      <c r="Y35" s="323"/>
      <c r="Z35" s="323"/>
      <c r="AA35" s="323"/>
      <c r="AB35" s="323"/>
      <c r="AC35" s="323"/>
      <c r="AD35" s="323"/>
      <c r="AE35" s="323"/>
      <c r="AF35" s="323"/>
      <c r="AG35" s="323"/>
      <c r="AH35" s="323"/>
      <c r="AI35" s="323"/>
      <c r="AJ35" s="323"/>
      <c r="AK35" s="323"/>
      <c r="AL35" s="323"/>
      <c r="AM35" s="323"/>
      <c r="AN35" s="323"/>
      <c r="AO35" s="323"/>
      <c r="AP35" s="323"/>
      <c r="AQ35" s="323"/>
      <c r="AR35" s="323"/>
      <c r="AS35" s="323"/>
      <c r="AT35" s="323"/>
      <c r="AU35" s="323"/>
      <c r="AV35" s="323"/>
      <c r="AW35" s="323"/>
      <c r="AX35" s="323"/>
      <c r="AY35" s="323"/>
      <c r="AZ35" s="323"/>
      <c r="BA35" s="323"/>
      <c r="BB35" s="510"/>
      <c r="BI35" s="1156">
        <v>0</v>
      </c>
    </row>
    <row s="1854" customFormat="1" customHeight="1" ht="18.75" hidden="1">
      <c r="A36" s="1369"/>
      <c r="B36" s="1369"/>
      <c r="C36" s="1369"/>
      <c r="D36" s="1369"/>
      <c r="E36" s="1369"/>
      <c r="F36" s="1369"/>
      <c r="G36" s="1369"/>
      <c r="H36" s="1369"/>
      <c r="I36" s="1369"/>
      <c r="J36" s="1369"/>
      <c r="K36" s="1369"/>
      <c r="L36" s="1370"/>
      <c r="M36" s="1369"/>
      <c r="N36" s="1369"/>
      <c r="O36" s="1369"/>
      <c r="P36" s="1369"/>
      <c r="Q36" s="1369"/>
      <c r="S36" s="2251" t="s">
        <v>550</v>
      </c>
      <c r="T36" s="2251"/>
      <c r="U36" s="1373"/>
      <c r="V36" s="2265" t="str">
        <f>IF(TITLE_DATE_PR_CHANGE="",IF(TITLE_DATE_PR="","",TITLE_DATE_PR),TITLE_DATE_PR_CHANGE)</f>
        <v>46010</v>
      </c>
      <c r="W36" s="2265"/>
      <c r="X36" s="2265"/>
      <c r="Y36" s="2265"/>
      <c r="Z36" s="2265"/>
      <c r="AA36" s="2265"/>
      <c r="AB36" s="2265"/>
      <c r="AC36" s="327"/>
      <c r="AD36" s="2265" t="str">
        <f>IF(TITLE_DATE_PR_CHANGE="",IF(TITLE_DATE_PR="","",TITLE_DATE_PR),TITLE_DATE_PR_CHANGE)</f>
        <v>46010</v>
      </c>
      <c r="AE36" s="2265"/>
      <c r="AF36" s="2265"/>
      <c r="AG36" s="2265"/>
      <c r="AH36" s="2265"/>
      <c r="AI36" s="2265"/>
      <c r="AJ36" s="2265"/>
      <c r="AK36" s="2265"/>
      <c r="AL36" s="2265"/>
      <c r="AM36" s="2265"/>
      <c r="AN36" s="2265"/>
      <c r="AO36" s="2265"/>
      <c r="AP36" s="2265"/>
      <c r="AQ36" s="2265"/>
      <c r="AR36" s="2265"/>
      <c r="AS36" s="2265"/>
      <c r="AT36" s="2265"/>
      <c r="AU36" s="2265"/>
      <c r="AV36" s="2265"/>
      <c r="AW36" s="2265"/>
      <c r="AX36" s="2265"/>
      <c r="AY36" s="2265"/>
      <c r="AZ36" s="2265"/>
      <c r="BA36" s="327"/>
      <c r="BB36" s="327"/>
      <c r="BC36" s="281"/>
      <c r="BD36" s="369"/>
      <c r="BE36" s="369"/>
      <c r="BF36" s="369"/>
      <c r="BG36" s="369"/>
      <c r="BH36" s="369"/>
      <c r="BI36" s="419">
        <v>0</v>
      </c>
    </row>
    <row s="1854" customFormat="1" customHeight="1" ht="18.75" hidden="1">
      <c r="A37" s="1369"/>
      <c r="B37" s="1369"/>
      <c r="C37" s="1369"/>
      <c r="D37" s="1369"/>
      <c r="E37" s="1369"/>
      <c r="F37" s="1369"/>
      <c r="G37" s="1369"/>
      <c r="H37" s="1369"/>
      <c r="I37" s="1369"/>
      <c r="J37" s="1369"/>
      <c r="K37" s="1369"/>
      <c r="L37" s="1370"/>
      <c r="M37" s="1369"/>
      <c r="N37" s="1369"/>
      <c r="O37" s="1369"/>
      <c r="P37" s="1369"/>
      <c r="Q37" s="1369"/>
      <c r="S37" s="2251" t="s">
        <v>551</v>
      </c>
      <c r="T37" s="2251"/>
      <c r="U37" s="1373"/>
      <c r="V37" s="2252" t="str">
        <f>IF(TITLE_NUMBER_PR_CHANGE="",IF(TITLE_NUMBER_PR="","",TITLE_NUMBER_PR),TITLE_NUMBER_PR_CHANGE)</f>
        <v>53/77; 53/49</v>
      </c>
      <c r="W37" s="2252"/>
      <c r="X37" s="2252"/>
      <c r="Y37" s="2252"/>
      <c r="Z37" s="2252"/>
      <c r="AA37" s="2252"/>
      <c r="AB37" s="2252"/>
      <c r="AC37" s="327"/>
      <c r="AD37" s="2252" t="str">
        <f>IF(TITLE_NUMBER_PR_CHANGE="",IF(TITLE_NUMBER_PR="","",TITLE_NUMBER_PR),TITLE_NUMBER_PR_CHANGE)</f>
        <v>53/77; 53/49</v>
      </c>
      <c r="AE37" s="2252"/>
      <c r="AF37" s="2252"/>
      <c r="AG37" s="2252"/>
      <c r="AH37" s="2252"/>
      <c r="AI37" s="2252"/>
      <c r="AJ37" s="2252"/>
      <c r="AK37" s="2252"/>
      <c r="AL37" s="2252"/>
      <c r="AM37" s="2252"/>
      <c r="AN37" s="2252"/>
      <c r="AO37" s="2252"/>
      <c r="AP37" s="2252"/>
      <c r="AQ37" s="2252"/>
      <c r="AR37" s="2252"/>
      <c r="AS37" s="2252"/>
      <c r="AT37" s="2252"/>
      <c r="AU37" s="2252"/>
      <c r="AV37" s="2252"/>
      <c r="AW37" s="2252"/>
      <c r="AX37" s="2252"/>
      <c r="AY37" s="2252"/>
      <c r="AZ37" s="2252"/>
      <c r="BA37" s="327"/>
      <c r="BB37" s="327"/>
      <c r="BC37" s="281"/>
      <c r="BD37" s="369"/>
      <c r="BE37" s="369"/>
      <c r="BF37" s="369"/>
      <c r="BG37" s="369"/>
      <c r="BH37" s="369"/>
      <c r="BI37" s="419">
        <v>0</v>
      </c>
    </row>
    <row s="1854" customFormat="1" customHeight="1" ht="0">
      <c r="A38" s="1369"/>
      <c r="B38" s="1369"/>
      <c r="C38" s="1369"/>
      <c r="D38" s="1369"/>
      <c r="E38" s="1369"/>
      <c r="F38" s="1369"/>
      <c r="G38" s="1369"/>
      <c r="H38" s="1369"/>
      <c r="I38" s="1369"/>
      <c r="J38" s="1369"/>
      <c r="K38" s="1369"/>
      <c r="L38" s="1370"/>
      <c r="M38" s="1369"/>
      <c r="N38" s="1369"/>
      <c r="O38" s="1369"/>
      <c r="P38" s="1369"/>
      <c r="Q38" s="1369"/>
      <c r="S38" s="324"/>
      <c r="T38" s="324"/>
      <c r="U38" s="1489"/>
      <c r="V38" s="327"/>
      <c r="W38" s="327"/>
      <c r="X38" s="327"/>
      <c r="Y38" s="327"/>
      <c r="Z38" s="327"/>
      <c r="AA38" s="327"/>
      <c r="AB38" s="327"/>
      <c r="AC38" s="279" t="s">
        <v>554</v>
      </c>
      <c r="AD38" s="327"/>
      <c r="AE38" s="327"/>
      <c r="AF38" s="327"/>
      <c r="AG38" s="327"/>
      <c r="AH38" s="327"/>
      <c r="AI38" s="327"/>
      <c r="AJ38" s="327"/>
      <c r="AK38" s="327"/>
      <c r="AL38" s="327"/>
      <c r="AM38" s="327"/>
      <c r="AN38" s="327"/>
      <c r="AO38" s="327"/>
      <c r="AP38" s="327"/>
      <c r="AQ38" s="327"/>
      <c r="AR38" s="327"/>
      <c r="AS38" s="327"/>
      <c r="AT38" s="327"/>
      <c r="AU38" s="327"/>
      <c r="AV38" s="327"/>
      <c r="AW38" s="327"/>
      <c r="AX38" s="327"/>
      <c r="AY38" s="327"/>
      <c r="AZ38" s="327"/>
      <c r="BA38" s="279" t="s">
        <v>554</v>
      </c>
      <c r="BD38" s="369"/>
      <c r="BE38" s="369"/>
      <c r="BF38" s="369"/>
      <c r="BG38" s="369"/>
      <c r="BH38" s="369"/>
      <c r="BI38" s="419">
        <v>0</v>
      </c>
    </row>
    <row customHeight="1" ht="14.699999999999998">
      <c r="Q39" s="292"/>
      <c r="R39" s="377"/>
      <c r="S39" s="1276"/>
      <c r="T39" s="364"/>
      <c r="U39" s="1245"/>
      <c r="V39" s="2253"/>
      <c r="W39" s="2253"/>
      <c r="X39" s="2253"/>
      <c r="Y39" s="2253"/>
      <c r="Z39" s="2253"/>
      <c r="AA39" s="2253"/>
      <c r="AB39" s="2253"/>
      <c r="AC39" s="2253"/>
      <c r="AD39" s="2253"/>
      <c r="AE39" s="2253"/>
      <c r="AF39" s="2253"/>
      <c r="AG39" s="2253"/>
      <c r="AH39" s="2253"/>
      <c r="AI39" s="2253"/>
      <c r="AJ39" s="2253"/>
      <c r="AK39" s="2253"/>
      <c r="AL39" s="2253"/>
      <c r="AM39" s="2253"/>
      <c r="AN39" s="2253"/>
      <c r="AO39" s="2253"/>
      <c r="AP39" s="2253"/>
      <c r="AQ39" s="2253"/>
      <c r="AR39" s="2253"/>
      <c r="AS39" s="2253"/>
      <c r="AT39" s="2253"/>
      <c r="AU39" s="2253"/>
      <c r="AV39" s="2253"/>
      <c r="AW39" s="2253"/>
      <c r="AX39" s="2253"/>
      <c r="AY39" s="2253"/>
      <c r="AZ39" s="2253"/>
      <c r="BA39" s="2253"/>
      <c r="BI39" s="1156">
        <v>14</v>
      </c>
    </row>
    <row customHeight="1" ht="14.699999999999998">
      <c r="Q40" s="292"/>
      <c r="R40" s="377"/>
      <c r="S40" s="2128" t="s">
        <v>430</v>
      </c>
      <c r="T40" s="2128"/>
      <c r="U40" s="2128"/>
      <c r="V40" s="2128"/>
      <c r="W40" s="2128"/>
      <c r="X40" s="2128"/>
      <c r="Y40" s="2128"/>
      <c r="Z40" s="2128"/>
      <c r="AA40" s="2128"/>
      <c r="AB40" s="2128"/>
      <c r="AC40" s="2128"/>
      <c r="AD40" s="2128"/>
      <c r="AE40" s="2128"/>
      <c r="AF40" s="2128"/>
      <c r="AG40" s="2128"/>
      <c r="AH40" s="2128"/>
      <c r="AI40" s="2128"/>
      <c r="AJ40" s="2128"/>
      <c r="AK40" s="2128"/>
      <c r="AL40" s="2128"/>
      <c r="AM40" s="2128"/>
      <c r="AN40" s="2128"/>
      <c r="AO40" s="2128"/>
      <c r="AP40" s="2128"/>
      <c r="AQ40" s="2128"/>
      <c r="AR40" s="2128"/>
      <c r="AS40" s="2128"/>
      <c r="AT40" s="2128"/>
      <c r="AU40" s="2128"/>
      <c r="AV40" s="2128"/>
      <c r="AW40" s="2128"/>
      <c r="AX40" s="2128"/>
      <c r="AY40" s="2128"/>
      <c r="AZ40" s="2128"/>
      <c r="BA40" s="2128"/>
      <c r="BB40" s="2128"/>
      <c r="BC40" s="2128" t="s">
        <v>431</v>
      </c>
      <c r="BI40" s="1156">
        <v>14</v>
      </c>
    </row>
    <row customHeight="1" ht="14.699999999999998">
      <c r="Q41" s="292"/>
      <c r="R41" s="377"/>
      <c r="S41" s="2274" t="s">
        <v>92</v>
      </c>
      <c r="T41" s="2210" t="s">
        <v>638</v>
      </c>
      <c r="U41" s="302"/>
      <c r="V41" s="2275" t="s">
        <v>556</v>
      </c>
      <c r="W41" s="2276"/>
      <c r="X41" s="2276"/>
      <c r="Y41" s="2276"/>
      <c r="Z41" s="2276"/>
      <c r="AA41" s="2276"/>
      <c r="AB41" s="2277"/>
      <c r="AC41" s="2278" t="s">
        <v>557</v>
      </c>
      <c r="AD41" s="2329" t="s">
        <v>655</v>
      </c>
      <c r="AE41" s="2292"/>
      <c r="AF41" s="2292"/>
      <c r="AG41" s="2330"/>
      <c r="AH41" s="2329" t="s">
        <v>656</v>
      </c>
      <c r="AI41" s="2292"/>
      <c r="AJ41" s="2292"/>
      <c r="AK41" s="2330"/>
      <c r="AL41" s="2329" t="s">
        <v>657</v>
      </c>
      <c r="AM41" s="2292"/>
      <c r="AN41" s="2292"/>
      <c r="AO41" s="2330"/>
      <c r="AP41" s="2329" t="s">
        <v>642</v>
      </c>
      <c r="AQ41" s="2292"/>
      <c r="AR41" s="2292"/>
      <c r="AS41" s="2330"/>
      <c r="AT41" s="2275" t="s">
        <v>556</v>
      </c>
      <c r="AU41" s="2276"/>
      <c r="AV41" s="2276"/>
      <c r="AW41" s="2276"/>
      <c r="AX41" s="2276"/>
      <c r="AY41" s="2276"/>
      <c r="AZ41" s="2277"/>
      <c r="BA41" s="2278" t="s">
        <v>557</v>
      </c>
      <c r="BB41" s="2281" t="s">
        <v>559</v>
      </c>
      <c r="BC41" s="2128"/>
      <c r="BI41" s="1156">
        <v>14</v>
      </c>
    </row>
    <row customHeight="1" ht="35.699999999999996">
      <c r="Q42" s="292"/>
      <c r="R42" s="377"/>
      <c r="S42" s="2274"/>
      <c r="T42" s="2210"/>
      <c r="U42" s="1032"/>
      <c r="V42" s="2193" t="s">
        <v>643</v>
      </c>
      <c r="W42" s="2194"/>
      <c r="X42" s="2193" t="s">
        <v>644</v>
      </c>
      <c r="Y42" s="2194"/>
      <c r="Z42" s="2295" t="s">
        <v>645</v>
      </c>
      <c r="AA42" s="2314"/>
      <c r="AB42" s="2315"/>
      <c r="AC42" s="2279"/>
      <c r="AD42" s="2331"/>
      <c r="AE42" s="2332"/>
      <c r="AF42" s="2332"/>
      <c r="AG42" s="2333"/>
      <c r="AH42" s="2331"/>
      <c r="AI42" s="2332"/>
      <c r="AJ42" s="2332"/>
      <c r="AK42" s="2333"/>
      <c r="AL42" s="2331"/>
      <c r="AM42" s="2332"/>
      <c r="AN42" s="2332"/>
      <c r="AO42" s="2333"/>
      <c r="AP42" s="2331"/>
      <c r="AQ42" s="2332"/>
      <c r="AR42" s="2332"/>
      <c r="AS42" s="2333"/>
      <c r="AT42" s="2193" t="s">
        <v>658</v>
      </c>
      <c r="AU42" s="2194"/>
      <c r="AV42" s="2193" t="s">
        <v>659</v>
      </c>
      <c r="AW42" s="2194"/>
      <c r="AX42" s="2295" t="s">
        <v>645</v>
      </c>
      <c r="AY42" s="2314"/>
      <c r="AZ42" s="2315"/>
      <c r="BA42" s="2279"/>
      <c r="BB42" s="2282"/>
      <c r="BC42" s="2128"/>
      <c r="BI42" s="1156">
        <v>34</v>
      </c>
    </row>
    <row customHeight="1" ht="14.699999999999998">
      <c r="Q43" s="292"/>
      <c r="R43" s="377"/>
      <c r="S43" s="2274"/>
      <c r="T43" s="2210"/>
      <c r="U43" s="1032"/>
      <c r="V43" s="2201"/>
      <c r="W43" s="2202"/>
      <c r="X43" s="2201"/>
      <c r="Y43" s="2202"/>
      <c r="Z43" s="2296"/>
      <c r="AA43" s="2316"/>
      <c r="AB43" s="2317"/>
      <c r="AC43" s="2279"/>
      <c r="AD43" s="2331"/>
      <c r="AE43" s="2332"/>
      <c r="AF43" s="2332"/>
      <c r="AG43" s="2333"/>
      <c r="AH43" s="2331"/>
      <c r="AI43" s="2332"/>
      <c r="AJ43" s="2332"/>
      <c r="AK43" s="2333"/>
      <c r="AL43" s="2331"/>
      <c r="AM43" s="2332"/>
      <c r="AN43" s="2332"/>
      <c r="AO43" s="2333"/>
      <c r="AP43" s="2331"/>
      <c r="AQ43" s="2332"/>
      <c r="AR43" s="2332"/>
      <c r="AS43" s="2333"/>
      <c r="AT43" s="2201"/>
      <c r="AU43" s="2202"/>
      <c r="AV43" s="2201"/>
      <c r="AW43" s="2202"/>
      <c r="AX43" s="2296"/>
      <c r="AY43" s="2316"/>
      <c r="AZ43" s="2317"/>
      <c r="BA43" s="2279"/>
      <c r="BB43" s="2282"/>
      <c r="BC43" s="2128"/>
      <c r="BI43" s="1156">
        <v>14</v>
      </c>
    </row>
    <row customHeight="1" ht="14.699999999999998">
      <c r="A44" s="1371"/>
      <c r="B44" s="1371" t="s">
        <v>148</v>
      </c>
      <c r="C44" s="1371" t="s">
        <v>149</v>
      </c>
      <c r="D44" s="1371" t="s">
        <v>150</v>
      </c>
      <c r="E44" s="1365" t="s">
        <v>564</v>
      </c>
      <c r="F44" s="1365" t="s">
        <v>565</v>
      </c>
      <c r="G44" s="1365" t="s">
        <v>566</v>
      </c>
      <c r="H44" s="1365" t="s">
        <v>567</v>
      </c>
      <c r="I44" s="1365" t="s">
        <v>568</v>
      </c>
      <c r="J44" s="1365" t="s">
        <v>569</v>
      </c>
      <c r="K44" s="1365" t="s">
        <v>570</v>
      </c>
      <c r="L44" s="1365" t="s">
        <v>545</v>
      </c>
      <c r="Q44" s="292"/>
      <c r="R44" s="377"/>
      <c r="S44" s="2274"/>
      <c r="T44" s="2210"/>
      <c r="U44" s="303"/>
      <c r="V44" s="1480" t="s">
        <v>609</v>
      </c>
      <c r="W44" s="1480" t="s">
        <v>610</v>
      </c>
      <c r="X44" s="1480" t="s">
        <v>609</v>
      </c>
      <c r="Y44" s="1480" t="s">
        <v>610</v>
      </c>
      <c r="Z44" s="1490" t="s">
        <v>573</v>
      </c>
      <c r="AA44" s="2271" t="s">
        <v>574</v>
      </c>
      <c r="AB44" s="2272"/>
      <c r="AC44" s="2280"/>
      <c r="AD44" s="2334"/>
      <c r="AE44" s="2335"/>
      <c r="AF44" s="2335"/>
      <c r="AG44" s="2336"/>
      <c r="AH44" s="2334"/>
      <c r="AI44" s="2335"/>
      <c r="AJ44" s="2335"/>
      <c r="AK44" s="2336"/>
      <c r="AL44" s="2334"/>
      <c r="AM44" s="2335"/>
      <c r="AN44" s="2335"/>
      <c r="AO44" s="2336"/>
      <c r="AP44" s="2334"/>
      <c r="AQ44" s="2335"/>
      <c r="AR44" s="2335"/>
      <c r="AS44" s="2336"/>
      <c r="AT44" s="1480" t="s">
        <v>609</v>
      </c>
      <c r="AU44" s="1480" t="s">
        <v>610</v>
      </c>
      <c r="AV44" s="1480" t="s">
        <v>609</v>
      </c>
      <c r="AW44" s="1480" t="s">
        <v>610</v>
      </c>
      <c r="AX44" s="1490" t="s">
        <v>573</v>
      </c>
      <c r="AY44" s="2271" t="s">
        <v>574</v>
      </c>
      <c r="AZ44" s="2272"/>
      <c r="BA44" s="2280"/>
      <c r="BB44" s="2283"/>
      <c r="BC44" s="2128"/>
      <c r="BI44" s="1156">
        <v>14</v>
      </c>
    </row>
    <row s="1642" customFormat="1" customHeight="1" ht="11.25" hidden="1">
      <c r="A45" s="1371"/>
      <c r="B45" s="1371"/>
      <c r="C45" s="1371"/>
      <c r="D45" s="1371"/>
      <c r="E45" s="1371"/>
      <c r="F45" s="1371"/>
      <c r="G45" s="1371"/>
      <c r="H45" s="1371"/>
      <c r="I45" s="1371"/>
      <c r="J45" s="1371"/>
      <c r="K45" s="1371"/>
      <c r="L45" s="1365"/>
      <c r="M45" s="1363"/>
      <c r="N45" s="1363"/>
      <c r="O45" s="1363"/>
      <c r="P45" s="511"/>
      <c r="Q45" s="1255"/>
      <c r="R45" s="1255">
        <v>1</v>
      </c>
      <c r="S45" s="1278" t="s">
        <v>123</v>
      </c>
      <c r="T45" s="1256" t="s">
        <v>107</v>
      </c>
      <c r="U45" s="1246" t="str">
        <f>OFFSET(U45,0,-1)</f>
        <v>2</v>
      </c>
      <c r="V45" s="1483">
        <f>OFFSET(V45,0,-1)+1</f>
        <v>3</v>
      </c>
      <c r="W45" s="1483">
        <f>OFFSET(W45,0,-1)+1</f>
        <v>4</v>
      </c>
      <c r="X45" s="1483">
        <f>OFFSET(X45,0,-1)+1</f>
        <v>5</v>
      </c>
      <c r="Y45" s="1483">
        <f>OFFSET(Y45,0,-1)+1</f>
        <v>6</v>
      </c>
      <c r="Z45" s="1483">
        <f>OFFSET(Z45,0,-1)+1</f>
        <v>7</v>
      </c>
      <c r="AA45" s="2273">
        <f>OFFSET(AA45,0,-1)+1</f>
        <v>8</v>
      </c>
      <c r="AB45" s="2273"/>
      <c r="AC45" s="1483">
        <f>OFFSET(AC45,0,-2)+1</f>
        <v>9</v>
      </c>
      <c r="AD45" s="1483">
        <f>OFFSET(AD45,0,-1)+1</f>
        <v>10</v>
      </c>
      <c r="AE45" s="1483"/>
      <c r="AF45" s="1483"/>
      <c r="AG45" s="1483"/>
      <c r="AH45" s="1483"/>
      <c r="AI45" s="1483"/>
      <c r="AJ45" s="1483"/>
      <c r="AK45" s="1483"/>
      <c r="AL45" s="1483"/>
      <c r="AM45" s="1483"/>
      <c r="AN45" s="1483"/>
      <c r="AO45" s="1483"/>
      <c r="AP45" s="1483"/>
      <c r="AQ45" s="1483"/>
      <c r="AR45" s="1483"/>
      <c r="AS45" s="1483"/>
      <c r="AT45" s="1483"/>
      <c r="AU45" s="1483"/>
      <c r="AV45" s="1483"/>
      <c r="AW45" s="1483">
        <f>OFFSET(AW45,0,-1)+1</f>
        <v>1</v>
      </c>
      <c r="AX45" s="1483">
        <f>OFFSET(AX45,0,-1)+1</f>
        <v>2</v>
      </c>
      <c r="AY45" s="2273">
        <f>OFFSET(AY45,0,-1)+1</f>
        <v>3</v>
      </c>
      <c r="AZ45" s="2273"/>
      <c r="BA45" s="1483">
        <f>OFFSET(BA45,0,-2)+1</f>
        <v>4</v>
      </c>
      <c r="BB45" s="1246">
        <f>OFFSET(BB45,0,-1)</f>
        <v>4</v>
      </c>
      <c r="BC45" s="1483">
        <f>OFFSET(BC45,0,-1)+1</f>
        <v>5</v>
      </c>
      <c r="BD45" s="512"/>
      <c r="BE45" s="512"/>
      <c r="BF45" s="512"/>
      <c r="BG45" s="512"/>
      <c r="BH45" s="512"/>
      <c r="BI45" s="497">
        <v>0</v>
      </c>
    </row>
    <row customHeight="1" ht="22.049999999999997">
      <c r="A46" s="1364" t="s">
        <v>406</v>
      </c>
      <c r="B46" s="1364"/>
      <c r="C46" s="1364"/>
      <c r="D46" s="1364"/>
      <c r="E46" s="2259">
        <v>1</v>
      </c>
      <c r="F46" s="1364"/>
      <c r="G46" s="1364"/>
      <c r="H46" s="1364"/>
      <c r="I46" s="1364"/>
      <c r="J46" s="1364"/>
      <c r="K46" s="1364"/>
      <c r="L46" s="1365"/>
      <c r="M46" s="1366"/>
      <c r="N46" s="1366"/>
      <c r="O46" s="1366"/>
      <c r="P46" s="1410"/>
      <c r="Q46" s="874"/>
      <c r="R46" s="356"/>
      <c r="S46" s="1494">
        <f>INDEX(PT_DIFFERENTIATION_NUM_NTAR,MATCH(A46,PT_DIFFERENTIATION_NTAR_ID,0))</f>
        <v>0</v>
      </c>
      <c r="T46" s="299" t="s">
        <v>136</v>
      </c>
      <c r="U46" s="301"/>
      <c r="V46" s="2244"/>
      <c r="W46" s="2244"/>
      <c r="X46" s="2244"/>
      <c r="Y46" s="2244"/>
      <c r="Z46" s="2244"/>
      <c r="AA46" s="2244"/>
      <c r="AB46" s="2244"/>
      <c r="AC46" s="2245"/>
      <c r="AD46" s="2243" t="str">
        <f>INDEX(PT_DIFFERENTIATION_NTAR,MATCH(A46,PT_DIFFERENTIATION_NTAR_ID,0))</f>
        <v/>
      </c>
      <c r="AE46" s="2244"/>
      <c r="AF46" s="2244"/>
      <c r="AG46" s="2244"/>
      <c r="AH46" s="2244"/>
      <c r="AI46" s="2244"/>
      <c r="AJ46" s="2244"/>
      <c r="AK46" s="2244"/>
      <c r="AL46" s="2244"/>
      <c r="AM46" s="2244"/>
      <c r="AN46" s="2244"/>
      <c r="AO46" s="2244"/>
      <c r="AP46" s="2244"/>
      <c r="AQ46" s="2244"/>
      <c r="AR46" s="2244"/>
      <c r="AS46" s="2244"/>
      <c r="AT46" s="2244"/>
      <c r="AU46" s="2244"/>
      <c r="AV46" s="2244"/>
      <c r="AW46" s="2244"/>
      <c r="AX46" s="2244"/>
      <c r="AY46" s="2244"/>
      <c r="AZ46" s="2244"/>
      <c r="BA46" s="2244"/>
      <c r="BB46" s="2245"/>
      <c r="BC46" s="125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BE46" s="501"/>
      <c r="BF46" s="501" t="str">
        <f>IF(T46="","",T46)</f>
        <v>Наименование тарифа</v>
      </c>
      <c r="BG46" s="501"/>
      <c r="BH46" s="501"/>
      <c r="BI46" s="1156">
        <v>21</v>
      </c>
    </row>
    <row customHeight="1" ht="22.049999999999997">
      <c r="A47" s="1364" t="s">
        <v>406</v>
      </c>
      <c r="B47" s="1364" t="s">
        <v>407</v>
      </c>
      <c r="C47" s="1364"/>
      <c r="D47" s="1364"/>
      <c r="E47" s="2260"/>
      <c r="F47" s="2259">
        <v>1</v>
      </c>
      <c r="G47" s="1364"/>
      <c r="H47" s="1364"/>
      <c r="I47" s="1364"/>
      <c r="J47" s="1364"/>
      <c r="K47" s="1364"/>
      <c r="L47" s="1365"/>
      <c r="M47" s="1366"/>
      <c r="N47" s="1366"/>
      <c r="O47" s="1366"/>
      <c r="P47" s="1411"/>
      <c r="Q47" s="1412"/>
      <c r="R47" s="354"/>
      <c r="S47" s="1494" t="str">
        <f>INDEX(PT_DIFFERENTIATION_NUM_TER,MATCH(B47,PT_DIFFERENTIATION_TER_ID,0))</f>
        <v>.</v>
      </c>
      <c r="T47" s="309" t="s">
        <v>527</v>
      </c>
      <c r="U47" s="301"/>
      <c r="V47" s="2244"/>
      <c r="W47" s="2244"/>
      <c r="X47" s="2244"/>
      <c r="Y47" s="2244"/>
      <c r="Z47" s="2244"/>
      <c r="AA47" s="2244"/>
      <c r="AB47" s="2244"/>
      <c r="AC47" s="2245"/>
      <c r="AD47" s="2243" t="str">
        <f>INDEX(PT_DIFFERENTIATION_TER,MATCH(B47,PT_DIFFERENTIATION_TER_ID,0))</f>
        <v/>
      </c>
      <c r="AE47" s="2244"/>
      <c r="AF47" s="2244"/>
      <c r="AG47" s="2244"/>
      <c r="AH47" s="2244"/>
      <c r="AI47" s="2244"/>
      <c r="AJ47" s="2244"/>
      <c r="AK47" s="2244"/>
      <c r="AL47" s="2244"/>
      <c r="AM47" s="2244"/>
      <c r="AN47" s="2244"/>
      <c r="AO47" s="2244"/>
      <c r="AP47" s="2244"/>
      <c r="AQ47" s="2244"/>
      <c r="AR47" s="2244"/>
      <c r="AS47" s="2244"/>
      <c r="AT47" s="2244"/>
      <c r="AU47" s="2244"/>
      <c r="AV47" s="2244"/>
      <c r="AW47" s="2244"/>
      <c r="AX47" s="2244"/>
      <c r="AY47" s="2244"/>
      <c r="AZ47" s="2244"/>
      <c r="BA47" s="2244"/>
      <c r="BB47" s="2245"/>
      <c r="BC47" s="1259" t="s">
        <v>528</v>
      </c>
      <c r="BE47" s="501"/>
      <c r="BF47" s="501" t="str">
        <f>IF(T47="","",T47)</f>
        <v>Территория действия тарифа</v>
      </c>
      <c r="BG47" s="501"/>
      <c r="BH47" s="501"/>
      <c r="BI47" s="1156">
        <v>21</v>
      </c>
    </row>
    <row customHeight="1" ht="35.699999999999996">
      <c r="A48" s="1364" t="s">
        <v>406</v>
      </c>
      <c r="B48" s="1364" t="s">
        <v>407</v>
      </c>
      <c r="C48" s="1364" t="s">
        <v>408</v>
      </c>
      <c r="D48" s="1364"/>
      <c r="E48" s="2260"/>
      <c r="F48" s="2260"/>
      <c r="G48" s="2259">
        <v>1</v>
      </c>
      <c r="H48" s="1364"/>
      <c r="I48" s="1364"/>
      <c r="J48" s="1364"/>
      <c r="K48" s="1364"/>
      <c r="L48" s="1365"/>
      <c r="M48" s="1366"/>
      <c r="N48" s="1366"/>
      <c r="O48" s="1366"/>
      <c r="P48" s="1413"/>
      <c r="Q48" s="1412"/>
      <c r="R48" s="354"/>
      <c r="S48" s="1494" t="str">
        <f>INDEX(PT_DIFFERENTIATION_NUM_CS,MATCH(C48,PT_DIFFERENTIATION_CS_ID,0))</f>
        <v>..</v>
      </c>
      <c r="T48" s="310" t="s">
        <v>647</v>
      </c>
      <c r="U48" s="301"/>
      <c r="V48" s="2244"/>
      <c r="W48" s="2244"/>
      <c r="X48" s="2244"/>
      <c r="Y48" s="2244"/>
      <c r="Z48" s="2244"/>
      <c r="AA48" s="2244"/>
      <c r="AB48" s="2244"/>
      <c r="AC48" s="2245"/>
      <c r="AD48" s="2243" t="str">
        <f>INDEX(PT_DIFFERENTIATION_CS,MATCH(C48,PT_DIFFERENTIATION_CS_ID,0))</f>
        <v/>
      </c>
      <c r="AE48" s="2244"/>
      <c r="AF48" s="2244"/>
      <c r="AG48" s="2244"/>
      <c r="AH48" s="2244"/>
      <c r="AI48" s="2244"/>
      <c r="AJ48" s="2244"/>
      <c r="AK48" s="2244"/>
      <c r="AL48" s="2244"/>
      <c r="AM48" s="2244"/>
      <c r="AN48" s="2244"/>
      <c r="AO48" s="2244"/>
      <c r="AP48" s="2244"/>
      <c r="AQ48" s="2244"/>
      <c r="AR48" s="2244"/>
      <c r="AS48" s="2244"/>
      <c r="AT48" s="2244"/>
      <c r="AU48" s="2244"/>
      <c r="AV48" s="2244"/>
      <c r="AW48" s="2244"/>
      <c r="AX48" s="2244"/>
      <c r="AY48" s="2244"/>
      <c r="AZ48" s="2244"/>
      <c r="BA48" s="2244"/>
      <c r="BB48" s="2245"/>
      <c r="BC48" s="1259" t="s">
        <v>648</v>
      </c>
      <c r="BE48" s="501"/>
      <c r="BF48" s="501" t="str">
        <f>IF(T48="","",T48)</f>
        <v>Наименование централизованной системы водоотведения</v>
      </c>
      <c r="BG48" s="501"/>
      <c r="BH48" s="501"/>
      <c r="BI48" s="1156">
        <v>34</v>
      </c>
    </row>
    <row s="1643" customFormat="1" customHeight="1" ht="0">
      <c r="A49" s="1344" t="s">
        <v>406</v>
      </c>
      <c r="B49" s="1344" t="s">
        <v>407</v>
      </c>
      <c r="C49" s="1344" t="s">
        <v>408</v>
      </c>
      <c r="D49" s="1344" t="s">
        <v>660</v>
      </c>
      <c r="E49" s="2260"/>
      <c r="F49" s="2260"/>
      <c r="G49" s="2260"/>
      <c r="H49" s="2259">
        <v>1</v>
      </c>
      <c r="I49" s="1344"/>
      <c r="J49" s="1344"/>
      <c r="K49" s="1344"/>
      <c r="L49" s="1347"/>
      <c r="M49" s="1316"/>
      <c r="N49" s="1316"/>
      <c r="O49" s="1316"/>
      <c r="P49" s="1498"/>
      <c r="Q49" s="1499"/>
      <c r="R49" s="358"/>
      <c r="S49" s="1043"/>
      <c r="T49" s="1500"/>
      <c r="U49" s="1385"/>
      <c r="V49" s="2298"/>
      <c r="W49" s="2298"/>
      <c r="X49" s="2298"/>
      <c r="Y49" s="2298"/>
      <c r="Z49" s="2298"/>
      <c r="AA49" s="2298"/>
      <c r="AB49" s="2298"/>
      <c r="AC49" s="2299"/>
      <c r="AD49" s="2297"/>
      <c r="AE49" s="2298"/>
      <c r="AF49" s="2298"/>
      <c r="AG49" s="2298"/>
      <c r="AH49" s="2298"/>
      <c r="AI49" s="2298"/>
      <c r="AJ49" s="2298"/>
      <c r="AK49" s="2298"/>
      <c r="AL49" s="2298"/>
      <c r="AM49" s="2298"/>
      <c r="AN49" s="2298"/>
      <c r="AO49" s="2298"/>
      <c r="AP49" s="2298"/>
      <c r="AQ49" s="2298"/>
      <c r="AR49" s="2298"/>
      <c r="AS49" s="2298"/>
      <c r="AT49" s="2298"/>
      <c r="AU49" s="2298"/>
      <c r="AV49" s="2298"/>
      <c r="AW49" s="2298"/>
      <c r="AX49" s="2298"/>
      <c r="AY49" s="2298"/>
      <c r="AZ49" s="2298"/>
      <c r="BA49" s="2298"/>
      <c r="BB49" s="2299"/>
      <c r="BC49" s="1386" t="s">
        <v>532</v>
      </c>
      <c r="BE49" s="501"/>
      <c r="BF49" s="501" t="str">
        <f>IF(T49="","",T49)</f>
        <v/>
      </c>
      <c r="BG49" s="501"/>
      <c r="BH49" s="501"/>
      <c r="BI49" s="512">
        <v>0</v>
      </c>
    </row>
    <row s="1643" customFormat="1" customHeight="1" ht="0">
      <c r="A50" s="1344" t="s">
        <v>406</v>
      </c>
      <c r="B50" s="1344" t="s">
        <v>407</v>
      </c>
      <c r="C50" s="1344" t="s">
        <v>408</v>
      </c>
      <c r="D50" s="1344" t="s">
        <v>660</v>
      </c>
      <c r="E50" s="2260"/>
      <c r="F50" s="2260"/>
      <c r="G50" s="2260"/>
      <c r="H50" s="2260"/>
      <c r="I50" s="2257" t="str">
        <f>S49&amp;".1"</f>
        <v>.1</v>
      </c>
      <c r="J50" s="1344"/>
      <c r="K50" s="1344"/>
      <c r="L50" s="1347" t="s">
        <v>533</v>
      </c>
      <c r="M50" s="511"/>
      <c r="N50" s="511"/>
      <c r="O50" s="511"/>
      <c r="P50" s="2258">
        <v>1</v>
      </c>
      <c r="Q50" s="1482"/>
      <c r="R50" s="357"/>
      <c r="S50" s="1043"/>
      <c r="T50" s="1384"/>
      <c r="U50" s="1385"/>
      <c r="V50" s="2298"/>
      <c r="W50" s="2298"/>
      <c r="X50" s="2298"/>
      <c r="Y50" s="2298"/>
      <c r="Z50" s="2298"/>
      <c r="AA50" s="2298"/>
      <c r="AB50" s="2298"/>
      <c r="AC50" s="2299"/>
      <c r="AD50" s="2297"/>
      <c r="AE50" s="2298"/>
      <c r="AF50" s="2298"/>
      <c r="AG50" s="2298"/>
      <c r="AH50" s="2298"/>
      <c r="AI50" s="2298"/>
      <c r="AJ50" s="2298"/>
      <c r="AK50" s="2298"/>
      <c r="AL50" s="2298"/>
      <c r="AM50" s="2298"/>
      <c r="AN50" s="2298"/>
      <c r="AO50" s="2298"/>
      <c r="AP50" s="2298"/>
      <c r="AQ50" s="2298"/>
      <c r="AR50" s="2298"/>
      <c r="AS50" s="2298"/>
      <c r="AT50" s="2298"/>
      <c r="AU50" s="2298"/>
      <c r="AV50" s="2298"/>
      <c r="AW50" s="2298"/>
      <c r="AX50" s="2298"/>
      <c r="AY50" s="2298"/>
      <c r="AZ50" s="2298"/>
      <c r="BA50" s="2298"/>
      <c r="BB50" s="2299"/>
      <c r="BC50" s="1386"/>
      <c r="BE50" s="501"/>
      <c r="BF50" s="501" t="str">
        <f>IF(T50="","",T50)</f>
        <v/>
      </c>
      <c r="BG50" s="501"/>
      <c r="BH50" s="501"/>
      <c r="BI50" s="512">
        <v>0</v>
      </c>
    </row>
    <row s="1643" customFormat="1" customHeight="1" ht="0">
      <c r="A51" s="1344" t="s">
        <v>406</v>
      </c>
      <c r="B51" s="1344" t="s">
        <v>407</v>
      </c>
      <c r="C51" s="1344" t="s">
        <v>408</v>
      </c>
      <c r="D51" s="1344" t="s">
        <v>660</v>
      </c>
      <c r="E51" s="2260"/>
      <c r="F51" s="2260"/>
      <c r="G51" s="2260"/>
      <c r="H51" s="2260"/>
      <c r="I51" s="2287"/>
      <c r="J51" s="2257" t="str">
        <f>S49&amp;".1"</f>
        <v>.1</v>
      </c>
      <c r="K51" s="1344"/>
      <c r="L51" s="1347"/>
      <c r="M51" s="511"/>
      <c r="N51" s="511"/>
      <c r="O51" s="511"/>
      <c r="P51" s="2258"/>
      <c r="Q51" s="2258">
        <v>1</v>
      </c>
      <c r="R51" s="358"/>
      <c r="S51" s="1043"/>
      <c r="T51" s="1400"/>
      <c r="U51" s="1385"/>
      <c r="V51" s="2298"/>
      <c r="W51" s="2298"/>
      <c r="X51" s="2298"/>
      <c r="Y51" s="2298"/>
      <c r="Z51" s="2298"/>
      <c r="AA51" s="2298"/>
      <c r="AB51" s="2298"/>
      <c r="AC51" s="2299"/>
      <c r="AD51" s="2297"/>
      <c r="AE51" s="2298"/>
      <c r="AF51" s="2298"/>
      <c r="AG51" s="2298"/>
      <c r="AH51" s="2298"/>
      <c r="AI51" s="2298"/>
      <c r="AJ51" s="2298"/>
      <c r="AK51" s="2298"/>
      <c r="AL51" s="2298"/>
      <c r="AM51" s="2298"/>
      <c r="AN51" s="2365"/>
      <c r="AO51" s="2365"/>
      <c r="AP51" s="2298"/>
      <c r="AQ51" s="2298"/>
      <c r="AR51" s="2298"/>
      <c r="AS51" s="2298"/>
      <c r="AT51" s="2298"/>
      <c r="AU51" s="2298"/>
      <c r="AV51" s="2298"/>
      <c r="AW51" s="2298"/>
      <c r="AX51" s="2298"/>
      <c r="AY51" s="2298"/>
      <c r="AZ51" s="2298"/>
      <c r="BA51" s="2298"/>
      <c r="BB51" s="2299"/>
      <c r="BC51" s="1386"/>
      <c r="BE51" s="501"/>
      <c r="BF51" s="501" t="str">
        <f>IF(T51="","",T51)</f>
        <v/>
      </c>
      <c r="BG51" s="501"/>
      <c r="BH51" s="501"/>
      <c r="BI51" s="512">
        <v>0</v>
      </c>
    </row>
    <row customHeight="1" ht="11.549999999999999">
      <c r="A52" s="1364" t="s">
        <v>406</v>
      </c>
      <c r="B52" s="1364" t="s">
        <v>407</v>
      </c>
      <c r="C52" s="1364" t="s">
        <v>408</v>
      </c>
      <c r="D52" s="1364" t="s">
        <v>660</v>
      </c>
      <c r="E52" s="2260"/>
      <c r="F52" s="2260"/>
      <c r="G52" s="2260"/>
      <c r="H52" s="2260"/>
      <c r="I52" s="2287"/>
      <c r="J52" s="2287"/>
      <c r="K52" s="2257" t="str">
        <f>S48&amp;".1"</f>
        <v>...1</v>
      </c>
      <c r="L52" s="1365"/>
      <c r="P52" s="2258"/>
      <c r="Q52" s="2258"/>
      <c r="R52" s="358">
        <v>1</v>
      </c>
      <c r="S52" s="2342" t="str">
        <f>$K52</f>
        <v>...1</v>
      </c>
      <c r="T52" s="2361"/>
      <c r="U52" s="301"/>
      <c r="V52" s="752"/>
      <c r="W52" s="1258"/>
      <c r="X52" s="752"/>
      <c r="Y52" s="1258"/>
      <c r="Z52" s="1735"/>
      <c r="AA52" s="1470" t="s">
        <v>65</v>
      </c>
      <c r="AB52" s="1735"/>
      <c r="AC52" s="1470" t="s">
        <v>65</v>
      </c>
      <c r="AD52" s="2186" t="s">
        <v>65</v>
      </c>
      <c r="AE52" s="2327"/>
      <c r="AF52" s="2206">
        <v>1</v>
      </c>
      <c r="AG52" s="2364"/>
      <c r="AH52" s="2108" t="s">
        <v>65</v>
      </c>
      <c r="AI52" s="2327"/>
      <c r="AJ52" s="2206">
        <v>1</v>
      </c>
      <c r="AK52" s="2328" t="s">
        <v>28</v>
      </c>
      <c r="AL52" s="2108" t="s">
        <v>65</v>
      </c>
      <c r="AM52" s="2193"/>
      <c r="AN52" s="2206">
        <v>1</v>
      </c>
      <c r="AO52" s="2358"/>
      <c r="AP52" s="2359" t="s">
        <v>65</v>
      </c>
      <c r="AQ52" s="312"/>
      <c r="AR52" s="1487">
        <v>1</v>
      </c>
      <c r="AS52" s="1493" t="s">
        <v>28</v>
      </c>
      <c r="AT52" s="752"/>
      <c r="AU52" s="1258"/>
      <c r="AV52" s="752"/>
      <c r="AW52" s="1258"/>
      <c r="AX52" s="1735"/>
      <c r="AY52" s="1470" t="s">
        <v>65</v>
      </c>
      <c r="AZ52" s="1735"/>
      <c r="BA52" s="1470" t="s">
        <v>65</v>
      </c>
      <c r="BB52" s="1349"/>
      <c r="BC52" s="2254" t="s">
        <v>632</v>
      </c>
      <c r="BE52" s="501"/>
      <c r="BF52" s="501" t="str">
        <f>IF(T52="","",T52)</f>
        <v/>
      </c>
      <c r="BG52" s="501"/>
      <c r="BH52" s="501"/>
      <c r="BI52" s="1156">
        <v>11</v>
      </c>
    </row>
    <row customHeight="1" ht="11.549999999999999">
      <c r="A53" s="1364"/>
      <c r="B53" s="1364"/>
      <c r="C53" s="1364"/>
      <c r="D53" s="1364"/>
      <c r="E53" s="2260"/>
      <c r="F53" s="2260"/>
      <c r="G53" s="2260"/>
      <c r="H53" s="2260"/>
      <c r="I53" s="2287"/>
      <c r="J53" s="2287"/>
      <c r="K53" s="2257"/>
      <c r="L53" s="1365"/>
      <c r="P53" s="2258"/>
      <c r="Q53" s="2258"/>
      <c r="R53" s="358"/>
      <c r="S53" s="2343"/>
      <c r="T53" s="2362"/>
      <c r="U53" s="301"/>
      <c r="V53" s="1394"/>
      <c r="W53" s="1497"/>
      <c r="X53" s="1394"/>
      <c r="Y53" s="1497"/>
      <c r="Z53" s="1394"/>
      <c r="AA53" s="1394"/>
      <c r="AB53" s="1394"/>
      <c r="AC53" s="1394"/>
      <c r="AD53" s="2187"/>
      <c r="AE53" s="2327"/>
      <c r="AF53" s="2206"/>
      <c r="AG53" s="2364"/>
      <c r="AH53" s="2108"/>
      <c r="AI53" s="2327"/>
      <c r="AJ53" s="2206"/>
      <c r="AK53" s="2328"/>
      <c r="AL53" s="2108"/>
      <c r="AM53" s="2201"/>
      <c r="AN53" s="2206"/>
      <c r="AO53" s="2358"/>
      <c r="AP53" s="2360"/>
      <c r="AQ53" s="317"/>
      <c r="AR53" s="417"/>
      <c r="AS53" s="417" t="s">
        <v>633</v>
      </c>
      <c r="AT53" s="1394"/>
      <c r="AU53" s="1497"/>
      <c r="AV53" s="1394"/>
      <c r="AW53" s="1497"/>
      <c r="AX53" s="1394"/>
      <c r="AY53" s="1394"/>
      <c r="AZ53" s="1394"/>
      <c r="BA53" s="1394"/>
      <c r="BB53" s="1398"/>
      <c r="BC53" s="2255"/>
      <c r="BE53" s="501"/>
      <c r="BF53" s="501"/>
      <c r="BG53" s="501"/>
      <c r="BH53" s="501"/>
      <c r="BI53" s="1156">
        <v>11</v>
      </c>
    </row>
    <row customHeight="1" ht="11.549999999999999">
      <c r="A54" s="1364" t="s">
        <v>406</v>
      </c>
      <c r="B54" s="1364"/>
      <c r="C54" s="1364"/>
      <c r="D54" s="1364"/>
      <c r="E54" s="2260"/>
      <c r="F54" s="2260"/>
      <c r="G54" s="2260"/>
      <c r="H54" s="2260"/>
      <c r="I54" s="2287"/>
      <c r="J54" s="2287"/>
      <c r="K54" s="2257"/>
      <c r="L54" s="1365"/>
      <c r="P54" s="2258"/>
      <c r="Q54" s="2258"/>
      <c r="R54" s="358"/>
      <c r="S54" s="2343"/>
      <c r="T54" s="2362"/>
      <c r="U54" s="301"/>
      <c r="V54" s="1394"/>
      <c r="W54" s="1497"/>
      <c r="X54" s="1394"/>
      <c r="Y54" s="1497"/>
      <c r="Z54" s="1394"/>
      <c r="AA54" s="1394"/>
      <c r="AB54" s="1394"/>
      <c r="AC54" s="1394"/>
      <c r="AD54" s="2187"/>
      <c r="AE54" s="2327"/>
      <c r="AF54" s="2206"/>
      <c r="AG54" s="2364"/>
      <c r="AH54" s="2108"/>
      <c r="AI54" s="2327"/>
      <c r="AJ54" s="2206"/>
      <c r="AK54" s="2328"/>
      <c r="AL54" s="2108"/>
      <c r="AM54" s="317"/>
      <c r="AN54" s="1501"/>
      <c r="AO54" s="1501" t="s">
        <v>653</v>
      </c>
      <c r="AP54" s="417"/>
      <c r="AQ54" s="417"/>
      <c r="AR54" s="417"/>
      <c r="AS54" s="1394"/>
      <c r="AT54" s="1394"/>
      <c r="AU54" s="1497"/>
      <c r="AV54" s="1394"/>
      <c r="AW54" s="1497"/>
      <c r="AX54" s="1394"/>
      <c r="AY54" s="1394"/>
      <c r="AZ54" s="1394"/>
      <c r="BA54" s="1394"/>
      <c r="BB54" s="1398"/>
      <c r="BC54" s="2255"/>
      <c r="BE54" s="501"/>
      <c r="BF54" s="501"/>
      <c r="BG54" s="501"/>
      <c r="BH54" s="501"/>
      <c r="BI54" s="1156">
        <v>11</v>
      </c>
    </row>
    <row customHeight="1" ht="11.549999999999999">
      <c r="A55" s="1364" t="s">
        <v>406</v>
      </c>
      <c r="B55" s="1364"/>
      <c r="C55" s="1364"/>
      <c r="D55" s="1364"/>
      <c r="E55" s="2260"/>
      <c r="F55" s="2260"/>
      <c r="G55" s="2260"/>
      <c r="H55" s="2260"/>
      <c r="I55" s="2287"/>
      <c r="J55" s="2287"/>
      <c r="K55" s="2257"/>
      <c r="L55" s="1365"/>
      <c r="P55" s="2258"/>
      <c r="Q55" s="2258"/>
      <c r="R55" s="358"/>
      <c r="S55" s="2343"/>
      <c r="T55" s="2362"/>
      <c r="U55" s="301"/>
      <c r="V55" s="1394"/>
      <c r="W55" s="1497"/>
      <c r="X55" s="1394"/>
      <c r="Y55" s="1497"/>
      <c r="Z55" s="1394"/>
      <c r="AA55" s="1394"/>
      <c r="AB55" s="1394"/>
      <c r="AC55" s="1394"/>
      <c r="AD55" s="2187"/>
      <c r="AE55" s="2327"/>
      <c r="AF55" s="2206"/>
      <c r="AG55" s="2364"/>
      <c r="AH55" s="2108"/>
      <c r="AI55" s="295"/>
      <c r="AJ55" s="416"/>
      <c r="AK55" s="314" t="s">
        <v>654</v>
      </c>
      <c r="AL55" s="1394"/>
      <c r="AM55" s="1394"/>
      <c r="AN55" s="1394"/>
      <c r="AO55" s="1394"/>
      <c r="AP55" s="1394"/>
      <c r="AQ55" s="1394"/>
      <c r="AR55" s="1394"/>
      <c r="AS55" s="1394"/>
      <c r="AT55" s="1394"/>
      <c r="AU55" s="1497"/>
      <c r="AV55" s="1394"/>
      <c r="AW55" s="1497"/>
      <c r="AX55" s="1394"/>
      <c r="AY55" s="1394"/>
      <c r="AZ55" s="1394"/>
      <c r="BA55" s="1394"/>
      <c r="BB55" s="1398"/>
      <c r="BC55" s="2255"/>
      <c r="BE55" s="501"/>
      <c r="BF55" s="501"/>
      <c r="BG55" s="501"/>
      <c r="BH55" s="501"/>
      <c r="BI55" s="1156">
        <v>11</v>
      </c>
    </row>
    <row customHeight="1" ht="11.549999999999999">
      <c r="A56" s="1364" t="s">
        <v>406</v>
      </c>
      <c r="B56" s="1364" t="s">
        <v>407</v>
      </c>
      <c r="C56" s="1364" t="s">
        <v>408</v>
      </c>
      <c r="D56" s="1364" t="s">
        <v>660</v>
      </c>
      <c r="E56" s="2260"/>
      <c r="F56" s="2260"/>
      <c r="G56" s="2260"/>
      <c r="H56" s="2260"/>
      <c r="I56" s="2287"/>
      <c r="J56" s="2287"/>
      <c r="K56" s="2257"/>
      <c r="L56" s="1365"/>
      <c r="P56" s="2258"/>
      <c r="Q56" s="2258"/>
      <c r="R56" s="358"/>
      <c r="S56" s="2344"/>
      <c r="T56" s="2363"/>
      <c r="U56" s="301"/>
      <c r="V56" s="1394"/>
      <c r="W56" s="1395" t="str">
        <f>Z52&amp;"-"&amp;AB52</f>
        <v>-</v>
      </c>
      <c r="X56" s="1394"/>
      <c r="Y56" s="1395" t="str">
        <f>AB52&amp;"-"&amp;AD52</f>
        <v>-да</v>
      </c>
      <c r="Z56" s="1394"/>
      <c r="AA56" s="1394"/>
      <c r="AB56" s="1394"/>
      <c r="AC56" s="1394"/>
      <c r="AD56" s="2113"/>
      <c r="AE56" s="313"/>
      <c r="AF56" s="315"/>
      <c r="AG56" s="417" t="s">
        <v>636</v>
      </c>
      <c r="AH56" s="1394"/>
      <c r="AI56" s="1394"/>
      <c r="AJ56" s="1394"/>
      <c r="AK56" s="1394"/>
      <c r="AL56" s="1394"/>
      <c r="AM56" s="1394"/>
      <c r="AN56" s="1394"/>
      <c r="AO56" s="1394"/>
      <c r="AP56" s="1394"/>
      <c r="AQ56" s="1394"/>
      <c r="AR56" s="1394"/>
      <c r="AS56" s="1394"/>
      <c r="AT56" s="1394"/>
      <c r="AU56" s="1395" t="str">
        <f>AX52&amp;"-"&amp;AZ52</f>
        <v>-</v>
      </c>
      <c r="AV56" s="1394"/>
      <c r="AW56" s="1395" t="str">
        <f>AZ52&amp;"-"&amp;BB52</f>
        <v>-</v>
      </c>
      <c r="AX56" s="1394"/>
      <c r="AY56" s="1394"/>
      <c r="AZ56" s="1394"/>
      <c r="BA56" s="1394"/>
      <c r="BB56" s="1397" t="str">
        <f>BE52&amp;"-"&amp;BG52</f>
        <v>-</v>
      </c>
      <c r="BC56" s="2255"/>
      <c r="BE56" s="501"/>
      <c r="BF56" s="501" t="str">
        <f>IF(T56="","",T56)</f>
        <v/>
      </c>
      <c r="BG56" s="501"/>
      <c r="BH56" s="501"/>
      <c r="BI56" s="1156">
        <v>11</v>
      </c>
    </row>
    <row customHeight="1" ht="11.549999999999999">
      <c r="A57" s="1364" t="s">
        <v>406</v>
      </c>
      <c r="B57" s="1364" t="s">
        <v>407</v>
      </c>
      <c r="C57" s="1364" t="s">
        <v>408</v>
      </c>
      <c r="D57" s="1364" t="s">
        <v>660</v>
      </c>
      <c r="E57" s="2260"/>
      <c r="F57" s="2260"/>
      <c r="G57" s="2260"/>
      <c r="H57" s="2260"/>
      <c r="I57" s="2287"/>
      <c r="J57" s="2257"/>
      <c r="K57" s="1364"/>
      <c r="L57" s="1365"/>
      <c r="P57" s="2258"/>
      <c r="Q57" s="2258"/>
      <c r="R57" s="357"/>
      <c r="S57" s="1279"/>
      <c r="T57" s="288" t="s">
        <v>599</v>
      </c>
      <c r="U57" s="368"/>
      <c r="V57" s="368"/>
      <c r="W57" s="368"/>
      <c r="X57" s="368"/>
      <c r="Y57" s="368"/>
      <c r="Z57" s="368"/>
      <c r="AA57" s="368"/>
      <c r="AB57" s="368"/>
      <c r="AC57" s="325"/>
      <c r="AD57" s="1506"/>
      <c r="AE57" s="368"/>
      <c r="AF57" s="368"/>
      <c r="AG57" s="368"/>
      <c r="AH57" s="368"/>
      <c r="AI57" s="368"/>
      <c r="AJ57" s="368"/>
      <c r="AK57" s="368"/>
      <c r="AL57" s="368"/>
      <c r="AM57" s="368"/>
      <c r="AN57" s="368"/>
      <c r="AO57" s="368"/>
      <c r="AP57" s="368"/>
      <c r="AQ57" s="368"/>
      <c r="AR57" s="368"/>
      <c r="AS57" s="368"/>
      <c r="AT57" s="368"/>
      <c r="AU57" s="368"/>
      <c r="AV57" s="368"/>
      <c r="AW57" s="368"/>
      <c r="AX57" s="368"/>
      <c r="AY57" s="368"/>
      <c r="AZ57" s="368"/>
      <c r="BA57" s="368"/>
      <c r="BB57" s="325"/>
      <c r="BC57" s="2256"/>
      <c r="BE57" s="501"/>
      <c r="BF57" s="501" t="str">
        <f>IF(T57="","",T57)</f>
        <v>Добавить строку</v>
      </c>
      <c r="BG57" s="501"/>
      <c r="BH57" s="501"/>
      <c r="BI57" s="1156">
        <v>11</v>
      </c>
    </row>
    <row s="1643" customFormat="1" customHeight="1" ht="0">
      <c r="A58" s="1344" t="s">
        <v>406</v>
      </c>
      <c r="B58" s="1344" t="s">
        <v>407</v>
      </c>
      <c r="C58" s="1344" t="s">
        <v>408</v>
      </c>
      <c r="D58" s="1344" t="s">
        <v>660</v>
      </c>
      <c r="E58" s="2260"/>
      <c r="F58" s="2260"/>
      <c r="G58" s="2260"/>
      <c r="H58" s="2260"/>
      <c r="I58" s="2257"/>
      <c r="J58" s="1344"/>
      <c r="K58" s="1344"/>
      <c r="L58" s="1347"/>
      <c r="M58" s="511"/>
      <c r="N58" s="511"/>
      <c r="O58" s="511"/>
      <c r="P58" s="2258"/>
      <c r="Q58" s="1482"/>
      <c r="R58" s="357"/>
      <c r="S58" s="1387"/>
      <c r="T58" s="1388"/>
      <c r="U58" s="1389"/>
      <c r="V58" s="1389"/>
      <c r="W58" s="1389"/>
      <c r="X58" s="1389"/>
      <c r="Y58" s="1389"/>
      <c r="Z58" s="1389"/>
      <c r="AA58" s="1389"/>
      <c r="AB58" s="1389"/>
      <c r="AC58" s="1389"/>
      <c r="AD58" s="1389"/>
      <c r="AE58" s="1389"/>
      <c r="AF58" s="1389"/>
      <c r="AG58" s="1389"/>
      <c r="AH58" s="1389"/>
      <c r="AI58" s="1389"/>
      <c r="AJ58" s="1389"/>
      <c r="AK58" s="1389"/>
      <c r="AL58" s="1389"/>
      <c r="AM58" s="1389"/>
      <c r="AN58" s="1389"/>
      <c r="AO58" s="1389"/>
      <c r="AP58" s="1389"/>
      <c r="AQ58" s="1389"/>
      <c r="AR58" s="1389"/>
      <c r="AS58" s="1389"/>
      <c r="AT58" s="1389"/>
      <c r="AU58" s="1389"/>
      <c r="AV58" s="1389"/>
      <c r="AW58" s="1389"/>
      <c r="AX58" s="1389"/>
      <c r="AY58" s="1389"/>
      <c r="AZ58" s="1389"/>
      <c r="BA58" s="1389"/>
      <c r="BB58" s="1389"/>
      <c r="BC58" s="1390"/>
      <c r="BE58" s="501"/>
      <c r="BF58" s="501" t="str">
        <f>IF(T58="","",T58)</f>
        <v/>
      </c>
      <c r="BG58" s="501"/>
      <c r="BH58" s="501"/>
      <c r="BI58" s="512">
        <v>0</v>
      </c>
    </row>
    <row s="1643" customFormat="1" customHeight="1" ht="0">
      <c r="A59" s="1344" t="s">
        <v>406</v>
      </c>
      <c r="B59" s="1344" t="s">
        <v>407</v>
      </c>
      <c r="C59" s="1344" t="s">
        <v>408</v>
      </c>
      <c r="D59" s="1344" t="s">
        <v>660</v>
      </c>
      <c r="E59" s="2260"/>
      <c r="F59" s="2260"/>
      <c r="G59" s="2260"/>
      <c r="H59" s="2259"/>
      <c r="I59" s="1344"/>
      <c r="J59" s="1344"/>
      <c r="K59" s="1344"/>
      <c r="L59" s="1347"/>
      <c r="M59" s="1316"/>
      <c r="N59" s="1316"/>
      <c r="O59" s="519"/>
      <c r="P59" s="381"/>
      <c r="Q59" s="1345"/>
      <c r="R59" s="1402"/>
      <c r="S59" s="1387"/>
      <c r="T59" s="1388"/>
      <c r="U59" s="1389"/>
      <c r="V59" s="1389"/>
      <c r="W59" s="1389"/>
      <c r="X59" s="1389"/>
      <c r="Y59" s="1389"/>
      <c r="Z59" s="1389"/>
      <c r="AA59" s="1389"/>
      <c r="AB59" s="1389"/>
      <c r="AC59" s="1389"/>
      <c r="AD59" s="1389"/>
      <c r="AE59" s="1389"/>
      <c r="AF59" s="1389"/>
      <c r="AG59" s="1389"/>
      <c r="AH59" s="1389"/>
      <c r="AI59" s="1389"/>
      <c r="AJ59" s="1389"/>
      <c r="AK59" s="1389"/>
      <c r="AL59" s="1389"/>
      <c r="AM59" s="1389"/>
      <c r="AN59" s="1389"/>
      <c r="AO59" s="1389"/>
      <c r="AP59" s="1389"/>
      <c r="AQ59" s="1389"/>
      <c r="AR59" s="1389"/>
      <c r="AS59" s="1389"/>
      <c r="AT59" s="1389"/>
      <c r="AU59" s="1389"/>
      <c r="AV59" s="1389"/>
      <c r="AW59" s="1389"/>
      <c r="AX59" s="1389"/>
      <c r="AY59" s="1389"/>
      <c r="AZ59" s="1389"/>
      <c r="BA59" s="1389"/>
      <c r="BB59" s="1389"/>
      <c r="BC59" s="1390"/>
      <c r="BE59" s="501"/>
      <c r="BF59" s="501" t="str">
        <f>IF(T59="","",T59)</f>
        <v/>
      </c>
      <c r="BG59" s="501"/>
      <c r="BH59" s="501"/>
      <c r="BI59" s="512">
        <v>0</v>
      </c>
    </row>
    <row s="1643" customFormat="1" customHeight="1" ht="0">
      <c r="A60" s="1344" t="s">
        <v>406</v>
      </c>
      <c r="B60" s="1344" t="s">
        <v>407</v>
      </c>
      <c r="C60" s="1344" t="s">
        <v>408</v>
      </c>
      <c r="D60" s="1315"/>
      <c r="E60" s="2260"/>
      <c r="F60" s="2260"/>
      <c r="G60" s="2259"/>
      <c r="H60" s="1315"/>
      <c r="I60" s="1315"/>
      <c r="J60" s="1315"/>
      <c r="K60" s="1315"/>
      <c r="L60" s="1495"/>
      <c r="M60" s="1316"/>
      <c r="N60" s="1316"/>
      <c r="P60" s="1317"/>
      <c r="Q60" s="1318"/>
      <c r="R60" s="1317"/>
      <c r="S60" s="1323"/>
      <c r="T60" s="1326"/>
      <c r="U60" s="1325"/>
      <c r="V60" s="1325"/>
      <c r="W60" s="1325"/>
      <c r="X60" s="1325"/>
      <c r="Y60" s="1325"/>
      <c r="Z60" s="1325"/>
      <c r="AA60" s="1325"/>
      <c r="AB60" s="1325"/>
      <c r="AC60" s="1325"/>
      <c r="AD60" s="1325"/>
      <c r="AE60" s="1325"/>
      <c r="AF60" s="1325"/>
      <c r="AG60" s="1325"/>
      <c r="AH60" s="1325"/>
      <c r="AI60" s="1325"/>
      <c r="AJ60" s="1325"/>
      <c r="AK60" s="1325"/>
      <c r="AL60" s="1325"/>
      <c r="AM60" s="1325"/>
      <c r="AN60" s="1325"/>
      <c r="AO60" s="1325"/>
      <c r="AP60" s="1325"/>
      <c r="AQ60" s="1325"/>
      <c r="AR60" s="1325"/>
      <c r="AS60" s="1325"/>
      <c r="AT60" s="1325"/>
      <c r="AU60" s="1325"/>
      <c r="AV60" s="1325"/>
      <c r="AW60" s="1325"/>
      <c r="AX60" s="1325"/>
      <c r="AY60" s="1325"/>
      <c r="AZ60" s="1325"/>
      <c r="BA60" s="1325"/>
      <c r="BB60" s="1325"/>
      <c r="BC60" s="1325"/>
      <c r="BE60" s="790"/>
      <c r="BF60" s="790" t="str">
        <f>IF(T60="","",T60)</f>
        <v/>
      </c>
      <c r="BG60" s="790"/>
      <c r="BH60" s="790"/>
      <c r="BI60" s="519">
        <v>0</v>
      </c>
    </row>
    <row s="1643" customFormat="1" customHeight="1" ht="0">
      <c r="A61" s="1344" t="s">
        <v>406</v>
      </c>
      <c r="B61" s="1344" t="s">
        <v>407</v>
      </c>
      <c r="C61" s="1315"/>
      <c r="D61" s="1315"/>
      <c r="E61" s="2260"/>
      <c r="F61" s="2259"/>
      <c r="G61" s="1315"/>
      <c r="H61" s="1315"/>
      <c r="I61" s="1315"/>
      <c r="J61" s="1315"/>
      <c r="K61" s="1315"/>
      <c r="L61" s="1495"/>
      <c r="M61" s="1322"/>
      <c r="N61" s="1322"/>
      <c r="P61" s="1317"/>
      <c r="Q61" s="1318"/>
      <c r="R61" s="1317"/>
      <c r="S61" s="1323"/>
      <c r="T61" s="1326" t="s">
        <v>178</v>
      </c>
      <c r="U61" s="1325"/>
      <c r="V61" s="1325"/>
      <c r="W61" s="1325"/>
      <c r="X61" s="1325"/>
      <c r="Y61" s="1325"/>
      <c r="Z61" s="1325"/>
      <c r="AA61" s="1325"/>
      <c r="AB61" s="1325"/>
      <c r="AC61" s="1325"/>
      <c r="AD61" s="1325"/>
      <c r="AE61" s="1325"/>
      <c r="AF61" s="1325"/>
      <c r="AG61" s="1325"/>
      <c r="AH61" s="1325"/>
      <c r="AI61" s="1325"/>
      <c r="AJ61" s="1325"/>
      <c r="AK61" s="1325"/>
      <c r="AL61" s="1325"/>
      <c r="AM61" s="1325"/>
      <c r="AN61" s="1325"/>
      <c r="AO61" s="1325"/>
      <c r="AP61" s="1325"/>
      <c r="AQ61" s="1325"/>
      <c r="AR61" s="1325"/>
      <c r="AS61" s="1325"/>
      <c r="AT61" s="1325"/>
      <c r="AU61" s="1325"/>
      <c r="AV61" s="1325"/>
      <c r="AW61" s="1325"/>
      <c r="AX61" s="1325"/>
      <c r="AY61" s="1325"/>
      <c r="AZ61" s="1325"/>
      <c r="BA61" s="1325"/>
      <c r="BB61" s="1325"/>
      <c r="BC61" s="1325"/>
      <c r="BE61" s="790"/>
      <c r="BF61" s="790" t="str">
        <f>IF(T61="","",T61)</f>
        <v>Добавить централизованную систему для дифференциации</v>
      </c>
      <c r="BG61" s="790"/>
      <c r="BH61" s="790"/>
      <c r="BI61" s="519">
        <v>0</v>
      </c>
    </row>
    <row s="1643" customFormat="1" customHeight="1" ht="0">
      <c r="A62" s="1344" t="s">
        <v>406</v>
      </c>
      <c r="B62" s="1344"/>
      <c r="C62" s="1344"/>
      <c r="D62" s="1344"/>
      <c r="E62" s="2259"/>
      <c r="F62" s="1344"/>
      <c r="G62" s="1344"/>
      <c r="H62" s="1344"/>
      <c r="I62" s="1344"/>
      <c r="J62" s="1344"/>
      <c r="K62" s="1344"/>
      <c r="L62" s="1347"/>
      <c r="M62" s="1322"/>
      <c r="N62" s="1322"/>
      <c r="O62" s="519"/>
      <c r="P62" s="381"/>
      <c r="Q62" s="1345"/>
      <c r="R62" s="381"/>
      <c r="S62" s="1323"/>
      <c r="T62" s="1326" t="s">
        <v>183</v>
      </c>
      <c r="U62" s="1325"/>
      <c r="V62" s="1325"/>
      <c r="W62" s="1325"/>
      <c r="X62" s="1325"/>
      <c r="Y62" s="1325"/>
      <c r="Z62" s="1325"/>
      <c r="AA62" s="1325"/>
      <c r="AB62" s="1325"/>
      <c r="AC62" s="1325"/>
      <c r="AD62" s="1325"/>
      <c r="AE62" s="1325"/>
      <c r="AF62" s="1325"/>
      <c r="AG62" s="1325"/>
      <c r="AH62" s="1325"/>
      <c r="AI62" s="1325"/>
      <c r="AJ62" s="1325"/>
      <c r="AK62" s="1325"/>
      <c r="AL62" s="1325"/>
      <c r="AM62" s="1325"/>
      <c r="AN62" s="1325"/>
      <c r="AO62" s="1325"/>
      <c r="AP62" s="1325"/>
      <c r="AQ62" s="1325"/>
      <c r="AR62" s="1325"/>
      <c r="AS62" s="1325"/>
      <c r="AT62" s="1325"/>
      <c r="AU62" s="1325"/>
      <c r="AV62" s="1325"/>
      <c r="AW62" s="1325"/>
      <c r="AX62" s="1325"/>
      <c r="AY62" s="1325"/>
      <c r="AZ62" s="1325"/>
      <c r="BA62" s="1325"/>
      <c r="BB62" s="1325"/>
      <c r="BC62" s="1325"/>
      <c r="BE62" s="501"/>
      <c r="BF62" s="501" t="str">
        <f>IF(T62="","",T62)</f>
        <v>Добавить территорию для дифференциации</v>
      </c>
      <c r="BG62" s="501"/>
      <c r="BH62" s="501"/>
      <c r="BI62" s="512">
        <v>0</v>
      </c>
    </row>
    <row s="1643" customFormat="1" customHeight="1" ht="0">
      <c r="A63" s="1315"/>
      <c r="B63" s="1315"/>
      <c r="C63" s="1315"/>
      <c r="D63" s="1315"/>
      <c r="E63" s="1344"/>
      <c r="F63" s="1315"/>
      <c r="G63" s="1315"/>
      <c r="H63" s="1315"/>
      <c r="I63" s="1315"/>
      <c r="J63" s="1315"/>
      <c r="K63" s="1315"/>
      <c r="L63" s="1495"/>
      <c r="M63" s="1322"/>
      <c r="N63" s="1322"/>
      <c r="P63" s="1317"/>
      <c r="Q63" s="1318"/>
      <c r="R63" s="1317"/>
      <c r="S63" s="1323"/>
      <c r="T63" s="1326" t="s">
        <v>222</v>
      </c>
      <c r="U63" s="1325"/>
      <c r="V63" s="1325"/>
      <c r="W63" s="1325"/>
      <c r="X63" s="1325"/>
      <c r="Y63" s="1325"/>
      <c r="Z63" s="1325"/>
      <c r="AA63" s="1325"/>
      <c r="AB63" s="1325"/>
      <c r="AC63" s="1325"/>
      <c r="AD63" s="1325"/>
      <c r="AE63" s="1325"/>
      <c r="AF63" s="1325"/>
      <c r="AG63" s="1325"/>
      <c r="AH63" s="1325"/>
      <c r="AI63" s="1325"/>
      <c r="AJ63" s="1325"/>
      <c r="AK63" s="1325"/>
      <c r="AL63" s="1325"/>
      <c r="AM63" s="1325"/>
      <c r="AN63" s="1325"/>
      <c r="AO63" s="1325"/>
      <c r="AP63" s="1325"/>
      <c r="AQ63" s="1325"/>
      <c r="AR63" s="1325"/>
      <c r="AS63" s="1325"/>
      <c r="AT63" s="1325"/>
      <c r="AU63" s="1325"/>
      <c r="AV63" s="1325"/>
      <c r="AW63" s="1325"/>
      <c r="AX63" s="1325"/>
      <c r="AY63" s="1325"/>
      <c r="AZ63" s="1325"/>
      <c r="BA63" s="1325"/>
      <c r="BB63" s="1325"/>
      <c r="BC63" s="1325"/>
      <c r="BE63" s="790"/>
      <c r="BF63" s="790" t="str">
        <f>IF(T63="","",T63)</f>
        <v>Добавить наименование тарифа</v>
      </c>
      <c r="BG63" s="790"/>
      <c r="BH63" s="790"/>
      <c r="BI63" s="519">
        <v>0</v>
      </c>
    </row>
    <row customHeight="1" ht="11.549999999999999">
      <c r="M64" s="1161"/>
      <c r="N64" s="1161"/>
      <c r="O64" s="538"/>
      <c r="P64" s="1161"/>
      <c r="Q64" s="1161"/>
      <c r="R64" s="1156"/>
      <c r="S64" s="1156"/>
      <c r="BD64" s="1156"/>
      <c r="BE64" s="1156"/>
      <c r="BF64" s="1156"/>
      <c r="BG64" s="1156"/>
      <c r="BH64" s="1156"/>
      <c r="BI64" s="1156">
        <v>11</v>
      </c>
    </row>
    <row customHeight="1" ht="14.699999999999998">
      <c r="O65" s="538"/>
      <c r="S65" s="1254"/>
      <c r="T65" s="2286"/>
      <c r="U65" s="2286"/>
      <c r="V65" s="2286"/>
      <c r="W65" s="2286"/>
      <c r="X65" s="2286"/>
      <c r="Y65" s="2286"/>
      <c r="Z65" s="2286"/>
      <c r="AA65" s="2286"/>
      <c r="AB65" s="2286"/>
      <c r="AC65" s="2286"/>
      <c r="AD65" s="2286"/>
      <c r="AE65" s="2286"/>
      <c r="AF65" s="2286"/>
      <c r="AG65" s="2286"/>
      <c r="AH65" s="2286"/>
      <c r="AI65" s="2286"/>
      <c r="AJ65" s="2286"/>
      <c r="AK65" s="2286"/>
      <c r="AL65" s="2286"/>
      <c r="AM65" s="2286"/>
      <c r="AN65" s="2286"/>
      <c r="AO65" s="2286"/>
      <c r="AP65" s="2286"/>
      <c r="AQ65" s="2286"/>
      <c r="AR65" s="2286"/>
      <c r="AS65" s="2286"/>
      <c r="AT65" s="2286"/>
      <c r="AU65" s="2286"/>
      <c r="AV65" s="2286"/>
      <c r="AW65" s="2286"/>
      <c r="AX65" s="2286"/>
      <c r="AY65" s="2286"/>
      <c r="AZ65" s="2286"/>
      <c r="BA65" s="2286"/>
      <c r="BB65" s="2286"/>
      <c r="BC65" s="2286"/>
      <c r="BI65" s="1156">
        <v>14</v>
      </c>
    </row>
    <row customHeight="1" ht="14.699999999999998">
      <c r="O66" s="538"/>
      <c r="T66" s="1481"/>
      <c r="U66" s="1481"/>
      <c r="V66" s="1481"/>
      <c r="W66" s="1481"/>
      <c r="X66" s="1481"/>
      <c r="Y66" s="1481"/>
      <c r="Z66" s="1481"/>
      <c r="AA66" s="1481"/>
      <c r="AB66" s="1481"/>
      <c r="AC66" s="1481"/>
      <c r="AD66" s="1481"/>
      <c r="AE66" s="1481"/>
      <c r="AF66" s="1481"/>
      <c r="AG66" s="1481"/>
      <c r="AH66" s="1481"/>
      <c r="AI66" s="1481"/>
      <c r="AJ66" s="1481"/>
      <c r="AK66" s="1481"/>
      <c r="AL66" s="1481"/>
      <c r="AM66" s="1481"/>
      <c r="AN66" s="1481"/>
      <c r="AO66" s="1481"/>
      <c r="AP66" s="1481"/>
      <c r="AQ66" s="1481"/>
      <c r="AR66" s="1481"/>
      <c r="AS66" s="1481"/>
      <c r="AT66" s="1481"/>
      <c r="AU66" s="1481"/>
      <c r="AV66" s="1481"/>
      <c r="AW66" s="1481"/>
      <c r="AX66" s="1481"/>
      <c r="AY66" s="1481"/>
      <c r="AZ66" s="1481"/>
      <c r="BA66" s="1481"/>
      <c r="BB66" s="1481"/>
      <c r="BC66" s="1481"/>
      <c r="BI66" s="1156">
        <v>14</v>
      </c>
    </row>
    <row customHeight="1" ht="14.699999999999998">
      <c r="O67" s="538"/>
      <c r="S67" s="1254"/>
      <c r="T67" s="2286"/>
      <c r="U67" s="2286"/>
      <c r="V67" s="2286"/>
      <c r="W67" s="2286"/>
      <c r="X67" s="2286"/>
      <c r="Y67" s="2286"/>
      <c r="Z67" s="2286"/>
      <c r="AA67" s="2286"/>
      <c r="AB67" s="2286"/>
      <c r="AC67" s="2286"/>
      <c r="AD67" s="2286"/>
      <c r="AE67" s="2286"/>
      <c r="AF67" s="2286"/>
      <c r="AG67" s="2286"/>
      <c r="AH67" s="2286"/>
      <c r="AI67" s="2286"/>
      <c r="AJ67" s="2286"/>
      <c r="AK67" s="2286"/>
      <c r="AL67" s="2286"/>
      <c r="AM67" s="2286"/>
      <c r="AN67" s="2286"/>
      <c r="AO67" s="2286"/>
      <c r="AP67" s="2286"/>
      <c r="AQ67" s="2286"/>
      <c r="AR67" s="2286"/>
      <c r="AS67" s="2286"/>
      <c r="AT67" s="2286"/>
      <c r="AU67" s="2286"/>
      <c r="AV67" s="2286"/>
      <c r="AW67" s="2286"/>
      <c r="AX67" s="2286"/>
      <c r="AY67" s="2286"/>
      <c r="AZ67" s="2286"/>
      <c r="BA67" s="2286"/>
      <c r="BB67" s="2286"/>
      <c r="BC67" s="2286"/>
      <c r="BI67" s="1156">
        <v>14</v>
      </c>
    </row>
    <row customHeight="1" ht="14.699999999999998">
      <c r="O68" s="538"/>
      <c r="BI68" s="1156">
        <v>14</v>
      </c>
    </row>
    <row customHeight="1" ht="14.25" hidden="1">
      <c r="A69" s="1161" t="s">
        <v>86</v>
      </c>
      <c r="B69" s="1161">
        <v>0</v>
      </c>
      <c r="C69" s="1161">
        <v>0</v>
      </c>
      <c r="D69" s="1161">
        <v>0</v>
      </c>
      <c r="E69" s="1161">
        <v>0</v>
      </c>
      <c r="F69" s="1161">
        <v>0</v>
      </c>
      <c r="G69" s="1161">
        <v>0</v>
      </c>
      <c r="H69" s="1161">
        <v>0</v>
      </c>
      <c r="I69" s="1161">
        <v>0</v>
      </c>
      <c r="J69" s="1161">
        <v>0</v>
      </c>
      <c r="K69" s="1161">
        <v>0</v>
      </c>
      <c r="L69" s="1479">
        <v>0</v>
      </c>
      <c r="M69" s="1363">
        <v>0</v>
      </c>
      <c r="N69" s="1363">
        <v>0</v>
      </c>
      <c r="O69" s="1363">
        <v>0</v>
      </c>
      <c r="P69" s="1363">
        <v>0</v>
      </c>
      <c r="Q69" s="1372">
        <v>0</v>
      </c>
      <c r="R69" s="345">
        <v>3</v>
      </c>
      <c r="S69" s="582">
        <v>12</v>
      </c>
      <c r="T69" s="1156">
        <v>31</v>
      </c>
      <c r="U69" s="1156">
        <v>0</v>
      </c>
      <c r="V69" s="1156">
        <v>0</v>
      </c>
      <c r="W69" s="1156">
        <v>0</v>
      </c>
      <c r="X69" s="1156">
        <v>0</v>
      </c>
      <c r="Y69" s="1156">
        <v>0</v>
      </c>
      <c r="Z69" s="1156">
        <v>0</v>
      </c>
      <c r="AA69" s="1156">
        <v>0</v>
      </c>
      <c r="AB69" s="1156">
        <v>0</v>
      </c>
      <c r="AC69" s="1156">
        <v>0</v>
      </c>
      <c r="AD69" s="1156">
        <v>3</v>
      </c>
      <c r="AE69" s="1156">
        <v>3</v>
      </c>
      <c r="AF69" s="1156">
        <v>3</v>
      </c>
      <c r="AG69" s="1156">
        <v>24</v>
      </c>
      <c r="AH69" s="1156">
        <v>3</v>
      </c>
      <c r="AI69" s="1156">
        <v>3</v>
      </c>
      <c r="AJ69" s="1156">
        <v>3</v>
      </c>
      <c r="AK69" s="1156">
        <v>24</v>
      </c>
      <c r="AL69" s="1156">
        <v>3</v>
      </c>
      <c r="AM69" s="1156">
        <v>3</v>
      </c>
      <c r="AN69" s="1156">
        <v>3</v>
      </c>
      <c r="AO69" s="1156">
        <v>18</v>
      </c>
      <c r="AP69" s="1156">
        <v>3</v>
      </c>
      <c r="AQ69" s="1156">
        <v>3</v>
      </c>
      <c r="AR69" s="1156">
        <v>3</v>
      </c>
      <c r="AS69" s="1156">
        <v>18</v>
      </c>
      <c r="AT69" s="1156">
        <v>21</v>
      </c>
      <c r="AU69" s="1156">
        <v>21</v>
      </c>
      <c r="AV69" s="1156">
        <v>21</v>
      </c>
      <c r="AW69" s="1156">
        <v>21</v>
      </c>
      <c r="AX69" s="1156">
        <v>11</v>
      </c>
      <c r="AY69" s="1156">
        <v>3</v>
      </c>
      <c r="AZ69" s="1156">
        <v>11</v>
      </c>
      <c r="BA69" s="1156">
        <v>0</v>
      </c>
      <c r="BB69" s="1156">
        <v>4</v>
      </c>
      <c r="BC69" s="1156">
        <v>115</v>
      </c>
      <c r="BD69" s="512">
        <v>10</v>
      </c>
      <c r="BE69" s="512">
        <v>10</v>
      </c>
      <c r="BF69" s="512">
        <v>10</v>
      </c>
      <c r="BG69" s="512">
        <v>10</v>
      </c>
      <c r="BH69" s="512">
        <v>10</v>
      </c>
      <c r="BI69" s="1156">
        <v>23</v>
      </c>
    </row>
  </sheetData>
  <sheetProtection formatColumns="0" formatRows="0" autoFilter="0" sort="0" insertRows="0" insertColumns="1" deleteRows="0" deleteColumns="0"/>
  <mergeCells count="122">
    <mergeCell ref="T65:BC65"/>
    <mergeCell ref="T67:BC67"/>
    <mergeCell ref="AL52:AL54"/>
    <mergeCell ref="AM52:AM53"/>
    <mergeCell ref="AN52:AN53"/>
    <mergeCell ref="AO52:AO53"/>
    <mergeCell ref="AP52:AP53"/>
    <mergeCell ref="BC52:BC57"/>
    <mergeCell ref="AF52:AF55"/>
    <mergeCell ref="AG52:AG55"/>
    <mergeCell ref="AH52:AH55"/>
    <mergeCell ref="AI52:AI54"/>
    <mergeCell ref="AJ52:AJ54"/>
    <mergeCell ref="AK52:AK54"/>
    <mergeCell ref="I50:I58"/>
    <mergeCell ref="P50:P58"/>
    <mergeCell ref="V50:AC50"/>
    <mergeCell ref="AD50:BB50"/>
    <mergeCell ref="J51:J57"/>
    <mergeCell ref="Q51:Q57"/>
    <mergeCell ref="V51:AC51"/>
    <mergeCell ref="AD51:BB51"/>
    <mergeCell ref="K52:K56"/>
    <mergeCell ref="S52:S56"/>
    <mergeCell ref="T52:T56"/>
    <mergeCell ref="AD52:AD56"/>
    <mergeCell ref="AE52:AE55"/>
    <mergeCell ref="AA45:AB45"/>
    <mergeCell ref="AY45:AZ45"/>
    <mergeCell ref="E46:E62"/>
    <mergeCell ref="V46:AC46"/>
    <mergeCell ref="AD46:BB46"/>
    <mergeCell ref="F47:F61"/>
    <mergeCell ref="V47:AC47"/>
    <mergeCell ref="AL41:AO44"/>
    <mergeCell ref="AP41:AS44"/>
    <mergeCell ref="AT41:AZ41"/>
    <mergeCell ref="BA41:BA44"/>
    <mergeCell ref="BB41:BB44"/>
    <mergeCell ref="V42:W43"/>
    <mergeCell ref="X42:Y43"/>
    <mergeCell ref="Z42:AB43"/>
    <mergeCell ref="AT42:AU43"/>
    <mergeCell ref="AV42:AW43"/>
    <mergeCell ref="AD47:BB47"/>
    <mergeCell ref="G48:G60"/>
    <mergeCell ref="V48:AC48"/>
    <mergeCell ref="AD48:BB48"/>
    <mergeCell ref="H49:H59"/>
    <mergeCell ref="V49:AC49"/>
    <mergeCell ref="AD49:BB49"/>
    <mergeCell ref="V39:AC39"/>
    <mergeCell ref="AD39:BA39"/>
    <mergeCell ref="S40:BB40"/>
    <mergeCell ref="BC40:BC44"/>
    <mergeCell ref="S41:S44"/>
    <mergeCell ref="T41:T44"/>
    <mergeCell ref="V41:AB41"/>
    <mergeCell ref="AC41:AC44"/>
    <mergeCell ref="AD41:AG44"/>
    <mergeCell ref="AH41:AK44"/>
    <mergeCell ref="AX42:AZ43"/>
    <mergeCell ref="AA44:AB44"/>
    <mergeCell ref="AY44:AZ44"/>
    <mergeCell ref="S36:T36"/>
    <mergeCell ref="V36:AB36"/>
    <mergeCell ref="AD36:AZ36"/>
    <mergeCell ref="S37:T37"/>
    <mergeCell ref="V37:AB37"/>
    <mergeCell ref="AD37:AZ37"/>
    <mergeCell ref="S33:T33"/>
    <mergeCell ref="V33:AB33"/>
    <mergeCell ref="AD33:AZ33"/>
    <mergeCell ref="S34:T34"/>
    <mergeCell ref="V34:AB34"/>
    <mergeCell ref="AD34:AZ34"/>
    <mergeCell ref="S28:AZ28"/>
    <mergeCell ref="S29:AZ29"/>
    <mergeCell ref="S31:T31"/>
    <mergeCell ref="V31:AB31"/>
    <mergeCell ref="AD31:AZ31"/>
    <mergeCell ref="S32:T32"/>
    <mergeCell ref="V32:AB32"/>
    <mergeCell ref="AD32:AZ32"/>
    <mergeCell ref="AL8:AL10"/>
    <mergeCell ref="AM8:AM9"/>
    <mergeCell ref="AN8:AN9"/>
    <mergeCell ref="AO8:AO9"/>
    <mergeCell ref="AP8:AP9"/>
    <mergeCell ref="BC8:BC13"/>
    <mergeCell ref="AF8:AF11"/>
    <mergeCell ref="AG8:AG11"/>
    <mergeCell ref="AH8:AH11"/>
    <mergeCell ref="AI8:AI10"/>
    <mergeCell ref="AJ8:AJ10"/>
    <mergeCell ref="AK8:AK10"/>
    <mergeCell ref="K8:K12"/>
    <mergeCell ref="R8:R12"/>
    <mergeCell ref="S8:S12"/>
    <mergeCell ref="T8:T12"/>
    <mergeCell ref="AD8:AD12"/>
    <mergeCell ref="AE8:AE11"/>
    <mergeCell ref="E2:E18"/>
    <mergeCell ref="V2:AC2"/>
    <mergeCell ref="AD2:BB2"/>
    <mergeCell ref="F3:F17"/>
    <mergeCell ref="V3:AC3"/>
    <mergeCell ref="AD3:BB3"/>
    <mergeCell ref="G4:G16"/>
    <mergeCell ref="V4:AC4"/>
    <mergeCell ref="AD4:BB4"/>
    <mergeCell ref="H5:H15"/>
    <mergeCell ref="V5:AC5"/>
    <mergeCell ref="AD5:BB5"/>
    <mergeCell ref="I6:I14"/>
    <mergeCell ref="P6:P14"/>
    <mergeCell ref="V6:AC6"/>
    <mergeCell ref="AD6:BB6"/>
    <mergeCell ref="J7:J13"/>
    <mergeCell ref="Q7:Q13"/>
    <mergeCell ref="V7:AC7"/>
    <mergeCell ref="AD7:BB7"/>
  </mergeCells>
  <dataValidations count="9">
    <dataValidation allowBlank="1" sqref="S65591:BC65597 S983095:BC983101 S917559:BC917565 S852023:BC852029 S786487:BC786493 S720951:BC720957 S655415:BC655421 S589879:BC589885 S524343:BC524349 S458807:BC458813 S393271:BC393277 S327735:BC327741 S262199:BC262205 S196663:BC196669 S131127:BC131133"/>
    <dataValidation type="list" allowBlank="1" showInputMessage="1" errorTitle="Ошибка" error="Выберите значение из списка" prompt="Выберите значение из списка" sqref="V983092:BB983092 V917556:BB917556 V852020:BB852020 V786484:BB786484 V720948:BB720948 V655412:BB655412 V589876:BB589876 V524340:BB524340 V458804:BB458804 V393268:BB393268 V327732:BB327732 V262196:BB262196 V196660:BB196660 V131124:BB131124 V65588:BB65588">
      <formula1>kind_of_cons</formula1>
    </dataValidation>
    <dataValidation type="decimal" allowBlank="1" showErrorMessage="1" errorTitle="Ошибка" error="Допускается ввод только действительных чисел!" sqref="AO52:AO53 AG8:AG11 AO8:AO9 AG52:AG55">
      <formula1>-9.99999999999999E+23</formula1>
      <formula2>9.99999999999999E+23</formula2>
    </dataValidation>
    <dataValidation allowBlank="1" showInputMessage="1" showErrorMessage="1" prompt="Для выбора выполните двойной щелчок левой клавиши мыши по соответствующей ячейке." sqref="AA65589 AA131125 AA196661 AA262197 AA327733 AA393269 AA458805 AA524341 AA589877 AA655413 AA720949 AA786485 AA852021 AA917557 AA983093 AC131125 AC458805 AC196661 AC262197 AC327733 AC393269 AC524341 AC589877 AC655413 AC720949 AC786485 AC852021 AC917557 AC983093 AC65589 AH52:AH53 AY8 AP52 AK52:AL53 AA8 AY65589 AY131125 AY196661 AY262197 AY327733 AY393269 AY458805 AY524341 AY589877 AY655413 AY720949 AY786485 AY852021 AY917557 AY983093 BA458805 BA196661 BA262197 BA327733 BA393269 BA524341 BA589877 BA655413 BA720949 BA786485 BA852021 BA917557 BA983093 BA65589 BA52 AC8:AD8 BA20 BA8 AY52 AK8:AL9 AD20 AG20:AH20 AK20:AL20 AP20 AY20 AH8:AH9 AP8 BA131125 AC52:AD52 AA52"/>
    <dataValidation type="textLength" operator="lessThanOrEqual" allowBlank="1" showInputMessage="1" showErrorMessage="1" errorTitle="Ошибка" error="Допускается ввод не более 900 символов!" sqref="BC65583:BC65590 BC131119:BC131126 BC196655:BC196662 BC262191:BC262198 BC327727:BC327734 BC393263:BC393270 BC458799:BC458806 BC524335:BC524342 BC589871:BC589878 BC655407:BC655414 BC720943:BC720950 BC786479:BC786486 BC852015:BC852022 BC917551:BC917558 BC983087:BC983094 AS8 T8:T12 AS52 T52:T56">
      <formula1>900</formula1>
    </dataValidation>
    <dataValidation allowBlank="1" promptTitle="checkPeriodRange" sqref="W131126 W196662 W262198 W327734 W393270 W458806 W524342 W589878 W655414 W720950 W786486 W852022 W917558 W983094 AW56 AU12 BB12 AW65590 AW131126 AW196662 AW262198 AW327734 AW393270 AW458806 AW524342 AW589878 AW655414 AW720950 AW786486 AW852022 AW917558 AW983094 Y65590 Y56 W65590 Y131126 Y196662 Y262198 Y327734 Y393270 Y458806 Y524342 Y589878 Y655414 Y720950 Y786486 Y852022 Y917558 Y983094 AU56 Y12 BB56 W12 AW12 W56"/>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9 Z131125 Z196661 Z262197 Z327733 Z393269 Z458805 Z524341 Z589877 Z655413 Z720949 Z786485 Z852021 Z917557 Z983093 AB65589 AB131125 AB196661 AB262197 AB327733 AB393269 AB458805 AB524341 AB589877 AB655413 AB720949 AB786485 AB852021 AB917557 AB983093 Z8 AB8 AX65589 AX131125 AX196661 AX262197 AX327733 AX393269 AX458805 AX524341 AX589877 AX655413 AX720949 AX786485 AX852021 AX917557 AX983093 AZ65589 AZ131125 AZ196661 AZ262197 AZ327733 AZ393269 AZ458805 AZ524341 AZ589877 AZ655413 AZ720949 AZ786485 AZ852021 AZ917557 AZ983093 AX52 AX20 AZ8 AZ52 AX8 AZ20 Z52 AB52"/>
    <dataValidation type="list" allowBlank="1" showInputMessage="1" showErrorMessage="1" errorTitle="Ошибка" error="Выберите значение из списка" sqref="AD917555:AS917555 AD983091:AS983091 AD65587:AS65587 AD131123:AS131123 AD196659:AS196659 AD262195:AS262195 AD327731:AS327731 AD393267:AS393267 AD458803:AS458803 AD524339:AS524339 AD589875:AS589875 AD655411:AS655411 AD720947:AS720947 AD786483:AS786483 AD852019:AS852019">
      <formula1>kind_of_scheme_in</formula1>
    </dataValidation>
    <dataValidation type="list" allowBlank="1" showInputMessage="1" showErrorMessage="1" errorTitle="Ошибка" error="Выберите значение из списка" sqref="T65589 T131125 T196661 T262197 T327733 T393269 T458805 T524341 T589877 T655413 T720949 T786485 T852021 T917557 T983093">
      <formula1>kind_of_heat_transfer</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7D06EC8-5BC8-5328-51D8-356742EDDC08}" mc:Ignorable="x14ac xr xr2 xr3">
  <sheetPr>
    <tabColor rgb="FFCCCCFF"/>
    <pageSetUpPr fitToPage="1"/>
  </sheetPr>
  <dimension ref="A1:AC35"/>
  <sheetViews>
    <sheetView showGridLines="0" zoomScale="90" workbookViewId="0">
      <pane xSplit="6" ySplit="11" topLeftCell="G12" activePane="bottomRight" state="frozen"/>
      <selection pane="bottomLeft" activeCell="A12" sqref="A12"/>
      <selection pane="topRight" activeCell="G1" sqref="G1"/>
      <selection pane="bottomRight" activeCell="G18" sqref="G18"/>
    </sheetView>
  </sheetViews>
  <sheetFormatPr defaultColWidth="9.140625" customHeight="1" defaultRowHeight="14.25"/>
  <cols>
    <col min="1" max="1" style="1636" width="8.00390625" hidden="1" customWidth="1"/>
    <col min="2" max="2" style="1367" width="6.00390625" hidden="1" customWidth="1"/>
    <col min="3" max="3" style="1636" width="3.00390625" customWidth="1"/>
    <col min="4" max="4" style="1843" width="3.00390625" customWidth="1"/>
    <col min="5" max="5" style="1636" width="6.00390625" customWidth="1"/>
    <col min="6" max="6" style="1636" width="2.7109375" hidden="1" customWidth="1"/>
    <col min="7" max="7" style="1636" width="46.7109375" customWidth="1"/>
    <col min="8" max="8" style="1636" width="42.00390625" customWidth="1"/>
    <col min="9" max="9" style="1636" width="14.00390625" customWidth="1"/>
    <col min="10" max="10" style="1625" width="3.00390625" customWidth="1"/>
    <col min="11" max="13" style="1625" width="9.140625" hidden="1"/>
    <col min="14" max="14" style="1625" width="25.7109375" hidden="1" customWidth="1"/>
    <col min="15" max="15" style="1625" width="14.421875" hidden="1" customWidth="1"/>
    <col min="16" max="19" style="226" width="9.140625" hidden="1"/>
    <col min="20" max="27" style="1636" width="9.140625" hidden="1"/>
    <col min="28" max="28" style="1636" width="8.00390625" customWidth="1"/>
    <col min="29" max="29" style="1636" width="9.140625" hidden="1"/>
  </cols>
  <sheetData>
    <row s="1643" customFormat="1" customHeight="1" ht="5.25" hidden="1">
      <c r="A1" s="497"/>
      <c r="B1" s="512"/>
      <c r="C1" s="512"/>
      <c r="D1" s="222"/>
      <c r="F1" s="512"/>
      <c r="G1" s="248" t="s">
        <v>87</v>
      </c>
      <c r="H1" s="495" t="s">
        <v>88</v>
      </c>
      <c r="I1" s="228" t="s">
        <v>89</v>
      </c>
      <c r="J1" s="248" t="s">
        <v>87</v>
      </c>
      <c r="K1" s="248"/>
      <c r="L1" s="248"/>
      <c r="M1" s="248"/>
      <c r="N1" s="249"/>
      <c r="O1" s="248"/>
      <c r="P1" s="248"/>
      <c r="Q1" s="248"/>
      <c r="R1" s="248"/>
      <c r="S1" s="248"/>
      <c r="T1" s="228"/>
      <c r="U1" s="228"/>
      <c r="V1" s="228"/>
      <c r="W1" s="228"/>
      <c r="X1" s="228"/>
      <c r="Y1" s="228"/>
      <c r="Z1" s="228"/>
      <c r="AA1" s="228"/>
      <c r="AB1" s="228"/>
      <c r="AC1" s="153" t="s">
        <v>14</v>
      </c>
    </row>
    <row s="1413" customFormat="1" customHeight="1" ht="11.25">
      <c r="A2" s="832"/>
      <c r="B2" s="229"/>
      <c r="C2" s="229"/>
      <c r="D2" s="230"/>
      <c r="E2" s="229"/>
      <c r="F2" s="229"/>
      <c r="G2" s="229"/>
      <c r="H2" s="229"/>
      <c r="I2" s="229"/>
      <c r="J2" s="248"/>
      <c r="K2" s="248"/>
      <c r="L2" s="248"/>
      <c r="M2" s="248"/>
      <c r="N2" s="249"/>
      <c r="O2" s="248"/>
      <c r="P2" s="231"/>
      <c r="Q2" s="231"/>
      <c r="R2" s="231"/>
      <c r="S2" s="231"/>
      <c r="T2" s="230"/>
      <c r="U2" s="230"/>
      <c r="V2" s="230"/>
      <c r="W2" s="230"/>
      <c r="X2" s="230"/>
      <c r="Y2" s="230"/>
      <c r="Z2" s="230"/>
      <c r="AA2" s="230"/>
      <c r="AB2" s="230"/>
      <c r="AC2" s="232">
        <v>11</v>
      </c>
    </row>
    <row s="1820" customFormat="1" customHeight="1" ht="3">
      <c r="A3" s="759"/>
      <c r="B3" s="418"/>
      <c r="C3" s="759"/>
      <c r="D3" s="165"/>
      <c r="E3" s="104"/>
      <c r="F3" s="510"/>
      <c r="G3" s="104"/>
      <c r="H3" s="104"/>
      <c r="I3" s="167"/>
      <c r="J3" s="248"/>
      <c r="K3" s="156"/>
      <c r="L3" s="156"/>
      <c r="M3" s="156"/>
      <c r="N3" s="227"/>
      <c r="O3" s="156"/>
      <c r="P3" s="226"/>
      <c r="Q3" s="226"/>
      <c r="R3" s="226"/>
      <c r="S3" s="226"/>
      <c r="AC3" s="117">
        <v>3</v>
      </c>
    </row>
    <row s="1820" customFormat="1" customHeight="1" ht="27.299999999999997">
      <c r="A4" s="759"/>
      <c r="B4" s="418"/>
      <c r="C4" s="759"/>
      <c r="D4" s="165"/>
      <c r="E4" s="2101" t="str">
        <f>NameTemplatesInListMO</f>
        <v>Перечень муниципальных районов и муниципальных образований (территорий действия тарифа)</v>
      </c>
      <c r="F4" s="2101"/>
      <c r="G4" s="2101"/>
      <c r="H4" s="2101"/>
      <c r="I4" s="2101"/>
      <c r="J4" s="248"/>
      <c r="K4" s="156"/>
      <c r="L4" s="156"/>
      <c r="M4" s="156"/>
      <c r="N4" s="227"/>
      <c r="O4" s="156"/>
      <c r="P4" s="226"/>
      <c r="Q4" s="226"/>
      <c r="R4" s="226"/>
      <c r="S4" s="226"/>
      <c r="AC4" s="117">
        <v>26</v>
      </c>
    </row>
    <row s="1820" customFormat="1" customHeight="1" ht="3">
      <c r="A5" s="759"/>
      <c r="B5" s="418"/>
      <c r="C5" s="759"/>
      <c r="D5" s="165"/>
      <c r="E5" s="104"/>
      <c r="F5" s="510"/>
      <c r="G5" s="168"/>
      <c r="H5" s="168"/>
      <c r="I5" s="169"/>
      <c r="J5" s="156"/>
      <c r="K5" s="156"/>
      <c r="L5" s="156"/>
      <c r="M5" s="156"/>
      <c r="N5" s="227"/>
      <c r="O5" s="156"/>
      <c r="P5" s="226"/>
      <c r="Q5" s="226"/>
      <c r="R5" s="226"/>
      <c r="S5" s="226"/>
      <c r="AC5" s="117">
        <v>3</v>
      </c>
    </row>
    <row s="1820" customFormat="1" customHeight="1" ht="20.25" hidden="1">
      <c r="A6" s="838"/>
      <c r="B6" s="834"/>
      <c r="C6" s="170"/>
      <c r="D6" s="165"/>
      <c r="E6" s="780"/>
      <c r="F6" s="780"/>
      <c r="G6" s="168"/>
      <c r="H6" s="171"/>
      <c r="I6" s="171"/>
      <c r="J6" s="156"/>
      <c r="K6" s="156"/>
      <c r="L6" s="156"/>
      <c r="M6" s="156"/>
      <c r="N6" s="227"/>
      <c r="O6" s="156"/>
      <c r="P6" s="226"/>
      <c r="Q6" s="226"/>
      <c r="R6" s="226"/>
      <c r="S6" s="226"/>
      <c r="AC6" s="117">
        <v>0</v>
      </c>
    </row>
    <row customHeight="1" ht="25.5" hidden="1">
      <c r="AC7" s="84">
        <v>0</v>
      </c>
    </row>
    <row s="1820" customFormat="1" customHeight="1" ht="14.699999999999998">
      <c r="A8" s="759"/>
      <c r="B8" s="418"/>
      <c r="C8" s="759"/>
      <c r="D8" s="165"/>
      <c r="E8" s="2102" t="s">
        <v>90</v>
      </c>
      <c r="F8" s="2103"/>
      <c r="G8" s="2104"/>
      <c r="H8" s="2105" t="s">
        <v>91</v>
      </c>
      <c r="I8" s="2105"/>
      <c r="J8" s="156"/>
      <c r="K8" s="156"/>
      <c r="L8" s="156"/>
      <c r="M8" s="156"/>
      <c r="N8" s="227"/>
      <c r="O8" s="156"/>
      <c r="P8" s="226"/>
      <c r="Q8" s="226"/>
      <c r="R8" s="226"/>
      <c r="S8" s="226"/>
      <c r="AC8" s="117">
        <v>14</v>
      </c>
    </row>
    <row s="1820" customFormat="1" customHeight="1" ht="21">
      <c r="A9" s="759"/>
      <c r="B9" s="418"/>
      <c r="C9" s="759"/>
      <c r="D9" s="165"/>
      <c r="E9" s="778" t="s">
        <v>92</v>
      </c>
      <c r="F9" s="778"/>
      <c r="G9" s="173" t="s">
        <v>93</v>
      </c>
      <c r="H9" s="173" t="s">
        <v>93</v>
      </c>
      <c r="I9" s="173" t="s">
        <v>89</v>
      </c>
      <c r="J9" s="156"/>
      <c r="K9" s="156"/>
      <c r="L9" s="156"/>
      <c r="M9" s="156"/>
      <c r="N9" s="227"/>
      <c r="O9" s="156"/>
      <c r="P9" s="226"/>
      <c r="Q9" s="226"/>
      <c r="R9" s="226"/>
      <c r="S9" s="226"/>
      <c r="AC9" s="117">
        <v>20</v>
      </c>
    </row>
    <row customHeight="1" ht="11.549999999999999">
      <c r="D10" s="177"/>
      <c r="E10" s="779" t="s">
        <v>94</v>
      </c>
      <c r="F10" s="779"/>
      <c r="G10" s="224" t="s">
        <v>95</v>
      </c>
      <c r="H10" s="224" t="s">
        <v>96</v>
      </c>
      <c r="I10" s="224" t="s">
        <v>97</v>
      </c>
      <c r="J10" s="187"/>
      <c r="K10" s="187"/>
      <c r="L10" s="187"/>
      <c r="M10" s="187"/>
      <c r="N10" s="172"/>
      <c r="O10" s="187"/>
      <c r="P10" s="225"/>
      <c r="Q10" s="225"/>
      <c r="R10" s="225"/>
      <c r="S10" s="225"/>
      <c r="AC10" s="84">
        <v>11</v>
      </c>
    </row>
    <row s="1820" customFormat="1" customHeight="1" ht="1.05">
      <c r="A11" s="759"/>
      <c r="B11" s="418"/>
      <c r="C11" s="759"/>
      <c r="D11" s="165"/>
      <c r="E11" s="791"/>
      <c r="F11" s="791"/>
      <c r="G11" s="174"/>
      <c r="H11" s="174"/>
      <c r="I11" s="176"/>
      <c r="J11" s="250" t="s">
        <v>98</v>
      </c>
      <c r="K11" s="156"/>
      <c r="L11" s="156"/>
      <c r="M11" s="156" t="s">
        <v>99</v>
      </c>
      <c r="N11" s="227" t="s">
        <v>100</v>
      </c>
      <c r="O11" s="156" t="s">
        <v>101</v>
      </c>
      <c r="P11" s="226"/>
      <c r="Q11" s="226"/>
      <c r="R11" s="226"/>
      <c r="S11" s="226"/>
      <c r="AC11" s="117">
        <v>1</v>
      </c>
    </row>
    <row s="1820" customFormat="1" customHeight="1" ht="15">
      <c r="A12" s="2100">
        <v>1</v>
      </c>
      <c r="B12" s="418"/>
      <c r="C12" s="759"/>
      <c r="D12" s="783"/>
      <c r="E12" s="220">
        <f>A12</f>
        <v>1</v>
      </c>
      <c r="F12" s="803" t="s">
        <v>102</v>
      </c>
      <c r="G12" s="541" t="str">
        <f>"Территория "&amp;E12</f>
        <v>Территория 1</v>
      </c>
      <c r="H12" s="793"/>
      <c r="I12" s="793"/>
      <c r="J12" s="790"/>
      <c r="K12" s="501"/>
      <c r="L12" s="501"/>
      <c r="M12" s="501"/>
      <c r="N12" s="227"/>
      <c r="O12" s="501"/>
      <c r="P12" s="226"/>
      <c r="Q12" s="226"/>
      <c r="R12" s="226"/>
      <c r="S12" s="226"/>
      <c r="AC12" s="508">
        <v>14</v>
      </c>
    </row>
    <row s="1851" customFormat="1" customHeight="1" ht="15.75">
      <c r="A13" s="2100"/>
      <c r="B13" s="418">
        <v>1</v>
      </c>
      <c r="C13" s="418"/>
      <c r="D13" s="801"/>
      <c r="E13" s="781" t="str">
        <f>A12&amp;"."&amp;B13</f>
        <v>1.1</v>
      </c>
      <c r="F13" s="796" t="s">
        <v>103</v>
      </c>
      <c r="G13" s="794" t="s">
        <v>104</v>
      </c>
      <c r="H13" s="794" t="s">
        <v>104</v>
      </c>
      <c r="I13" s="792" t="s">
        <v>105</v>
      </c>
      <c r="J13" s="501">
        <f>MERGEVALUE(G13)</f>
      </c>
      <c r="K13" s="512"/>
      <c r="L13" s="512"/>
      <c r="M13" s="501" t="str">
        <f t="array" ref="M13:M13">IF(ISERROR(MATCH(MID(N13,1,250),MID(note_ter,1,250),0)),"n","y")</f>
        <v>n</v>
      </c>
      <c r="N13" s="512"/>
      <c r="O13" s="501" t="str">
        <f>H13&amp;"("&amp;I13&amp;")"</f>
        <v>город Апатиты(47519000)</v>
      </c>
      <c r="P13" s="418"/>
      <c r="Q13" s="418"/>
      <c r="R13" s="421"/>
      <c r="S13" s="418"/>
      <c r="T13" s="418"/>
      <c r="U13" s="418"/>
      <c r="V13" s="423"/>
      <c r="W13" s="423"/>
      <c r="X13" s="420"/>
      <c r="Y13" s="420"/>
      <c r="Z13" s="420"/>
      <c r="AA13" s="420"/>
      <c r="AB13" s="420"/>
      <c r="AC13" s="424">
        <v>15</v>
      </c>
    </row>
    <row s="1851" customFormat="1" customHeight="1" ht="15.75">
      <c r="A14" s="2100"/>
      <c r="B14" s="418"/>
      <c r="C14" s="413"/>
      <c r="D14" s="802"/>
      <c r="E14" s="422"/>
      <c r="F14" s="178"/>
      <c r="G14" s="416" t="s">
        <v>106</v>
      </c>
      <c r="H14" s="188"/>
      <c r="I14" s="425"/>
      <c r="J14" s="512"/>
      <c r="K14" s="512"/>
      <c r="L14" s="512"/>
      <c r="M14" s="512"/>
      <c r="N14" s="501"/>
      <c r="O14" s="512"/>
      <c r="P14" s="418"/>
      <c r="Q14" s="418"/>
      <c r="R14" s="421"/>
      <c r="S14" s="418"/>
      <c r="T14" s="418"/>
      <c r="U14" s="418"/>
      <c r="V14" s="423"/>
      <c r="W14" s="423"/>
      <c r="X14" s="420"/>
      <c r="Y14" s="420"/>
      <c r="Z14" s="420"/>
      <c r="AA14" s="420"/>
      <c r="AB14" s="420"/>
      <c r="AC14" s="424">
        <v>15</v>
      </c>
    </row>
    <row customHeight="1" ht="15">
      <c r="A15" s="2218" t="s">
        <v>107</v>
      </c>
      <c r="B15" s="1161"/>
      <c r="C15" s="802" t="s">
        <v>108</v>
      </c>
      <c r="D15" s="1819"/>
      <c r="E15" s="1806" t="str">
        <f>A15</f>
        <v>2</v>
      </c>
      <c r="F15" s="805" t="s">
        <v>109</v>
      </c>
      <c r="G15" s="541" t="str">
        <f>"Территория "&amp;E15</f>
        <v>Территория 2</v>
      </c>
      <c r="H15" s="793"/>
      <c r="I15" s="793"/>
      <c r="J15" s="790"/>
      <c r="K15" s="1625"/>
      <c r="L15" s="1625"/>
      <c r="M15" s="1625"/>
      <c r="N15" s="227"/>
      <c r="O15" s="1625"/>
      <c r="P15" s="226"/>
      <c r="Q15" s="226"/>
      <c r="R15" s="226"/>
      <c r="S15" s="226"/>
      <c r="T15" s="1820"/>
      <c r="U15" s="1820"/>
      <c r="V15" s="1820"/>
      <c r="W15" s="1820"/>
      <c r="X15" s="1820"/>
      <c r="Y15" s="1820"/>
      <c r="Z15" s="1820"/>
      <c r="AA15" s="1820"/>
      <c r="AB15" s="1820"/>
      <c r="AC15" s="1820"/>
    </row>
    <row customHeight="1" ht="15">
      <c r="A16" s="2218"/>
      <c r="B16" s="1161">
        <v>1</v>
      </c>
      <c r="C16" s="1161"/>
      <c r="D16" s="801"/>
      <c r="E16" s="1814" t="str">
        <f>A15&amp;"."&amp;B16</f>
        <v>2.1</v>
      </c>
      <c r="F16" s="804" t="s">
        <v>110</v>
      </c>
      <c r="G16" s="794" t="s">
        <v>111</v>
      </c>
      <c r="H16" s="794" t="s">
        <v>111</v>
      </c>
      <c r="I16" s="792" t="s">
        <v>112</v>
      </c>
      <c r="J16" s="1625"/>
      <c r="K16" s="1637"/>
      <c r="L16" s="1637"/>
      <c r="M16" s="1625" t="str">
        <f t="array" ref="M16:M16">IF(ISERROR(MATCH(MID(N16,1,250),MID(note_ter,1,250),0)),"n","y")</f>
        <v>n</v>
      </c>
      <c r="N16" s="1637"/>
      <c r="O16" s="1625" t="str">
        <f>H16&amp;"("&amp;I16&amp;")"</f>
        <v>город Кировск(47522000)</v>
      </c>
      <c r="P16" s="1161"/>
      <c r="Q16" s="1161"/>
      <c r="R16" s="421"/>
      <c r="S16" s="1161"/>
      <c r="T16" s="1161"/>
      <c r="U16" s="1161"/>
      <c r="V16" s="423"/>
      <c r="W16" s="423"/>
      <c r="X16" s="420"/>
      <c r="Y16" s="420"/>
      <c r="Z16" s="420"/>
      <c r="AA16" s="420"/>
      <c r="AB16" s="420"/>
      <c r="AC16" s="420"/>
    </row>
    <row customHeight="1" ht="15">
      <c r="A17" s="2218"/>
      <c r="B17" s="1161"/>
      <c r="C17" s="413"/>
      <c r="D17" s="802"/>
      <c r="E17" s="422"/>
      <c r="F17" s="178"/>
      <c r="G17" s="416" t="s">
        <v>106</v>
      </c>
      <c r="H17" s="188"/>
      <c r="I17" s="425"/>
      <c r="J17" s="1637"/>
      <c r="K17" s="1637"/>
      <c r="L17" s="1637"/>
      <c r="M17" s="1637"/>
      <c r="N17" s="1625"/>
      <c r="O17" s="1637"/>
      <c r="P17" s="1161"/>
      <c r="Q17" s="1161"/>
      <c r="R17" s="421"/>
      <c r="S17" s="1161"/>
      <c r="T17" s="1161"/>
      <c r="U17" s="1161"/>
      <c r="V17" s="423"/>
      <c r="W17" s="423"/>
      <c r="X17" s="420"/>
      <c r="Y17" s="420"/>
      <c r="Z17" s="420"/>
      <c r="AA17" s="420"/>
      <c r="AB17" s="420"/>
      <c r="AC17" s="420"/>
    </row>
    <row customHeight="1" ht="15">
      <c r="A18" s="2218" t="s">
        <v>94</v>
      </c>
      <c r="B18" s="1161"/>
      <c r="C18" s="802" t="s">
        <v>108</v>
      </c>
      <c r="D18" s="1819"/>
      <c r="E18" s="1806" t="str">
        <f>A18</f>
        <v>3</v>
      </c>
      <c r="F18" s="805" t="s">
        <v>113</v>
      </c>
      <c r="G18" s="541" t="str">
        <f>"Территория "&amp;E18</f>
        <v>Территория 3</v>
      </c>
      <c r="H18" s="793"/>
      <c r="I18" s="793"/>
      <c r="J18" s="790"/>
      <c r="K18" s="1625"/>
      <c r="L18" s="1625"/>
      <c r="M18" s="1625"/>
      <c r="N18" s="227"/>
      <c r="O18" s="1625"/>
      <c r="P18" s="226"/>
      <c r="Q18" s="226"/>
      <c r="R18" s="226"/>
      <c r="S18" s="226"/>
      <c r="T18" s="1820"/>
      <c r="U18" s="1820"/>
      <c r="V18" s="1820"/>
      <c r="W18" s="1820"/>
      <c r="X18" s="1820"/>
      <c r="Y18" s="1820"/>
      <c r="Z18" s="1820"/>
      <c r="AA18" s="1820"/>
      <c r="AB18" s="1820"/>
      <c r="AC18" s="1820"/>
    </row>
    <row customHeight="1" ht="15">
      <c r="A19" s="2218"/>
      <c r="B19" s="1161">
        <v>1</v>
      </c>
      <c r="C19" s="1161"/>
      <c r="D19" s="801"/>
      <c r="E19" s="1814" t="str">
        <f>A18&amp;"."&amp;B19</f>
        <v>3.1</v>
      </c>
      <c r="F19" s="804" t="s">
        <v>114</v>
      </c>
      <c r="G19" s="794" t="s">
        <v>115</v>
      </c>
      <c r="H19" s="794" t="s">
        <v>115</v>
      </c>
      <c r="I19" s="792" t="s">
        <v>116</v>
      </c>
      <c r="J19" s="1625"/>
      <c r="K19" s="1637"/>
      <c r="L19" s="1637"/>
      <c r="M19" s="1625" t="str">
        <f t="array" ref="M19:M19">IF(ISERROR(MATCH(MID(N19,1,250),MID(note_ter,1,250),0)),"n","y")</f>
        <v>n</v>
      </c>
      <c r="N19" s="1637"/>
      <c r="O19" s="1625" t="str">
        <f>H19&amp;"("&amp;I19&amp;")"</f>
        <v>Печенгский муниципальный округ(47515000)</v>
      </c>
      <c r="P19" s="1161"/>
      <c r="Q19" s="1161"/>
      <c r="R19" s="421"/>
      <c r="S19" s="1161"/>
      <c r="T19" s="1161"/>
      <c r="U19" s="1161"/>
      <c r="V19" s="423"/>
      <c r="W19" s="423"/>
      <c r="X19" s="420"/>
      <c r="Y19" s="420"/>
      <c r="Z19" s="420"/>
      <c r="AA19" s="420"/>
      <c r="AB19" s="420"/>
      <c r="AC19" s="420"/>
    </row>
    <row customHeight="1" ht="15">
      <c r="A20" s="2218"/>
      <c r="B20" s="1161"/>
      <c r="C20" s="413"/>
      <c r="D20" s="802"/>
      <c r="E20" s="422"/>
      <c r="F20" s="178"/>
      <c r="G20" s="416" t="s">
        <v>106</v>
      </c>
      <c r="H20" s="188"/>
      <c r="I20" s="425"/>
      <c r="J20" s="1637"/>
      <c r="K20" s="1637"/>
      <c r="L20" s="1637"/>
      <c r="M20" s="1637"/>
      <c r="N20" s="1625"/>
      <c r="O20" s="1637"/>
      <c r="P20" s="1161"/>
      <c r="Q20" s="1161"/>
      <c r="R20" s="421"/>
      <c r="S20" s="1161"/>
      <c r="T20" s="1161"/>
      <c r="U20" s="1161"/>
      <c r="V20" s="423"/>
      <c r="W20" s="423"/>
      <c r="X20" s="420"/>
      <c r="Y20" s="420"/>
      <c r="Z20" s="420"/>
      <c r="AA20" s="420"/>
      <c r="AB20" s="420"/>
      <c r="AC20" s="420"/>
    </row>
    <row s="1820" customFormat="1" customHeight="1" ht="14.699999999999998">
      <c r="A21" s="759"/>
      <c r="B21" s="418"/>
      <c r="C21" s="759"/>
      <c r="D21" s="783"/>
      <c r="E21" s="795"/>
      <c r="F21" s="179"/>
      <c r="G21" s="417" t="s">
        <v>117</v>
      </c>
      <c r="H21" s="179"/>
      <c r="I21" s="180"/>
      <c r="J21" s="250"/>
      <c r="K21" s="156"/>
      <c r="L21" s="156"/>
      <c r="M21" s="156"/>
      <c r="N21" s="227" t="s">
        <v>118</v>
      </c>
      <c r="O21" s="156"/>
      <c r="P21" s="226"/>
      <c r="Q21" s="226"/>
      <c r="R21" s="226"/>
      <c r="S21" s="226"/>
      <c r="AC21" s="117">
        <v>14</v>
      </c>
    </row>
    <row s="1820" customFormat="1" customHeight="1" ht="22.049999999999997">
      <c r="A22" s="759"/>
      <c r="B22" s="418"/>
      <c r="C22" s="759"/>
      <c r="D22" s="166"/>
      <c r="E22" s="181"/>
      <c r="F22" s="181"/>
      <c r="G22" s="181"/>
      <c r="H22" s="181"/>
      <c r="I22" s="181"/>
      <c r="J22" s="156"/>
      <c r="K22" s="156"/>
      <c r="L22" s="156"/>
      <c r="M22" s="156"/>
      <c r="N22" s="227"/>
      <c r="O22" s="156"/>
      <c r="P22" s="226"/>
      <c r="Q22" s="226"/>
      <c r="R22" s="226"/>
      <c r="S22" s="226"/>
      <c r="AC22" s="117">
        <v>21</v>
      </c>
    </row>
    <row s="1820" customFormat="1" customHeight="1" ht="14.699999999999998">
      <c r="A23" s="759"/>
      <c r="B23" s="418"/>
      <c r="C23" s="759"/>
      <c r="D23" s="166"/>
      <c r="E23" s="84"/>
      <c r="F23" s="759"/>
      <c r="G23" s="84"/>
      <c r="H23" s="84"/>
      <c r="I23" s="84"/>
      <c r="J23" s="156"/>
      <c r="K23" s="156"/>
      <c r="L23" s="156"/>
      <c r="M23" s="156"/>
      <c r="N23" s="227"/>
      <c r="O23" s="156"/>
      <c r="P23" s="226"/>
      <c r="Q23" s="226"/>
      <c r="R23" s="226"/>
      <c r="S23" s="226"/>
      <c r="AC23" s="117">
        <v>14</v>
      </c>
    </row>
    <row s="1820" customFormat="1" customHeight="1" ht="1.05">
      <c r="A24" s="759"/>
      <c r="B24" s="418"/>
      <c r="C24" s="759"/>
      <c r="D24" s="166"/>
      <c r="E24" s="84"/>
      <c r="F24" s="759"/>
      <c r="G24" s="84"/>
      <c r="H24" s="84"/>
      <c r="I24" s="84"/>
      <c r="J24" s="156"/>
      <c r="K24" s="156"/>
      <c r="L24" s="156"/>
      <c r="M24" s="156"/>
      <c r="N24" s="227"/>
      <c r="O24" s="156"/>
      <c r="P24" s="226"/>
      <c r="Q24" s="226"/>
      <c r="R24" s="226"/>
      <c r="S24" s="226"/>
      <c r="AC24" s="117">
        <v>1</v>
      </c>
    </row>
    <row s="1065" customFormat="1" customHeight="1" ht="10.5">
      <c r="B25" s="835"/>
      <c r="D25" s="183"/>
      <c r="J25" s="156"/>
      <c r="K25" s="156"/>
      <c r="L25" s="156"/>
      <c r="M25" s="156"/>
      <c r="N25" s="227"/>
      <c r="O25" s="156"/>
      <c r="P25" s="226"/>
      <c r="Q25" s="226"/>
      <c r="R25" s="226"/>
      <c r="S25" s="226"/>
      <c r="AC25" s="182">
        <v>10</v>
      </c>
    </row>
    <row s="1065" customFormat="1" customHeight="1" ht="10.5">
      <c r="B26" s="835"/>
      <c r="D26" s="183"/>
      <c r="J26" s="156"/>
      <c r="K26" s="156"/>
      <c r="L26" s="156"/>
      <c r="M26" s="156"/>
      <c r="N26" s="227"/>
      <c r="O26" s="156"/>
      <c r="P26" s="226"/>
      <c r="Q26" s="226"/>
      <c r="R26" s="226"/>
      <c r="S26" s="226"/>
      <c r="AC26" s="182">
        <v>10</v>
      </c>
    </row>
    <row customHeight="1" ht="14.699999999999998">
      <c r="AC27" s="84">
        <v>14</v>
      </c>
    </row>
    <row customHeight="1" ht="14.699999999999998">
      <c r="AC28" s="84">
        <v>14</v>
      </c>
    </row>
    <row customHeight="1" ht="14.699999999999998">
      <c r="AC29" s="84">
        <v>14</v>
      </c>
    </row>
    <row customHeight="1" ht="14.699999999999998">
      <c r="H30" s="65"/>
      <c r="AC30" s="84">
        <v>14</v>
      </c>
    </row>
    <row customHeight="1" ht="14.699999999999998">
      <c r="AC31" s="84">
        <v>14</v>
      </c>
    </row>
    <row customHeight="1" ht="14.699999999999998">
      <c r="AC32" s="84">
        <v>14</v>
      </c>
    </row>
    <row customHeight="1" ht="14.699999999999998">
      <c r="AC33" s="84">
        <v>14</v>
      </c>
    </row>
    <row customHeight="1" ht="14.699999999999998">
      <c r="J34" s="84"/>
      <c r="K34" s="84"/>
      <c r="L34" s="84"/>
      <c r="AC34" s="84">
        <v>14</v>
      </c>
    </row>
    <row customHeight="1" ht="22.5" hidden="1">
      <c r="A35" s="759" t="s">
        <v>86</v>
      </c>
      <c r="B35" s="418">
        <v>0</v>
      </c>
      <c r="C35" s="759">
        <v>3</v>
      </c>
      <c r="D35" s="166">
        <v>3</v>
      </c>
      <c r="E35" s="84">
        <v>6</v>
      </c>
      <c r="F35" s="759">
        <v>0</v>
      </c>
      <c r="G35" s="84">
        <v>46</v>
      </c>
      <c r="H35" s="84">
        <v>42</v>
      </c>
      <c r="I35" s="84">
        <v>14</v>
      </c>
      <c r="J35" s="156">
        <v>3</v>
      </c>
      <c r="K35" s="156">
        <v>0</v>
      </c>
      <c r="L35" s="156">
        <v>0</v>
      </c>
      <c r="M35" s="156">
        <v>0</v>
      </c>
      <c r="N35" s="227">
        <v>0</v>
      </c>
      <c r="O35" s="156">
        <v>0</v>
      </c>
      <c r="P35" s="226">
        <v>0</v>
      </c>
      <c r="Q35" s="226">
        <v>0</v>
      </c>
      <c r="R35" s="226">
        <v>0</v>
      </c>
      <c r="S35" s="226">
        <v>0</v>
      </c>
      <c r="T35" s="84">
        <v>0</v>
      </c>
      <c r="U35" s="84">
        <v>0</v>
      </c>
      <c r="V35" s="84">
        <v>0</v>
      </c>
      <c r="W35" s="84">
        <v>0</v>
      </c>
      <c r="X35" s="84">
        <v>0</v>
      </c>
      <c r="Y35" s="84">
        <v>0</v>
      </c>
      <c r="Z35" s="84">
        <v>0</v>
      </c>
      <c r="AA35" s="84">
        <v>0</v>
      </c>
      <c r="AB35" s="84">
        <v>8</v>
      </c>
      <c r="AC35" s="84">
        <v>23</v>
      </c>
    </row>
  </sheetData>
  <sheetProtection formatColumns="0" formatRows="0" autoFilter="0" sort="0" insertRows="0" insertColumns="1" deleteRows="0" deleteColumns="0"/>
  <mergeCells count="6">
    <mergeCell ref="A12:A14"/>
    <mergeCell ref="E4:I4"/>
    <mergeCell ref="E8:G8"/>
    <mergeCell ref="H8:I8"/>
    <mergeCell ref="A15:A17"/>
    <mergeCell ref="A18:A20"/>
  </mergeCells>
  <dataValidations count="3">
    <dataValidation type="textLength" operator="lessThanOrEqual" allowBlank="1" showInputMessage="1" showErrorMessage="1" errorTitle="Ошибка" error="Допускается ввод не более 900 символов!" sqref="G18">
      <formula1>900</formula1>
    </dataValidation>
    <dataValidation type="textLength" operator="lessThanOrEqual" allowBlank="1" showInputMessage="1" showErrorMessage="1" errorTitle="Ошибка" error="Допускается ввод не более 900 символов!" sqref="G15">
      <formula1>900</formula1>
    </dataValidation>
    <dataValidation type="textLength" operator="lessThanOrEqual" allowBlank="1" showInputMessage="1" showErrorMessage="1" errorTitle="Ошибка" error="Допускается ввод не более 900 символов!" sqref="G12">
      <formula1>900</formula1>
    </dataValidation>
  </dataValidations>
  <printOptions horizontalCentered="1" verticalCentered="1"/>
  <pageMargins left="0.00" right="0.00" top="0.00" bottom="0.00" header="0.00" footer="0.79"/>
  <pageSetup paperSize="9" scale="93" fitToHeight="0" pageOrder="downThenOver" orientation="portrait" blackAndWhite="1"/>
  <headerFooter>
    <oddHeader>&amp;L&amp;C&amp;R</oddHeader>
    <oddFooter>&amp;L&amp;C&amp;R</oddFooter>
    <evenHeader>&amp;L&amp;C&amp;R</evenHeader>
    <evenFooter>&amp;L&amp;C&amp;R</evenFooter>
  </headerFooter>
  <drawing r:id="rId1"/>
</worksheet>
</file>

<file path=xl/worksheets/sheet3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33DB1A8-0123-9FB8-06D4-025308180298}" mc:Ignorable="x14ac xr xr2 xr3">
  <sheetPr>
    <tabColor theme="6" tint="0.4"/>
  </sheetPr>
  <dimension ref="A1:AY59"/>
  <sheetViews>
    <sheetView showGridLines="0" zoomScale="90" workbookViewId="0">
      <pane xSplit="32" ySplit="41" topLeftCell="AG42" activePane="bottomRight" state="frozen"/>
      <selection pane="bottomLeft" activeCell="A42" sqref="A42"/>
      <selection pane="topRight" activeCell="AG1" sqref="AG1"/>
      <selection pane="bottomRight" activeCell="A1" sqref="A1"/>
    </sheetView>
  </sheetViews>
  <sheetFormatPr defaultColWidth="10.57421875" customHeight="1" defaultRowHeight="14.25"/>
  <cols>
    <col min="1" max="1" style="1367" width="10.57421875" hidden="1"/>
    <col min="2" max="2" style="1367" width="11.00390625" hidden="1" customWidth="1"/>
    <col min="3" max="3" style="1367" width="10.57421875" hidden="1"/>
    <col min="4" max="4" style="1367" width="11.8515625" hidden="1" customWidth="1"/>
    <col min="5" max="5" style="1367" width="10.00390625" hidden="1" customWidth="1"/>
    <col min="6" max="6" style="1367" width="8.7109375" hidden="1" customWidth="1"/>
    <col min="7" max="7" style="1367" width="7.57421875" hidden="1" customWidth="1"/>
    <col min="8" max="8" style="1367" width="11.421875" hidden="1" customWidth="1"/>
    <col min="9" max="9" style="1367" width="14.140625" hidden="1" customWidth="1"/>
    <col min="10" max="10" style="1367" width="9.8515625" hidden="1" customWidth="1"/>
    <col min="11" max="11" style="1367" width="14.7109375" hidden="1" customWidth="1"/>
    <col min="12" max="12" style="2608" width="19.140625" hidden="1" customWidth="1"/>
    <col min="13" max="14" style="1777" width="12.28125" hidden="1" customWidth="1"/>
    <col min="15" max="15" style="1777" width="23.421875" hidden="1" customWidth="1"/>
    <col min="16" max="16" style="2398" width="3.00390625" customWidth="1"/>
    <col min="17" max="18" style="345" width="3.00390625" customWidth="1"/>
    <col min="19" max="19" style="2408" width="12.00390625" customWidth="1"/>
    <col min="20" max="20" style="1636" width="35.00390625" customWidth="1"/>
    <col min="21" max="21" style="1636" width="0.140625" customWidth="1"/>
    <col min="22" max="28" style="1636" width="19.7109375" hidden="1" customWidth="1"/>
    <col min="29" max="29" style="1636" width="11.7109375" hidden="1" customWidth="1"/>
    <col min="30" max="30" style="1636" width="3.7109375" hidden="1" customWidth="1"/>
    <col min="31" max="31" style="1636" width="11.7109375" hidden="1" customWidth="1"/>
    <col min="32" max="32" style="1636" width="8.57421875" hidden="1" customWidth="1"/>
    <col min="33" max="33" style="1636" width="19.7109375" customWidth="1"/>
    <col min="34" max="39" style="1636" width="19.00390625" customWidth="1"/>
    <col min="40" max="40" style="1636" width="11.00390625" customWidth="1"/>
    <col min="41" max="41" style="1636" width="3.7109375" customWidth="1"/>
    <col min="42" max="42" style="1636" width="11.00390625" customWidth="1"/>
    <col min="43" max="43" style="1636" width="8.57421875" hidden="1" customWidth="1"/>
    <col min="44" max="44" style="1636" width="4.00390625" customWidth="1"/>
    <col min="45" max="45" style="1636" width="115.00390625" customWidth="1"/>
    <col min="46" max="50" style="1643" width="10.00390625" customWidth="1"/>
    <col min="51" max="51" style="1636" width="10.57421875" hidden="1"/>
  </cols>
  <sheetData>
    <row customHeight="1" ht="22.5" hidden="1">
      <c r="AC1" s="328"/>
      <c r="AN1" s="328"/>
      <c r="AY1" s="1156" t="s">
        <v>14</v>
      </c>
    </row>
    <row customHeight="1" ht="23.25" hidden="1">
      <c r="A2" s="1364"/>
      <c r="B2" s="1364"/>
      <c r="C2" s="1364"/>
      <c r="D2" s="1364"/>
      <c r="E2" s="2259">
        <v>1</v>
      </c>
      <c r="F2" s="1364"/>
      <c r="G2" s="1364"/>
      <c r="H2" s="1364"/>
      <c r="I2" s="1364"/>
      <c r="J2" s="1364"/>
      <c r="K2" s="1364"/>
      <c r="L2" s="1365"/>
      <c r="M2" s="1366"/>
      <c r="N2" s="1366"/>
      <c r="O2" s="1366"/>
      <c r="P2" s="362"/>
      <c r="Q2" s="361"/>
      <c r="R2" s="356"/>
      <c r="S2" s="1494">
        <f>INDEX(PT_DIFFERENTIATION_NUM_NTAR,MATCH(A2,PT_DIFFERENTIATION_NTAR_ID,0))</f>
      </c>
      <c r="T2" s="299" t="s">
        <v>136</v>
      </c>
      <c r="U2" s="301"/>
      <c r="V2" s="2243"/>
      <c r="W2" s="2244"/>
      <c r="X2" s="2244"/>
      <c r="Y2" s="2244"/>
      <c r="Z2" s="2244"/>
      <c r="AA2" s="2244"/>
      <c r="AB2" s="2244"/>
      <c r="AC2" s="2244"/>
      <c r="AD2" s="2244"/>
      <c r="AE2" s="2244"/>
      <c r="AF2" s="2245"/>
      <c r="AG2" s="2243">
        <f>INDEX(PT_DIFFERENTIATION_NTAR,MATCH(A2,PT_DIFFERENTIATION_NTAR_ID,0))</f>
      </c>
      <c r="AH2" s="2244"/>
      <c r="AI2" s="2244"/>
      <c r="AJ2" s="2244"/>
      <c r="AK2" s="2244"/>
      <c r="AL2" s="2244"/>
      <c r="AM2" s="2244"/>
      <c r="AN2" s="2244"/>
      <c r="AO2" s="2244"/>
      <c r="AP2" s="2244"/>
      <c r="AQ2" s="2244"/>
      <c r="AR2" s="2245"/>
      <c r="AS2" s="125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AU2" s="501"/>
      <c r="AV2" s="501" t="str">
        <f>IF(T2="","",T2)</f>
        <v>Наименование тарифа</v>
      </c>
      <c r="AW2" s="501"/>
      <c r="AX2" s="501"/>
      <c r="AY2" s="1156">
        <v>0</v>
      </c>
    </row>
    <row customHeight="1" ht="23.25" hidden="1">
      <c r="A3" s="1364"/>
      <c r="B3" s="1364"/>
      <c r="C3" s="1364"/>
      <c r="D3" s="1364"/>
      <c r="E3" s="2260"/>
      <c r="F3" s="2259">
        <v>1</v>
      </c>
      <c r="G3" s="1364"/>
      <c r="H3" s="1364"/>
      <c r="I3" s="1364"/>
      <c r="J3" s="1364"/>
      <c r="K3" s="1364"/>
      <c r="L3" s="1365"/>
      <c r="M3" s="1366"/>
      <c r="N3" s="1366"/>
      <c r="O3" s="1366"/>
      <c r="P3" s="1488"/>
      <c r="Q3" s="353"/>
      <c r="R3" s="354"/>
      <c r="S3" s="1494">
        <f>INDEX(PT_DIFFERENTIATION_NUM_TER,MATCH(B3,PT_DIFFERENTIATION_TER_ID,0))</f>
      </c>
      <c r="T3" s="309" t="s">
        <v>527</v>
      </c>
      <c r="U3" s="301"/>
      <c r="V3" s="2243"/>
      <c r="W3" s="2244"/>
      <c r="X3" s="2244"/>
      <c r="Y3" s="2244"/>
      <c r="Z3" s="2244"/>
      <c r="AA3" s="2244"/>
      <c r="AB3" s="2244"/>
      <c r="AC3" s="2244"/>
      <c r="AD3" s="2244"/>
      <c r="AE3" s="2244"/>
      <c r="AF3" s="2245"/>
      <c r="AG3" s="2243">
        <f>INDEX(PT_DIFFERENTIATION_TER,MATCH(B3,PT_DIFFERENTIATION_TER_ID,0))</f>
      </c>
      <c r="AH3" s="2244"/>
      <c r="AI3" s="2244"/>
      <c r="AJ3" s="2244"/>
      <c r="AK3" s="2244"/>
      <c r="AL3" s="2244"/>
      <c r="AM3" s="2244"/>
      <c r="AN3" s="2244"/>
      <c r="AO3" s="2244"/>
      <c r="AP3" s="2244"/>
      <c r="AQ3" s="2244"/>
      <c r="AR3" s="2245"/>
      <c r="AS3" s="1259" t="s">
        <v>528</v>
      </c>
      <c r="AU3" s="501"/>
      <c r="AV3" s="501" t="str">
        <f>IF(T3="","",T3)</f>
        <v>Территория действия тарифа</v>
      </c>
      <c r="AW3" s="501"/>
      <c r="AX3" s="501"/>
      <c r="AY3" s="1156">
        <v>0</v>
      </c>
    </row>
    <row customHeight="1" ht="23.25" hidden="1">
      <c r="A4" s="1364"/>
      <c r="B4" s="1364"/>
      <c r="C4" s="1364"/>
      <c r="D4" s="1364"/>
      <c r="E4" s="2260"/>
      <c r="F4" s="2260"/>
      <c r="G4" s="2259">
        <v>1</v>
      </c>
      <c r="H4" s="1364"/>
      <c r="I4" s="1364"/>
      <c r="J4" s="1364"/>
      <c r="K4" s="1364"/>
      <c r="L4" s="1365"/>
      <c r="M4" s="1366"/>
      <c r="N4" s="1366"/>
      <c r="O4" s="1366"/>
      <c r="P4" s="355"/>
      <c r="Q4" s="353"/>
      <c r="R4" s="354"/>
      <c r="S4" s="1494">
        <f>INDEX(PT_DIFFERENTIATION_NUM_CS,MATCH(C4,PT_DIFFERENTIATION_CS_ID,0))</f>
      </c>
      <c r="T4" s="310" t="s">
        <v>661</v>
      </c>
      <c r="U4" s="301"/>
      <c r="V4" s="2243"/>
      <c r="W4" s="2244"/>
      <c r="X4" s="2244"/>
      <c r="Y4" s="2244"/>
      <c r="Z4" s="2244"/>
      <c r="AA4" s="2244"/>
      <c r="AB4" s="2244"/>
      <c r="AC4" s="2244"/>
      <c r="AD4" s="2244"/>
      <c r="AE4" s="2244"/>
      <c r="AF4" s="2245"/>
      <c r="AG4" s="2243">
        <f>INDEX(PT_DIFFERENTIATION_CS,MATCH(C4,PT_DIFFERENTIATION_CS_ID,0))</f>
      </c>
      <c r="AH4" s="2244"/>
      <c r="AI4" s="2244"/>
      <c r="AJ4" s="2244"/>
      <c r="AK4" s="2244"/>
      <c r="AL4" s="2244"/>
      <c r="AM4" s="2244"/>
      <c r="AN4" s="2244"/>
      <c r="AO4" s="2244"/>
      <c r="AP4" s="2244"/>
      <c r="AQ4" s="2244"/>
      <c r="AR4" s="2245"/>
      <c r="AS4" s="1259" t="s">
        <v>662</v>
      </c>
      <c r="AU4" s="501"/>
      <c r="AV4" s="501" t="str">
        <f>IF(T4="","",T4)</f>
        <v>Наименование централизованной системы горячего водоснабжения</v>
      </c>
      <c r="AW4" s="501"/>
      <c r="AX4" s="501"/>
      <c r="AY4" s="1156">
        <v>0</v>
      </c>
    </row>
    <row customHeight="1" ht="23.25" hidden="1">
      <c r="A5" s="1364"/>
      <c r="B5" s="1364"/>
      <c r="C5" s="1364"/>
      <c r="D5" s="1364"/>
      <c r="E5" s="2260"/>
      <c r="F5" s="2260"/>
      <c r="G5" s="2260"/>
      <c r="H5" s="2260"/>
      <c r="I5" s="2257">
        <f>S4&amp;".1"</f>
      </c>
      <c r="J5" s="1364"/>
      <c r="K5" s="1364"/>
      <c r="L5" s="1365"/>
      <c r="P5" s="2258">
        <v>1</v>
      </c>
      <c r="Q5" s="1482"/>
      <c r="R5" s="357"/>
      <c r="S5" s="1494">
        <f>$I5</f>
      </c>
      <c r="T5" s="286" t="s">
        <v>614</v>
      </c>
      <c r="U5" s="301"/>
      <c r="V5" s="2351"/>
      <c r="W5" s="2352"/>
      <c r="X5" s="2352"/>
      <c r="Y5" s="2352"/>
      <c r="Z5" s="2352"/>
      <c r="AA5" s="2352"/>
      <c r="AB5" s="2352"/>
      <c r="AC5" s="2352"/>
      <c r="AD5" s="2352"/>
      <c r="AE5" s="2352"/>
      <c r="AF5" s="2353"/>
      <c r="AG5" s="2354"/>
      <c r="AH5" s="2355"/>
      <c r="AI5" s="2355"/>
      <c r="AJ5" s="2355"/>
      <c r="AK5" s="2355"/>
      <c r="AL5" s="2355"/>
      <c r="AM5" s="2355"/>
      <c r="AN5" s="2355"/>
      <c r="AO5" s="2355"/>
      <c r="AP5" s="2355"/>
      <c r="AQ5" s="2355"/>
      <c r="AR5" s="2356"/>
      <c r="AS5" s="1259" t="s">
        <v>615</v>
      </c>
      <c r="AU5" s="501"/>
      <c r="AV5" s="501" t="str">
        <f>IF(T5="","",T5)</f>
        <v>Наименование признака дифференциации</v>
      </c>
      <c r="AW5" s="501"/>
      <c r="AX5" s="501"/>
      <c r="AY5" s="1156">
        <v>0</v>
      </c>
    </row>
    <row customHeight="1" ht="23.25" hidden="1">
      <c r="A6" s="1364"/>
      <c r="B6" s="1364"/>
      <c r="C6" s="1364"/>
      <c r="D6" s="1364"/>
      <c r="E6" s="2260"/>
      <c r="F6" s="2260"/>
      <c r="G6" s="2260"/>
      <c r="H6" s="2260"/>
      <c r="I6" s="2287"/>
      <c r="J6" s="2257">
        <f>I5&amp;".1"</f>
      </c>
      <c r="K6" s="1364"/>
      <c r="L6" s="1365" t="s">
        <v>536</v>
      </c>
      <c r="P6" s="2258"/>
      <c r="Q6" s="2258">
        <v>1</v>
      </c>
      <c r="R6" s="358"/>
      <c r="S6" s="1494">
        <f>$J6</f>
      </c>
      <c r="T6" s="287" t="s">
        <v>537</v>
      </c>
      <c r="U6" s="301"/>
      <c r="V6" s="2246"/>
      <c r="W6" s="2247"/>
      <c r="X6" s="2247"/>
      <c r="Y6" s="2247"/>
      <c r="Z6" s="2247"/>
      <c r="AA6" s="2247"/>
      <c r="AB6" s="2247"/>
      <c r="AC6" s="2247"/>
      <c r="AD6" s="2247"/>
      <c r="AE6" s="2247"/>
      <c r="AF6" s="2248"/>
      <c r="AG6" s="2246"/>
      <c r="AH6" s="2247"/>
      <c r="AI6" s="2247"/>
      <c r="AJ6" s="2247"/>
      <c r="AK6" s="2247"/>
      <c r="AL6" s="2247"/>
      <c r="AM6" s="2247"/>
      <c r="AN6" s="2247"/>
      <c r="AO6" s="2247"/>
      <c r="AP6" s="2247"/>
      <c r="AQ6" s="2247"/>
      <c r="AR6" s="2248"/>
      <c r="AS6" s="1308" t="s">
        <v>616</v>
      </c>
      <c r="AU6" s="501"/>
      <c r="AV6" s="501" t="str">
        <f>IF(T6="","",T6)</f>
        <v>Группа потребителей</v>
      </c>
      <c r="AW6" s="501"/>
      <c r="AX6" s="501"/>
      <c r="AY6" s="1156">
        <v>0</v>
      </c>
    </row>
    <row customHeight="1" ht="23.25" hidden="1">
      <c r="A7" s="1364"/>
      <c r="B7" s="1364"/>
      <c r="C7" s="1364"/>
      <c r="D7" s="1364"/>
      <c r="E7" s="2260"/>
      <c r="F7" s="2260"/>
      <c r="G7" s="2260"/>
      <c r="H7" s="2260"/>
      <c r="I7" s="2287"/>
      <c r="J7" s="2287"/>
      <c r="K7" s="2257">
        <f>J6&amp;".1"</f>
      </c>
      <c r="L7" s="1365"/>
      <c r="P7" s="2258"/>
      <c r="Q7" s="2258"/>
      <c r="R7" s="358">
        <v>1</v>
      </c>
      <c r="S7" s="1494">
        <f>$K7</f>
      </c>
      <c r="T7" s="1438"/>
      <c r="U7" s="301"/>
      <c r="V7" s="752"/>
      <c r="W7" s="752"/>
      <c r="X7" s="752"/>
      <c r="Y7" s="752"/>
      <c r="Z7" s="752"/>
      <c r="AA7" s="752"/>
      <c r="AB7" s="752"/>
      <c r="AC7" s="2266"/>
      <c r="AD7" s="2108" t="s">
        <v>65</v>
      </c>
      <c r="AE7" s="2266"/>
      <c r="AF7" s="2108" t="s">
        <v>65</v>
      </c>
      <c r="AG7" s="752"/>
      <c r="AH7" s="752"/>
      <c r="AI7" s="752"/>
      <c r="AJ7" s="752"/>
      <c r="AK7" s="752"/>
      <c r="AL7" s="752"/>
      <c r="AM7" s="752"/>
      <c r="AN7" s="2266"/>
      <c r="AO7" s="2108" t="s">
        <v>65</v>
      </c>
      <c r="AP7" s="2288"/>
      <c r="AQ7" s="2108" t="s">
        <v>65</v>
      </c>
      <c r="AR7" s="1439"/>
      <c r="AS7" s="2350"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7" s="512">
        <f>STRCHECKDATE(V8:AR8)</f>
      </c>
      <c r="AU7" s="501"/>
      <c r="AV7" s="501" t="str">
        <f>IF(T7="","",T7)</f>
        <v/>
      </c>
      <c r="AW7" s="501"/>
      <c r="AX7" s="501"/>
      <c r="AY7" s="1156">
        <v>0</v>
      </c>
    </row>
    <row customHeight="1" ht="14.25" hidden="1">
      <c r="A8" s="1364"/>
      <c r="B8" s="1364"/>
      <c r="C8" s="1364"/>
      <c r="D8" s="1364"/>
      <c r="E8" s="2260"/>
      <c r="F8" s="2260"/>
      <c r="G8" s="2260"/>
      <c r="H8" s="2260"/>
      <c r="I8" s="2287"/>
      <c r="J8" s="2287"/>
      <c r="K8" s="2257"/>
      <c r="L8" s="1365"/>
      <c r="P8" s="2258"/>
      <c r="Q8" s="2258"/>
      <c r="R8" s="358"/>
      <c r="S8" s="1491"/>
      <c r="T8" s="301"/>
      <c r="U8" s="301"/>
      <c r="V8" s="326"/>
      <c r="W8" s="326"/>
      <c r="X8" s="326"/>
      <c r="Y8" s="326"/>
      <c r="Z8" s="326"/>
      <c r="AA8" s="326"/>
      <c r="AB8" s="326"/>
      <c r="AC8" s="2267"/>
      <c r="AD8" s="2108"/>
      <c r="AE8" s="2267"/>
      <c r="AF8" s="2108"/>
      <c r="AG8" s="326"/>
      <c r="AH8" s="326"/>
      <c r="AI8" s="326"/>
      <c r="AJ8" s="326"/>
      <c r="AK8" s="326"/>
      <c r="AL8" s="326"/>
      <c r="AM8" s="326"/>
      <c r="AN8" s="2267"/>
      <c r="AO8" s="2108"/>
      <c r="AP8" s="2289"/>
      <c r="AQ8" s="2108"/>
      <c r="AR8" s="1440"/>
      <c r="AS8" s="2350"/>
      <c r="AU8" s="501"/>
      <c r="AV8" s="501" t="str">
        <f>IF(T8="","",T8)</f>
        <v/>
      </c>
      <c r="AW8" s="501"/>
      <c r="AX8" s="501"/>
      <c r="AY8" s="1156">
        <v>0</v>
      </c>
    </row>
    <row customHeight="1" ht="21" hidden="1">
      <c r="A9" s="1364"/>
      <c r="B9" s="1364"/>
      <c r="C9" s="1364"/>
      <c r="D9" s="1364"/>
      <c r="E9" s="2260"/>
      <c r="F9" s="2260"/>
      <c r="G9" s="2260"/>
      <c r="H9" s="2260"/>
      <c r="I9" s="2287"/>
      <c r="J9" s="2257"/>
      <c r="K9" s="1364"/>
      <c r="L9" s="1365"/>
      <c r="P9" s="2258"/>
      <c r="Q9" s="2258"/>
      <c r="R9" s="357"/>
      <c r="S9" s="1279"/>
      <c r="T9" s="288" t="s">
        <v>617</v>
      </c>
      <c r="U9" s="368"/>
      <c r="V9" s="368"/>
      <c r="W9" s="601"/>
      <c r="X9" s="601"/>
      <c r="Y9" s="601"/>
      <c r="Z9" s="601"/>
      <c r="AA9" s="601"/>
      <c r="AB9" s="601"/>
      <c r="AC9" s="368"/>
      <c r="AD9" s="368"/>
      <c r="AE9" s="368"/>
      <c r="AF9" s="368"/>
      <c r="AG9" s="368"/>
      <c r="AH9" s="601"/>
      <c r="AI9" s="601"/>
      <c r="AJ9" s="601"/>
      <c r="AK9" s="601"/>
      <c r="AL9" s="601"/>
      <c r="AM9" s="368"/>
      <c r="AN9" s="368"/>
      <c r="AO9" s="368"/>
      <c r="AP9" s="368"/>
      <c r="AQ9" s="368"/>
      <c r="AR9" s="368"/>
      <c r="AS9" s="1259" t="s">
        <v>618</v>
      </c>
      <c r="AU9" s="501"/>
      <c r="AV9" s="501" t="str">
        <f>IF(T9="","",T9)</f>
        <v>Добавить значение признака дифференциации</v>
      </c>
      <c r="AW9" s="501"/>
      <c r="AX9" s="501"/>
      <c r="AY9" s="1156">
        <v>0</v>
      </c>
    </row>
    <row customHeight="1" ht="21" hidden="1">
      <c r="A10" s="1364"/>
      <c r="B10" s="1364"/>
      <c r="C10" s="1364"/>
      <c r="D10" s="1364"/>
      <c r="E10" s="2260"/>
      <c r="F10" s="2260"/>
      <c r="G10" s="2260"/>
      <c r="H10" s="2260"/>
      <c r="I10" s="2257"/>
      <c r="J10" s="1364"/>
      <c r="K10" s="1364"/>
      <c r="L10" s="1365"/>
      <c r="P10" s="2258"/>
      <c r="Q10" s="1482"/>
      <c r="R10" s="357"/>
      <c r="S10" s="1279"/>
      <c r="T10" s="366" t="s">
        <v>542</v>
      </c>
      <c r="U10" s="368"/>
      <c r="V10" s="368"/>
      <c r="W10" s="601"/>
      <c r="X10" s="601"/>
      <c r="Y10" s="601"/>
      <c r="Z10" s="601"/>
      <c r="AA10" s="601"/>
      <c r="AB10" s="601"/>
      <c r="AC10" s="368"/>
      <c r="AD10" s="368"/>
      <c r="AE10" s="368"/>
      <c r="AF10" s="367"/>
      <c r="AG10" s="368"/>
      <c r="AH10" s="601"/>
      <c r="AI10" s="601"/>
      <c r="AJ10" s="601"/>
      <c r="AK10" s="601"/>
      <c r="AL10" s="601"/>
      <c r="AM10" s="368"/>
      <c r="AN10" s="368"/>
      <c r="AO10" s="368"/>
      <c r="AP10" s="368"/>
      <c r="AQ10" s="367"/>
      <c r="AR10" s="368"/>
      <c r="AS10" s="1441"/>
      <c r="AU10" s="501"/>
      <c r="AV10" s="501" t="str">
        <f>IF(T10="","",T10)</f>
        <v>Добавить группу потребителей</v>
      </c>
      <c r="AW10" s="501"/>
      <c r="AX10" s="501"/>
      <c r="AY10" s="1156">
        <v>0</v>
      </c>
    </row>
    <row customHeight="1" ht="21" hidden="1">
      <c r="A11" s="1364"/>
      <c r="B11" s="1364"/>
      <c r="C11" s="1364"/>
      <c r="D11" s="1364"/>
      <c r="E11" s="2260"/>
      <c r="F11" s="2260"/>
      <c r="G11" s="2260"/>
      <c r="H11" s="2259"/>
      <c r="I11" s="1364"/>
      <c r="J11" s="1364"/>
      <c r="K11" s="1364"/>
      <c r="L11" s="1365"/>
      <c r="M11" s="1366"/>
      <c r="N11" s="1366"/>
      <c r="O11" s="538"/>
      <c r="P11" s="361"/>
      <c r="Q11" s="376"/>
      <c r="R11" s="356"/>
      <c r="S11" s="1279"/>
      <c r="T11" s="373" t="s">
        <v>619</v>
      </c>
      <c r="U11" s="368"/>
      <c r="V11" s="368"/>
      <c r="W11" s="601"/>
      <c r="X11" s="601"/>
      <c r="Y11" s="601"/>
      <c r="Z11" s="601"/>
      <c r="AA11" s="601"/>
      <c r="AB11" s="601"/>
      <c r="AC11" s="368"/>
      <c r="AD11" s="368"/>
      <c r="AE11" s="368"/>
      <c r="AF11" s="367"/>
      <c r="AG11" s="368"/>
      <c r="AH11" s="601"/>
      <c r="AI11" s="601"/>
      <c r="AJ11" s="601"/>
      <c r="AK11" s="601"/>
      <c r="AL11" s="601"/>
      <c r="AM11" s="368"/>
      <c r="AN11" s="368"/>
      <c r="AO11" s="368"/>
      <c r="AP11" s="368"/>
      <c r="AQ11" s="367"/>
      <c r="AR11" s="368"/>
      <c r="AS11" s="304"/>
      <c r="AU11" s="501"/>
      <c r="AV11" s="501" t="str">
        <f>IF(T11="","",T11)</f>
        <v>Добавить наименование признака дифференциации</v>
      </c>
      <c r="AW11" s="501"/>
      <c r="AX11" s="501"/>
      <c r="AY11" s="1156">
        <v>0</v>
      </c>
    </row>
    <row s="1643" customFormat="1" customHeight="1" ht="14.25" hidden="1">
      <c r="A12" s="1344"/>
      <c r="B12" s="1344"/>
      <c r="C12" s="1315"/>
      <c r="D12" s="1315"/>
      <c r="E12" s="2260"/>
      <c r="F12" s="2259"/>
      <c r="G12" s="1315"/>
      <c r="H12" s="1315"/>
      <c r="I12" s="1315"/>
      <c r="J12" s="1315"/>
      <c r="K12" s="1315"/>
      <c r="L12" s="1495"/>
      <c r="M12" s="1322"/>
      <c r="N12" s="1322"/>
      <c r="P12" s="1317"/>
      <c r="Q12" s="1318"/>
      <c r="R12" s="1317"/>
      <c r="S12" s="1323"/>
      <c r="T12" s="1326" t="s">
        <v>178</v>
      </c>
      <c r="U12" s="1325"/>
      <c r="V12" s="1325"/>
      <c r="W12" s="1325"/>
      <c r="X12" s="1325"/>
      <c r="Y12" s="1325"/>
      <c r="Z12" s="1325"/>
      <c r="AA12" s="1325"/>
      <c r="AB12" s="1325"/>
      <c r="AC12" s="1325"/>
      <c r="AD12" s="1325"/>
      <c r="AE12" s="1325"/>
      <c r="AF12" s="1325"/>
      <c r="AG12" s="1325"/>
      <c r="AH12" s="1325"/>
      <c r="AI12" s="1325"/>
      <c r="AJ12" s="1325"/>
      <c r="AK12" s="1325"/>
      <c r="AL12" s="1325"/>
      <c r="AM12" s="1325"/>
      <c r="AN12" s="1325"/>
      <c r="AO12" s="1325"/>
      <c r="AP12" s="1325"/>
      <c r="AQ12" s="1325"/>
      <c r="AR12" s="1325"/>
      <c r="AS12" s="1325"/>
      <c r="AU12" s="790"/>
      <c r="AV12" s="790" t="str">
        <f>IF(T12="","",T12)</f>
        <v>Добавить централизованную систему для дифференциации</v>
      </c>
      <c r="AW12" s="790"/>
      <c r="AX12" s="790"/>
      <c r="AY12" s="519">
        <v>0</v>
      </c>
    </row>
    <row s="1643" customFormat="1" customHeight="1" ht="14.25" hidden="1">
      <c r="A13" s="1344"/>
      <c r="B13" s="1344"/>
      <c r="C13" s="1344"/>
      <c r="D13" s="1344"/>
      <c r="E13" s="2259"/>
      <c r="F13" s="1344"/>
      <c r="G13" s="1344"/>
      <c r="H13" s="1344"/>
      <c r="I13" s="1344"/>
      <c r="J13" s="1344"/>
      <c r="K13" s="1344"/>
      <c r="L13" s="1347"/>
      <c r="M13" s="1322"/>
      <c r="N13" s="1322"/>
      <c r="O13" s="519"/>
      <c r="P13" s="381"/>
      <c r="Q13" s="1345"/>
      <c r="R13" s="381"/>
      <c r="S13" s="1323"/>
      <c r="T13" s="1326" t="s">
        <v>183</v>
      </c>
      <c r="U13" s="1325"/>
      <c r="V13" s="1325"/>
      <c r="W13" s="1325"/>
      <c r="X13" s="1325"/>
      <c r="Y13" s="1325"/>
      <c r="Z13" s="1325"/>
      <c r="AA13" s="1325"/>
      <c r="AB13" s="1325"/>
      <c r="AC13" s="1325"/>
      <c r="AD13" s="1325"/>
      <c r="AE13" s="1325"/>
      <c r="AF13" s="1325"/>
      <c r="AG13" s="1325"/>
      <c r="AH13" s="1325"/>
      <c r="AI13" s="1325"/>
      <c r="AJ13" s="1325"/>
      <c r="AK13" s="1325"/>
      <c r="AL13" s="1325"/>
      <c r="AM13" s="1325"/>
      <c r="AN13" s="1325"/>
      <c r="AO13" s="1325"/>
      <c r="AP13" s="1325"/>
      <c r="AQ13" s="1325"/>
      <c r="AR13" s="1325"/>
      <c r="AS13" s="1325"/>
      <c r="AU13" s="501"/>
      <c r="AV13" s="501" t="str">
        <f>IF(T13="","",T13)</f>
        <v>Добавить территорию для дифференциации</v>
      </c>
      <c r="AW13" s="501"/>
      <c r="AX13" s="501"/>
      <c r="AY13" s="512">
        <v>0</v>
      </c>
    </row>
    <row customHeight="1" ht="14.25" hidden="1">
      <c r="AF14" s="328"/>
      <c r="AQ14" s="328"/>
      <c r="AY14" s="1156">
        <v>0</v>
      </c>
    </row>
    <row customHeight="1" ht="14.25" hidden="1">
      <c r="AG15" s="1361"/>
      <c r="AH15" s="1361"/>
      <c r="AI15" s="1361"/>
      <c r="AJ15" s="1361"/>
      <c r="AK15" s="1361"/>
      <c r="AL15" s="1361"/>
      <c r="AM15" s="1361"/>
      <c r="AN15" s="2268"/>
      <c r="AO15" s="2269" t="s">
        <v>65</v>
      </c>
      <c r="AP15" s="2268"/>
      <c r="AQ15" s="2269" t="s">
        <v>65</v>
      </c>
      <c r="AY15" s="1156">
        <v>0</v>
      </c>
    </row>
    <row customHeight="1" ht="14.25" hidden="1">
      <c r="AG16" s="1361"/>
      <c r="AH16" s="1361"/>
      <c r="AI16" s="1361"/>
      <c r="AJ16" s="1361"/>
      <c r="AK16" s="1361"/>
      <c r="AL16" s="1361"/>
      <c r="AM16" s="1361"/>
      <c r="AN16" s="2269"/>
      <c r="AO16" s="2269"/>
      <c r="AP16" s="2269"/>
      <c r="AQ16" s="2269"/>
      <c r="AY16" s="1156">
        <v>0</v>
      </c>
    </row>
    <row customHeight="1" ht="14.25" hidden="1">
      <c r="AQ17" s="328"/>
      <c r="AY17" s="1156">
        <v>0</v>
      </c>
    </row>
    <row s="1367" customFormat="1" customHeight="1" ht="22.5" hidden="1">
      <c r="L18" s="1479"/>
      <c r="M18" s="1363"/>
      <c r="N18" s="1363"/>
      <c r="O18" s="1368" t="s">
        <v>544</v>
      </c>
      <c r="P18" s="1363"/>
      <c r="Q18" s="1372"/>
      <c r="R18" s="1372"/>
      <c r="S18" s="730"/>
      <c r="W18" s="1367"/>
      <c r="X18" s="1367"/>
      <c r="Y18" s="1367"/>
      <c r="Z18" s="1367"/>
      <c r="AA18" s="1367"/>
      <c r="AB18" s="1367"/>
      <c r="AC18" s="1368"/>
      <c r="AE18" s="1368"/>
      <c r="AF18" s="1367"/>
      <c r="AH18" s="1367"/>
      <c r="AI18" s="1367"/>
      <c r="AJ18" s="1367"/>
      <c r="AK18" s="1367"/>
      <c r="AL18" s="1367"/>
      <c r="AN18" s="1368"/>
      <c r="AP18" s="1368"/>
      <c r="AQ18" s="1367"/>
      <c r="AT18" s="512"/>
      <c r="AU18" s="512"/>
      <c r="AV18" s="512"/>
      <c r="AW18" s="512"/>
      <c r="AX18" s="512"/>
      <c r="AY18" s="1161">
        <v>0</v>
      </c>
    </row>
    <row s="1367" customFormat="1" customHeight="1" ht="14.25" hidden="1">
      <c r="L19" s="1479"/>
      <c r="M19" s="1363"/>
      <c r="N19" s="1363"/>
      <c r="O19" s="1363"/>
      <c r="P19" s="1363"/>
      <c r="Q19" s="1372"/>
      <c r="R19" s="1372"/>
      <c r="S19" s="730"/>
      <c r="W19" s="1367"/>
      <c r="X19" s="1367"/>
      <c r="Y19" s="1367"/>
      <c r="Z19" s="1367"/>
      <c r="AA19" s="1367"/>
      <c r="AB19" s="1367"/>
      <c r="AF19" s="1367"/>
      <c r="AH19" s="1367"/>
      <c r="AI19" s="1367"/>
      <c r="AJ19" s="1367"/>
      <c r="AK19" s="1367"/>
      <c r="AL19" s="1367"/>
      <c r="AQ19" s="1367"/>
      <c r="AT19" s="512"/>
      <c r="AU19" s="512"/>
      <c r="AV19" s="512"/>
      <c r="AW19" s="512"/>
      <c r="AX19" s="512"/>
      <c r="AY19" s="1161">
        <v>0</v>
      </c>
    </row>
    <row s="1367" customFormat="1" customHeight="1" ht="12" hidden="1">
      <c r="L20" s="1479"/>
      <c r="M20" s="1363"/>
      <c r="N20" s="1363"/>
      <c r="O20" s="1365" t="s">
        <v>545</v>
      </c>
      <c r="P20" s="1363"/>
      <c r="Q20" s="1443"/>
      <c r="R20" s="1443"/>
      <c r="S20" s="730"/>
      <c r="T20" s="1161" t="s">
        <v>546</v>
      </c>
      <c r="W20" s="1367"/>
      <c r="X20" s="1367"/>
      <c r="Y20" s="1367"/>
      <c r="Z20" s="1367"/>
      <c r="AA20" s="1367"/>
      <c r="AB20" s="1367"/>
      <c r="AD20" s="187" t="s">
        <v>547</v>
      </c>
      <c r="AF20" s="187" t="s">
        <v>548</v>
      </c>
      <c r="AG20" s="1161" t="s">
        <v>546</v>
      </c>
      <c r="AH20" s="1367"/>
      <c r="AI20" s="1367"/>
      <c r="AJ20" s="1367"/>
      <c r="AK20" s="1367"/>
      <c r="AL20" s="1367"/>
      <c r="AO20" s="187" t="s">
        <v>549</v>
      </c>
      <c r="AQ20" s="187" t="s">
        <v>548</v>
      </c>
      <c r="AY20" s="1161">
        <v>0</v>
      </c>
    </row>
    <row customHeight="1" ht="14.25" hidden="1">
      <c r="O21" s="1365"/>
      <c r="AY21" s="1156">
        <v>0</v>
      </c>
    </row>
    <row customHeight="1" ht="14.25" hidden="1">
      <c r="O22" s="1365"/>
      <c r="AY22" s="1156">
        <v>0</v>
      </c>
    </row>
    <row customHeight="1" ht="14.699999999999998">
      <c r="Q23" s="377"/>
      <c r="R23" s="377"/>
      <c r="S23" s="1276"/>
      <c r="T23" s="364"/>
      <c r="U23" s="364"/>
      <c r="V23" s="510"/>
      <c r="W23" s="1636"/>
      <c r="X23" s="1636"/>
      <c r="Y23" s="1636"/>
      <c r="Z23" s="1636"/>
      <c r="AA23" s="1636"/>
      <c r="AB23" s="1636"/>
      <c r="AC23" s="510"/>
      <c r="AD23" s="510"/>
      <c r="AE23" s="510"/>
      <c r="AF23" s="510"/>
      <c r="AG23" s="510"/>
      <c r="AH23" s="1636"/>
      <c r="AI23" s="1636"/>
      <c r="AJ23" s="1636"/>
      <c r="AK23" s="1636"/>
      <c r="AL23" s="1636"/>
      <c r="AM23" s="510"/>
      <c r="AN23" s="510"/>
      <c r="AO23" s="510"/>
      <c r="AP23" s="510"/>
      <c r="AQ23" s="510"/>
      <c r="AY23" s="1156">
        <v>14</v>
      </c>
    </row>
    <row customHeight="1" ht="26.25">
      <c r="Q24" s="377"/>
      <c r="R24" s="377"/>
      <c r="S24" s="2249" t="str">
        <f>IF(TEMPLATE_GROUP="P",PT_P_FORM_HOTVSNA_4_NAME_FORM,PT_R_FORM_HOTVSNA_16_NAME_FORM)</f>
        <v>Форма 2. Информация о тарифах в сфере горячего водоснабжения на товары (услуги) организации горячего водоснабжения, подлежащих регулированию</v>
      </c>
      <c r="T24" s="2249"/>
      <c r="U24" s="2249"/>
      <c r="V24" s="2249"/>
      <c r="W24" s="2249"/>
      <c r="X24" s="2249"/>
      <c r="Y24" s="2249"/>
      <c r="Z24" s="2249"/>
      <c r="AA24" s="2249"/>
      <c r="AB24" s="2249"/>
      <c r="AC24" s="2249"/>
      <c r="AD24" s="2249"/>
      <c r="AE24" s="2249"/>
      <c r="AF24" s="2249"/>
      <c r="AG24" s="2249"/>
      <c r="AH24" s="2249"/>
      <c r="AI24" s="2249"/>
      <c r="AJ24" s="2249"/>
      <c r="AK24" s="2249"/>
      <c r="AL24" s="2249"/>
      <c r="AM24" s="2249"/>
      <c r="AN24" s="2249"/>
      <c r="AO24" s="2249"/>
      <c r="AP24" s="2249"/>
      <c r="AQ24" s="1244"/>
      <c r="AY24" s="1156">
        <v>25</v>
      </c>
    </row>
    <row customHeight="1" ht="14.699999999999998">
      <c r="Q25" s="377"/>
      <c r="R25" s="377"/>
      <c r="S25" s="2250" t="str">
        <f>IF(org=0,"Не определено",org)</f>
        <v>ПАО "ТГК-1" (филиал "Кольский")</v>
      </c>
      <c r="T25" s="2250"/>
      <c r="U25" s="2250"/>
      <c r="V25" s="2250"/>
      <c r="W25" s="2250"/>
      <c r="X25" s="2250"/>
      <c r="Y25" s="2250"/>
      <c r="Z25" s="2250"/>
      <c r="AA25" s="2250"/>
      <c r="AB25" s="2250"/>
      <c r="AC25" s="2250"/>
      <c r="AD25" s="2250"/>
      <c r="AE25" s="2250"/>
      <c r="AF25" s="2250"/>
      <c r="AG25" s="2250"/>
      <c r="AH25" s="2250"/>
      <c r="AI25" s="2250"/>
      <c r="AJ25" s="2250"/>
      <c r="AK25" s="2250"/>
      <c r="AL25" s="2250"/>
      <c r="AM25" s="2250"/>
      <c r="AN25" s="2250"/>
      <c r="AO25" s="2250"/>
      <c r="AP25" s="2250"/>
      <c r="AQ25" s="1244"/>
      <c r="AY25" s="1156">
        <v>14</v>
      </c>
    </row>
    <row customHeight="1" ht="14.25">
      <c r="Q26" s="377"/>
      <c r="R26" s="377"/>
      <c r="S26" s="1276"/>
      <c r="T26" s="364"/>
      <c r="U26" s="364"/>
      <c r="V26" s="323"/>
      <c r="W26" s="323"/>
      <c r="X26" s="323"/>
      <c r="Y26" s="323"/>
      <c r="Z26" s="323"/>
      <c r="AA26" s="323"/>
      <c r="AB26" s="323"/>
      <c r="AC26" s="323"/>
      <c r="AD26" s="323"/>
      <c r="AE26" s="323"/>
      <c r="AF26" s="323"/>
      <c r="AG26" s="323"/>
      <c r="AH26" s="323"/>
      <c r="AI26" s="323"/>
      <c r="AJ26" s="323"/>
      <c r="AK26" s="323"/>
      <c r="AL26" s="323"/>
      <c r="AM26" s="323"/>
      <c r="AN26" s="323"/>
      <c r="AO26" s="323"/>
      <c r="AP26" s="323"/>
      <c r="AQ26" s="323"/>
      <c r="AR26" s="510"/>
      <c r="AY26" s="1156">
        <v>0</v>
      </c>
    </row>
    <row s="1854" customFormat="1" customHeight="1" ht="25.5">
      <c r="A27" s="1369"/>
      <c r="B27" s="1369"/>
      <c r="C27" s="1369"/>
      <c r="D27" s="1369"/>
      <c r="E27" s="1369"/>
      <c r="F27" s="1369"/>
      <c r="G27" s="1369"/>
      <c r="H27" s="1369"/>
      <c r="I27" s="1369"/>
      <c r="J27" s="1369"/>
      <c r="K27" s="1369"/>
      <c r="L27" s="1370"/>
      <c r="M27" s="1369"/>
      <c r="N27" s="1369"/>
      <c r="O27" s="1369"/>
      <c r="S27" s="2251" t="s">
        <v>42</v>
      </c>
      <c r="T27" s="2251"/>
      <c r="U27" s="1373"/>
      <c r="V27" s="2252" t="str">
        <f>IF(TITLE_NAME_OR_PR_CHANGE="",IF(TITLE_NAME_OR_PR="","",TITLE_NAME_OR_PR),TITLE_NAME_OR_PR_CHANGE)</f>
        <v>Комитет по тарифному регулированию Мурманской области</v>
      </c>
      <c r="W27" s="2252"/>
      <c r="X27" s="2252"/>
      <c r="Y27" s="2252"/>
      <c r="Z27" s="2252"/>
      <c r="AA27" s="2252"/>
      <c r="AB27" s="2252"/>
      <c r="AC27" s="2252"/>
      <c r="AD27" s="2252"/>
      <c r="AE27" s="2252"/>
      <c r="AF27" s="327"/>
      <c r="AG27" s="2252" t="str">
        <f>IF(TITLE_NAME_OR_PR_CHANGE="",IF(TITLE_NAME_OR_PR="","",TITLE_NAME_OR_PR),TITLE_NAME_OR_PR_CHANGE)</f>
        <v>Комитет по тарифному регулированию Мурманской области</v>
      </c>
      <c r="AH27" s="2252"/>
      <c r="AI27" s="2252"/>
      <c r="AJ27" s="2252"/>
      <c r="AK27" s="2252"/>
      <c r="AL27" s="2252"/>
      <c r="AM27" s="2252"/>
      <c r="AN27" s="2252"/>
      <c r="AO27" s="2252"/>
      <c r="AP27" s="2252"/>
      <c r="AQ27" s="327"/>
      <c r="AR27" s="327"/>
      <c r="AS27" s="281"/>
      <c r="AT27" s="369"/>
      <c r="AU27" s="369"/>
      <c r="AV27" s="369"/>
      <c r="AW27" s="369"/>
      <c r="AX27" s="369"/>
      <c r="AY27" s="419">
        <v>0</v>
      </c>
    </row>
    <row s="1854" customFormat="1" customHeight="1" ht="18.75">
      <c r="A28" s="1369"/>
      <c r="B28" s="1369"/>
      <c r="C28" s="1369"/>
      <c r="D28" s="1369"/>
      <c r="E28" s="1369"/>
      <c r="F28" s="1369"/>
      <c r="G28" s="1369"/>
      <c r="H28" s="1369"/>
      <c r="I28" s="1369"/>
      <c r="J28" s="1369"/>
      <c r="K28" s="1369"/>
      <c r="L28" s="1370"/>
      <c r="M28" s="1369"/>
      <c r="N28" s="1369"/>
      <c r="O28" s="1369"/>
      <c r="S28" s="2251" t="s">
        <v>550</v>
      </c>
      <c r="T28" s="2251"/>
      <c r="U28" s="1373"/>
      <c r="V28" s="2265" t="str">
        <f>IF(TITLE_DATE_PR_CHANGE="",IF(TITLE_DATE_PR="","",TITLE_DATE_PR),TITLE_DATE_PR_CHANGE)</f>
        <v>46010</v>
      </c>
      <c r="W28" s="2265"/>
      <c r="X28" s="2265"/>
      <c r="Y28" s="2265"/>
      <c r="Z28" s="2265"/>
      <c r="AA28" s="2265"/>
      <c r="AB28" s="2265"/>
      <c r="AC28" s="2265"/>
      <c r="AD28" s="2265"/>
      <c r="AE28" s="2265"/>
      <c r="AF28" s="327"/>
      <c r="AG28" s="2265" t="str">
        <f>IF(TITLE_DATE_PR_CHANGE="",IF(TITLE_DATE_PR="","",TITLE_DATE_PR),TITLE_DATE_PR_CHANGE)</f>
        <v>46010</v>
      </c>
      <c r="AH28" s="2265"/>
      <c r="AI28" s="2265"/>
      <c r="AJ28" s="2265"/>
      <c r="AK28" s="2265"/>
      <c r="AL28" s="2265"/>
      <c r="AM28" s="2265"/>
      <c r="AN28" s="2265"/>
      <c r="AO28" s="2265"/>
      <c r="AP28" s="2265"/>
      <c r="AQ28" s="327"/>
      <c r="AR28" s="327"/>
      <c r="AS28" s="281"/>
      <c r="AT28" s="369"/>
      <c r="AU28" s="369"/>
      <c r="AV28" s="369"/>
      <c r="AW28" s="369"/>
      <c r="AX28" s="369"/>
      <c r="AY28" s="419">
        <v>0</v>
      </c>
    </row>
    <row s="1854" customFormat="1" customHeight="1" ht="18.75">
      <c r="A29" s="1369"/>
      <c r="B29" s="1369"/>
      <c r="C29" s="1369"/>
      <c r="D29" s="1369"/>
      <c r="E29" s="1369"/>
      <c r="F29" s="1369"/>
      <c r="G29" s="1369"/>
      <c r="H29" s="1369"/>
      <c r="I29" s="1369"/>
      <c r="J29" s="1369"/>
      <c r="K29" s="1369"/>
      <c r="L29" s="1370"/>
      <c r="M29" s="1369"/>
      <c r="N29" s="1369"/>
      <c r="O29" s="1369"/>
      <c r="S29" s="2251" t="s">
        <v>551</v>
      </c>
      <c r="T29" s="2251"/>
      <c r="U29" s="1373"/>
      <c r="V29" s="2252" t="str">
        <f>IF(TITLE_NUMBER_PR_CHANGE="",IF(TITLE_NUMBER_PR="","",TITLE_NUMBER_PR),TITLE_NUMBER_PR_CHANGE)</f>
        <v>53/77; 53/49</v>
      </c>
      <c r="W29" s="2252"/>
      <c r="X29" s="2252"/>
      <c r="Y29" s="2252"/>
      <c r="Z29" s="2252"/>
      <c r="AA29" s="2252"/>
      <c r="AB29" s="2252"/>
      <c r="AC29" s="2252"/>
      <c r="AD29" s="2252"/>
      <c r="AE29" s="2252"/>
      <c r="AF29" s="327"/>
      <c r="AG29" s="2252" t="str">
        <f>IF(TITLE_NUMBER_PR_CHANGE="",IF(TITLE_NUMBER_PR="","",TITLE_NUMBER_PR),TITLE_NUMBER_PR_CHANGE)</f>
        <v>53/77; 53/49</v>
      </c>
      <c r="AH29" s="2252"/>
      <c r="AI29" s="2252"/>
      <c r="AJ29" s="2252"/>
      <c r="AK29" s="2252"/>
      <c r="AL29" s="2252"/>
      <c r="AM29" s="2252"/>
      <c r="AN29" s="2252"/>
      <c r="AO29" s="2252"/>
      <c r="AP29" s="2252"/>
      <c r="AQ29" s="327"/>
      <c r="AR29" s="327"/>
      <c r="AS29" s="281"/>
      <c r="AT29" s="369"/>
      <c r="AU29" s="369"/>
      <c r="AV29" s="369"/>
      <c r="AW29" s="369"/>
      <c r="AX29" s="369"/>
      <c r="AY29" s="419">
        <v>0</v>
      </c>
    </row>
    <row s="1854" customFormat="1" customHeight="1" ht="18.75">
      <c r="A30" s="1369"/>
      <c r="B30" s="1369"/>
      <c r="C30" s="1369"/>
      <c r="D30" s="1369"/>
      <c r="E30" s="1369"/>
      <c r="F30" s="1369"/>
      <c r="G30" s="1369"/>
      <c r="H30" s="1369"/>
      <c r="I30" s="1369"/>
      <c r="J30" s="1369"/>
      <c r="K30" s="1369"/>
      <c r="L30" s="1370"/>
      <c r="M30" s="1369"/>
      <c r="N30" s="1369"/>
      <c r="O30" s="1369"/>
      <c r="S30" s="2251" t="s">
        <v>44</v>
      </c>
      <c r="T30" s="2251"/>
      <c r="U30" s="1373"/>
      <c r="V30" s="2252" t="str">
        <f>IF(TITLE_IST_PUB_CHANGE="",IF(TITLE_IST_PUB="","",TITLE_IST_PUB),TITLE_IST_PUB_CHANGE)</f>
        <v>Официальный электронный бюллетень Правительства Мурманской области</v>
      </c>
      <c r="W30" s="2252"/>
      <c r="X30" s="2252"/>
      <c r="Y30" s="2252"/>
      <c r="Z30" s="2252"/>
      <c r="AA30" s="2252"/>
      <c r="AB30" s="2252"/>
      <c r="AC30" s="2252"/>
      <c r="AD30" s="2252"/>
      <c r="AE30" s="2252"/>
      <c r="AF30" s="327"/>
      <c r="AG30" s="2252" t="str">
        <f>IF(TITLE_IST_PUB_CHANGE="",IF(TITLE_IST_PUB="","",TITLE_IST_PUB),TITLE_IST_PUB_CHANGE)</f>
        <v>Официальный электронный бюллетень Правительства Мурманской области</v>
      </c>
      <c r="AH30" s="2252"/>
      <c r="AI30" s="2252"/>
      <c r="AJ30" s="2252"/>
      <c r="AK30" s="2252"/>
      <c r="AL30" s="2252"/>
      <c r="AM30" s="2252"/>
      <c r="AN30" s="2252"/>
      <c r="AO30" s="2252"/>
      <c r="AP30" s="2252"/>
      <c r="AQ30" s="327"/>
      <c r="AR30" s="327"/>
      <c r="AS30" s="281"/>
      <c r="AT30" s="369"/>
      <c r="AU30" s="369"/>
      <c r="AV30" s="369"/>
      <c r="AW30" s="369"/>
      <c r="AX30" s="369"/>
      <c r="AY30" s="419">
        <v>0</v>
      </c>
    </row>
    <row customHeight="1" ht="14.25" hidden="1">
      <c r="Q31" s="377"/>
      <c r="R31" s="377"/>
      <c r="S31" s="1276"/>
      <c r="T31" s="364"/>
      <c r="U31" s="364"/>
      <c r="V31" s="323"/>
      <c r="W31" s="323"/>
      <c r="X31" s="323"/>
      <c r="Y31" s="323"/>
      <c r="Z31" s="323"/>
      <c r="AA31" s="323"/>
      <c r="AB31" s="323"/>
      <c r="AC31" s="323"/>
      <c r="AD31" s="323"/>
      <c r="AE31" s="323"/>
      <c r="AF31" s="323"/>
      <c r="AG31" s="323"/>
      <c r="AH31" s="323"/>
      <c r="AI31" s="323"/>
      <c r="AJ31" s="323"/>
      <c r="AK31" s="323"/>
      <c r="AL31" s="323"/>
      <c r="AM31" s="323"/>
      <c r="AN31" s="323"/>
      <c r="AO31" s="323"/>
      <c r="AP31" s="323"/>
      <c r="AQ31" s="323"/>
      <c r="AR31" s="510"/>
      <c r="AY31" s="1156">
        <v>0</v>
      </c>
    </row>
    <row s="1854" customFormat="1" customHeight="1" ht="18.75" hidden="1">
      <c r="A32" s="1369"/>
      <c r="B32" s="1369"/>
      <c r="C32" s="1369"/>
      <c r="D32" s="1369"/>
      <c r="E32" s="1369"/>
      <c r="F32" s="1369"/>
      <c r="G32" s="1369"/>
      <c r="H32" s="1369"/>
      <c r="I32" s="1369"/>
      <c r="J32" s="1369"/>
      <c r="K32" s="1369"/>
      <c r="L32" s="1370"/>
      <c r="M32" s="1369"/>
      <c r="N32" s="1369"/>
      <c r="O32" s="1369"/>
      <c r="S32" s="2251" t="s">
        <v>552</v>
      </c>
      <c r="T32" s="2251"/>
      <c r="U32" s="1373"/>
      <c r="V32" s="2265" t="str">
        <f>IF(TITLE_DATE_PR_CHANGE="",IF(TITLE_DATE_PR="","",TITLE_DATE_PR),TITLE_DATE_PR_CHANGE)</f>
        <v>46010</v>
      </c>
      <c r="W32" s="2265"/>
      <c r="X32" s="2265"/>
      <c r="Y32" s="2265"/>
      <c r="Z32" s="2265"/>
      <c r="AA32" s="2265"/>
      <c r="AB32" s="2265"/>
      <c r="AC32" s="2265"/>
      <c r="AD32" s="2265"/>
      <c r="AE32" s="2265"/>
      <c r="AF32" s="327"/>
      <c r="AG32" s="2265" t="str">
        <f>IF(TITLE_DATE_PR_CHANGE="",IF(TITLE_DATE_PR="","",TITLE_DATE_PR),TITLE_DATE_PR_CHANGE)</f>
        <v>46010</v>
      </c>
      <c r="AH32" s="2265"/>
      <c r="AI32" s="2265"/>
      <c r="AJ32" s="2265"/>
      <c r="AK32" s="2265"/>
      <c r="AL32" s="2265"/>
      <c r="AM32" s="2265"/>
      <c r="AN32" s="2265"/>
      <c r="AO32" s="2265"/>
      <c r="AP32" s="2265"/>
      <c r="AQ32" s="327"/>
      <c r="AR32" s="327"/>
      <c r="AS32" s="281"/>
      <c r="AT32" s="369"/>
      <c r="AU32" s="369"/>
      <c r="AV32" s="369"/>
      <c r="AW32" s="369"/>
      <c r="AX32" s="369"/>
      <c r="AY32" s="419">
        <v>0</v>
      </c>
    </row>
    <row s="1854" customFormat="1" customHeight="1" ht="18.75" hidden="1">
      <c r="A33" s="1369"/>
      <c r="B33" s="1369"/>
      <c r="C33" s="1369"/>
      <c r="D33" s="1369"/>
      <c r="E33" s="1369"/>
      <c r="F33" s="1369"/>
      <c r="G33" s="1369"/>
      <c r="H33" s="1369"/>
      <c r="I33" s="1369"/>
      <c r="J33" s="1369"/>
      <c r="K33" s="1369"/>
      <c r="L33" s="1370"/>
      <c r="M33" s="1369"/>
      <c r="N33" s="1369"/>
      <c r="O33" s="1369"/>
      <c r="S33" s="2251" t="s">
        <v>553</v>
      </c>
      <c r="T33" s="2251"/>
      <c r="U33" s="1373"/>
      <c r="V33" s="2252" t="str">
        <f>IF(TITLE_NUMBER_PR_CHANGE="",IF(TITLE_NUMBER_PR="","",TITLE_NUMBER_PR),TITLE_NUMBER_PR_CHANGE)</f>
        <v>53/77; 53/49</v>
      </c>
      <c r="W33" s="2252"/>
      <c r="X33" s="2252"/>
      <c r="Y33" s="2252"/>
      <c r="Z33" s="2252"/>
      <c r="AA33" s="2252"/>
      <c r="AB33" s="2252"/>
      <c r="AC33" s="2252"/>
      <c r="AD33" s="2252"/>
      <c r="AE33" s="2252"/>
      <c r="AF33" s="327"/>
      <c r="AG33" s="2252" t="str">
        <f>IF(TITLE_NUMBER_PR_CHANGE="",IF(TITLE_NUMBER_PR="","",TITLE_NUMBER_PR),TITLE_NUMBER_PR_CHANGE)</f>
        <v>53/77; 53/49</v>
      </c>
      <c r="AH33" s="2252"/>
      <c r="AI33" s="2252"/>
      <c r="AJ33" s="2252"/>
      <c r="AK33" s="2252"/>
      <c r="AL33" s="2252"/>
      <c r="AM33" s="2252"/>
      <c r="AN33" s="2252"/>
      <c r="AO33" s="2252"/>
      <c r="AP33" s="2252"/>
      <c r="AQ33" s="327"/>
      <c r="AR33" s="327"/>
      <c r="AS33" s="281"/>
      <c r="AT33" s="369"/>
      <c r="AU33" s="369"/>
      <c r="AV33" s="369"/>
      <c r="AW33" s="369"/>
      <c r="AX33" s="369"/>
      <c r="AY33" s="419">
        <v>0</v>
      </c>
    </row>
    <row s="1854" customFormat="1" customHeight="1" ht="1.05">
      <c r="A34" s="1369"/>
      <c r="B34" s="1369"/>
      <c r="C34" s="1369"/>
      <c r="D34" s="1369"/>
      <c r="E34" s="1369"/>
      <c r="F34" s="1369"/>
      <c r="G34" s="1369"/>
      <c r="H34" s="1369"/>
      <c r="I34" s="1369"/>
      <c r="J34" s="1369"/>
      <c r="K34" s="1369"/>
      <c r="L34" s="1370"/>
      <c r="M34" s="1369"/>
      <c r="N34" s="1369"/>
      <c r="O34" s="1369"/>
      <c r="S34" s="324"/>
      <c r="T34" s="324"/>
      <c r="U34" s="1489"/>
      <c r="V34" s="327"/>
      <c r="W34" s="1636"/>
      <c r="X34" s="1636"/>
      <c r="Y34" s="1636"/>
      <c r="Z34" s="1636"/>
      <c r="AA34" s="1636"/>
      <c r="AB34" s="1636"/>
      <c r="AC34" s="327"/>
      <c r="AD34" s="327"/>
      <c r="AE34" s="327"/>
      <c r="AF34" s="279" t="s">
        <v>554</v>
      </c>
      <c r="AG34" s="327"/>
      <c r="AH34" s="1636"/>
      <c r="AI34" s="1636"/>
      <c r="AJ34" s="1636"/>
      <c r="AK34" s="1636"/>
      <c r="AL34" s="1636"/>
      <c r="AM34" s="327"/>
      <c r="AN34" s="327"/>
      <c r="AO34" s="327"/>
      <c r="AP34" s="327"/>
      <c r="AQ34" s="279" t="s">
        <v>554</v>
      </c>
      <c r="AT34" s="369"/>
      <c r="AU34" s="369"/>
      <c r="AV34" s="369"/>
      <c r="AW34" s="369"/>
      <c r="AX34" s="369"/>
      <c r="AY34" s="419">
        <v>1</v>
      </c>
    </row>
    <row customHeight="1" ht="14.699999999999998">
      <c r="Q35" s="377"/>
      <c r="R35" s="377"/>
      <c r="S35" s="1276"/>
      <c r="T35" s="364"/>
      <c r="U35" s="1245"/>
      <c r="V35" s="2253"/>
      <c r="W35" s="2253"/>
      <c r="X35" s="2253"/>
      <c r="Y35" s="2253"/>
      <c r="Z35" s="2253"/>
      <c r="AA35" s="2253"/>
      <c r="AB35" s="2253"/>
      <c r="AC35" s="2253"/>
      <c r="AD35" s="2253"/>
      <c r="AE35" s="2253"/>
      <c r="AF35" s="2253"/>
      <c r="AG35" s="2253"/>
      <c r="AH35" s="2253"/>
      <c r="AI35" s="2253"/>
      <c r="AJ35" s="2253"/>
      <c r="AK35" s="2253"/>
      <c r="AL35" s="2253"/>
      <c r="AM35" s="2253"/>
      <c r="AN35" s="2253"/>
      <c r="AO35" s="2253"/>
      <c r="AP35" s="2253"/>
      <c r="AQ35" s="2253"/>
      <c r="AY35" s="1156">
        <v>14</v>
      </c>
    </row>
    <row customHeight="1" ht="14.699999999999998">
      <c r="Q36" s="377"/>
      <c r="R36" s="377"/>
      <c r="S36" s="2128" t="s">
        <v>430</v>
      </c>
      <c r="T36" s="2128"/>
      <c r="U36" s="2128"/>
      <c r="V36" s="2128"/>
      <c r="W36" s="2128"/>
      <c r="X36" s="2128"/>
      <c r="Y36" s="2128"/>
      <c r="Z36" s="2128"/>
      <c r="AA36" s="2128"/>
      <c r="AB36" s="2128"/>
      <c r="AC36" s="2128"/>
      <c r="AD36" s="2128"/>
      <c r="AE36" s="2128"/>
      <c r="AF36" s="2128"/>
      <c r="AG36" s="2128"/>
      <c r="AH36" s="2128"/>
      <c r="AI36" s="2128"/>
      <c r="AJ36" s="2128"/>
      <c r="AK36" s="2128"/>
      <c r="AL36" s="2128"/>
      <c r="AM36" s="2128"/>
      <c r="AN36" s="2128"/>
      <c r="AO36" s="2128"/>
      <c r="AP36" s="2128"/>
      <c r="AQ36" s="2128"/>
      <c r="AR36" s="2128"/>
      <c r="AS36" s="2128" t="s">
        <v>431</v>
      </c>
      <c r="AY36" s="1156">
        <v>14</v>
      </c>
    </row>
    <row customHeight="1" ht="14.699999999999998">
      <c r="Q37" s="377"/>
      <c r="R37" s="377"/>
      <c r="S37" s="2274" t="s">
        <v>92</v>
      </c>
      <c r="T37" s="2210" t="s">
        <v>555</v>
      </c>
      <c r="U37" s="302"/>
      <c r="V37" s="2275" t="s">
        <v>556</v>
      </c>
      <c r="W37" s="2292"/>
      <c r="X37" s="2292"/>
      <c r="Y37" s="2292"/>
      <c r="Z37" s="2292"/>
      <c r="AA37" s="2292"/>
      <c r="AB37" s="2292"/>
      <c r="AC37" s="2276"/>
      <c r="AD37" s="2276"/>
      <c r="AE37" s="2277"/>
      <c r="AF37" s="2278" t="s">
        <v>557</v>
      </c>
      <c r="AG37" s="2275" t="s">
        <v>556</v>
      </c>
      <c r="AH37" s="2276"/>
      <c r="AI37" s="2276"/>
      <c r="AJ37" s="2276"/>
      <c r="AK37" s="2276"/>
      <c r="AL37" s="2276"/>
      <c r="AM37" s="2276"/>
      <c r="AN37" s="2276"/>
      <c r="AO37" s="2276"/>
      <c r="AP37" s="2277"/>
      <c r="AQ37" s="2278" t="s">
        <v>558</v>
      </c>
      <c r="AR37" s="2281" t="s">
        <v>559</v>
      </c>
      <c r="AS37" s="2128"/>
      <c r="AY37" s="1156">
        <v>14</v>
      </c>
    </row>
    <row customHeight="1" ht="19.95">
      <c r="Q38" s="377"/>
      <c r="R38" s="377"/>
      <c r="S38" s="2274"/>
      <c r="T38" s="2210"/>
      <c r="U38" s="1032"/>
      <c r="V38" s="2367" t="s">
        <v>663</v>
      </c>
      <c r="W38" s="2366" t="s">
        <v>664</v>
      </c>
      <c r="X38" s="2366"/>
      <c r="Y38" s="2366"/>
      <c r="Z38" s="2366" t="s">
        <v>665</v>
      </c>
      <c r="AA38" s="2366"/>
      <c r="AB38" s="2366"/>
      <c r="AC38" s="2295" t="s">
        <v>563</v>
      </c>
      <c r="AD38" s="2314"/>
      <c r="AE38" s="2315"/>
      <c r="AF38" s="2279"/>
      <c r="AG38" s="2367" t="s">
        <v>663</v>
      </c>
      <c r="AH38" s="2366" t="s">
        <v>664</v>
      </c>
      <c r="AI38" s="2366"/>
      <c r="AJ38" s="2366"/>
      <c r="AK38" s="2366" t="s">
        <v>665</v>
      </c>
      <c r="AL38" s="2366"/>
      <c r="AM38" s="2366"/>
      <c r="AN38" s="2295" t="s">
        <v>563</v>
      </c>
      <c r="AO38" s="2314"/>
      <c r="AP38" s="2315"/>
      <c r="AQ38" s="2279"/>
      <c r="AR38" s="2282"/>
      <c r="AS38" s="2128"/>
      <c r="AY38" s="1156">
        <v>19</v>
      </c>
    </row>
    <row s="1636" customFormat="1" customHeight="1" ht="19.95">
      <c r="A39" s="1367"/>
      <c r="B39" s="1367"/>
      <c r="C39" s="1367"/>
      <c r="D39" s="1367"/>
      <c r="E39" s="1367"/>
      <c r="F39" s="1367"/>
      <c r="G39" s="1367"/>
      <c r="H39" s="1367"/>
      <c r="I39" s="1367"/>
      <c r="J39" s="1367"/>
      <c r="K39" s="1367"/>
      <c r="L39" s="1952"/>
      <c r="M39" s="1363"/>
      <c r="N39" s="1363"/>
      <c r="O39" s="1363"/>
      <c r="P39" s="1966"/>
      <c r="Q39" s="377"/>
      <c r="R39" s="377"/>
      <c r="S39" s="2274"/>
      <c r="T39" s="2210"/>
      <c r="U39" s="1032"/>
      <c r="V39" s="2367"/>
      <c r="W39" s="2366" t="s">
        <v>666</v>
      </c>
      <c r="X39" s="2366" t="s">
        <v>667</v>
      </c>
      <c r="Y39" s="2366"/>
      <c r="Z39" s="2366" t="s">
        <v>668</v>
      </c>
      <c r="AA39" s="2366" t="s">
        <v>667</v>
      </c>
      <c r="AB39" s="2366"/>
      <c r="AC39" s="2296"/>
      <c r="AD39" s="2316"/>
      <c r="AE39" s="2317"/>
      <c r="AF39" s="2279"/>
      <c r="AG39" s="2367"/>
      <c r="AH39" s="2366" t="s">
        <v>666</v>
      </c>
      <c r="AI39" s="2366" t="s">
        <v>667</v>
      </c>
      <c r="AJ39" s="2366"/>
      <c r="AK39" s="2366" t="s">
        <v>668</v>
      </c>
      <c r="AL39" s="2366" t="s">
        <v>667</v>
      </c>
      <c r="AM39" s="2366"/>
      <c r="AN39" s="2296"/>
      <c r="AO39" s="2316"/>
      <c r="AP39" s="2317"/>
      <c r="AQ39" s="2279"/>
      <c r="AR39" s="2282"/>
      <c r="AS39" s="2128"/>
      <c r="AT39" s="1637"/>
      <c r="AU39" s="1637"/>
      <c r="AV39" s="1637"/>
      <c r="AW39" s="1637"/>
      <c r="AX39" s="1637"/>
      <c r="AY39" s="1632">
        <v>19</v>
      </c>
    </row>
    <row customHeight="1" ht="61.949999999999996">
      <c r="A40" s="1371"/>
      <c r="B40" s="1371" t="s">
        <v>148</v>
      </c>
      <c r="C40" s="1371" t="s">
        <v>149</v>
      </c>
      <c r="D40" s="1371" t="s">
        <v>150</v>
      </c>
      <c r="E40" s="1365" t="s">
        <v>564</v>
      </c>
      <c r="F40" s="1365" t="s">
        <v>565</v>
      </c>
      <c r="G40" s="1365" t="s">
        <v>566</v>
      </c>
      <c r="H40" s="1365"/>
      <c r="I40" s="1365" t="s">
        <v>621</v>
      </c>
      <c r="J40" s="1365" t="s">
        <v>569</v>
      </c>
      <c r="K40" s="1365" t="s">
        <v>622</v>
      </c>
      <c r="L40" s="1365" t="s">
        <v>545</v>
      </c>
      <c r="Q40" s="377"/>
      <c r="R40" s="377"/>
      <c r="S40" s="2274"/>
      <c r="T40" s="2210"/>
      <c r="U40" s="303"/>
      <c r="V40" s="2367"/>
      <c r="W40" s="2366"/>
      <c r="X40" s="1984" t="s">
        <v>669</v>
      </c>
      <c r="Y40" s="1984" t="s">
        <v>670</v>
      </c>
      <c r="Z40" s="2366"/>
      <c r="AA40" s="1984" t="s">
        <v>671</v>
      </c>
      <c r="AB40" s="1984" t="s">
        <v>672</v>
      </c>
      <c r="AC40" s="1490" t="s">
        <v>573</v>
      </c>
      <c r="AD40" s="2271" t="s">
        <v>574</v>
      </c>
      <c r="AE40" s="2272"/>
      <c r="AF40" s="2280"/>
      <c r="AG40" s="2367"/>
      <c r="AH40" s="2366"/>
      <c r="AI40" s="1984" t="s">
        <v>669</v>
      </c>
      <c r="AJ40" s="1984" t="s">
        <v>670</v>
      </c>
      <c r="AK40" s="2366"/>
      <c r="AL40" s="1984" t="s">
        <v>671</v>
      </c>
      <c r="AM40" s="1984" t="s">
        <v>672</v>
      </c>
      <c r="AN40" s="1490" t="s">
        <v>573</v>
      </c>
      <c r="AO40" s="2271" t="s">
        <v>574</v>
      </c>
      <c r="AP40" s="2272"/>
      <c r="AQ40" s="2280"/>
      <c r="AR40" s="2283"/>
      <c r="AS40" s="2128"/>
      <c r="AY40" s="1156">
        <v>59</v>
      </c>
    </row>
    <row s="1642" customFormat="1" customHeight="1" ht="11.25" hidden="1">
      <c r="A41" s="1371"/>
      <c r="B41" s="1371"/>
      <c r="C41" s="1371"/>
      <c r="D41" s="1371"/>
      <c r="E41" s="1371"/>
      <c r="F41" s="1371"/>
      <c r="G41" s="1371"/>
      <c r="H41" s="1371"/>
      <c r="I41" s="1371"/>
      <c r="J41" s="1371"/>
      <c r="K41" s="1371"/>
      <c r="L41" s="1365"/>
      <c r="M41" s="1363"/>
      <c r="N41" s="1363"/>
      <c r="O41" s="1363"/>
      <c r="P41" s="1247"/>
      <c r="Q41" s="1248"/>
      <c r="R41" s="1255">
        <v>1</v>
      </c>
      <c r="S41" s="1278" t="s">
        <v>123</v>
      </c>
      <c r="T41" s="1256" t="s">
        <v>107</v>
      </c>
      <c r="U41" s="1246" t="str">
        <f>OFFSET(U41,0,-1)</f>
        <v>2</v>
      </c>
      <c r="V41" s="1483">
        <f>OFFSET(V41,0,-1)+1</f>
        <v>3</v>
      </c>
      <c r="W41" s="1342"/>
      <c r="X41" s="1342"/>
      <c r="Y41" s="1342"/>
      <c r="Z41" s="1342"/>
      <c r="AA41" s="1342"/>
      <c r="AB41" s="1342"/>
      <c r="AC41" s="1483">
        <f>OFFSET(AC41,0,-1)+1</f>
        <v>1</v>
      </c>
      <c r="AD41" s="2273">
        <f>OFFSET(AD41,0,-1)+1</f>
        <v>2</v>
      </c>
      <c r="AE41" s="2273"/>
      <c r="AF41" s="1483">
        <f>OFFSET(AF41,0,-2)+1</f>
        <v>3</v>
      </c>
      <c r="AG41" s="1483">
        <f>OFFSET(AG41,0,-1)+1</f>
        <v>4</v>
      </c>
      <c r="AH41" s="1957"/>
      <c r="AI41" s="1957"/>
      <c r="AJ41" s="1957"/>
      <c r="AK41" s="1957"/>
      <c r="AL41" s="1957"/>
      <c r="AM41" s="1483">
        <f>OFFSET(AM41,0,-1)+1</f>
        <v>1</v>
      </c>
      <c r="AN41" s="1483">
        <f>OFFSET(AN41,0,-1)+1</f>
        <v>2</v>
      </c>
      <c r="AO41" s="2273">
        <f>OFFSET(AO41,0,-1)+1</f>
        <v>3</v>
      </c>
      <c r="AP41" s="2273"/>
      <c r="AQ41" s="1483">
        <f>OFFSET(AQ41,0,-2)+1</f>
        <v>4</v>
      </c>
      <c r="AR41" s="1246">
        <f>OFFSET(AR41,0,-1)</f>
        <v>4</v>
      </c>
      <c r="AS41" s="1483">
        <f>OFFSET(AS41,0,-1)+1</f>
        <v>5</v>
      </c>
      <c r="AT41" s="512"/>
      <c r="AU41" s="512"/>
      <c r="AV41" s="512"/>
      <c r="AW41" s="512"/>
      <c r="AX41" s="512"/>
      <c r="AY41" s="497">
        <v>0</v>
      </c>
    </row>
    <row customHeight="1" ht="24">
      <c r="A42" s="1364" t="s">
        <v>381</v>
      </c>
      <c r="B42" s="1364"/>
      <c r="C42" s="1364"/>
      <c r="D42" s="1364"/>
      <c r="E42" s="2259">
        <v>1</v>
      </c>
      <c r="F42" s="1364"/>
      <c r="G42" s="1364"/>
      <c r="H42" s="1364"/>
      <c r="I42" s="1364"/>
      <c r="J42" s="1364"/>
      <c r="K42" s="1364"/>
      <c r="L42" s="1365"/>
      <c r="M42" s="1366"/>
      <c r="N42" s="1366"/>
      <c r="O42" s="1366"/>
      <c r="P42" s="362"/>
      <c r="Q42" s="361"/>
      <c r="R42" s="356"/>
      <c r="S42" s="1494">
        <f>INDEX(PT_DIFFERENTIATION_NUM_NTAR,MATCH(A42,PT_DIFFERENTIATION_NTAR_ID,0))</f>
        <v>0</v>
      </c>
      <c r="T42" s="299" t="s">
        <v>136</v>
      </c>
      <c r="U42" s="301"/>
      <c r="V42" s="2243"/>
      <c r="W42" s="2244"/>
      <c r="X42" s="2244"/>
      <c r="Y42" s="2244"/>
      <c r="Z42" s="2244"/>
      <c r="AA42" s="2244"/>
      <c r="AB42" s="2244"/>
      <c r="AC42" s="2244"/>
      <c r="AD42" s="2244"/>
      <c r="AE42" s="2244"/>
      <c r="AF42" s="2245"/>
      <c r="AG42" s="2243" t="str">
        <f>INDEX(PT_DIFFERENTIATION_NTAR,MATCH(A42,PT_DIFFERENTIATION_NTAR_ID,0))</f>
        <v/>
      </c>
      <c r="AH42" s="2244"/>
      <c r="AI42" s="2244"/>
      <c r="AJ42" s="2244"/>
      <c r="AK42" s="2244"/>
      <c r="AL42" s="2244"/>
      <c r="AM42" s="2244"/>
      <c r="AN42" s="2244"/>
      <c r="AO42" s="2244"/>
      <c r="AP42" s="2244"/>
      <c r="AQ42" s="2244"/>
      <c r="AR42" s="2245"/>
      <c r="AS42" s="125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AU42" s="501"/>
      <c r="AV42" s="501" t="str">
        <f>IF(T42="","",T42)</f>
        <v>Наименование тарифа</v>
      </c>
      <c r="AW42" s="501"/>
      <c r="AX42" s="501"/>
      <c r="AY42" s="1156">
        <v>23</v>
      </c>
    </row>
    <row customHeight="1" ht="24">
      <c r="A43" s="1364" t="s">
        <v>381</v>
      </c>
      <c r="B43" s="1364" t="s">
        <v>382</v>
      </c>
      <c r="C43" s="1364"/>
      <c r="D43" s="1364"/>
      <c r="E43" s="2260"/>
      <c r="F43" s="2259">
        <v>1</v>
      </c>
      <c r="G43" s="1364"/>
      <c r="H43" s="1364"/>
      <c r="I43" s="1364"/>
      <c r="J43" s="1364"/>
      <c r="K43" s="1364"/>
      <c r="L43" s="1365"/>
      <c r="M43" s="1366"/>
      <c r="N43" s="1366"/>
      <c r="O43" s="1366"/>
      <c r="P43" s="1488"/>
      <c r="Q43" s="353"/>
      <c r="R43" s="354"/>
      <c r="S43" s="1494" t="str">
        <f>INDEX(PT_DIFFERENTIATION_NUM_TER,MATCH(B43,PT_DIFFERENTIATION_TER_ID,0))</f>
        <v>.</v>
      </c>
      <c r="T43" s="309" t="s">
        <v>527</v>
      </c>
      <c r="U43" s="301"/>
      <c r="V43" s="2243"/>
      <c r="W43" s="2244"/>
      <c r="X43" s="2244"/>
      <c r="Y43" s="2244"/>
      <c r="Z43" s="2244"/>
      <c r="AA43" s="2244"/>
      <c r="AB43" s="2244"/>
      <c r="AC43" s="2244"/>
      <c r="AD43" s="2244"/>
      <c r="AE43" s="2244"/>
      <c r="AF43" s="2245"/>
      <c r="AG43" s="2243" t="str">
        <f>INDEX(PT_DIFFERENTIATION_TER,MATCH(B43,PT_DIFFERENTIATION_TER_ID,0))</f>
        <v/>
      </c>
      <c r="AH43" s="2244"/>
      <c r="AI43" s="2244"/>
      <c r="AJ43" s="2244"/>
      <c r="AK43" s="2244"/>
      <c r="AL43" s="2244"/>
      <c r="AM43" s="2244"/>
      <c r="AN43" s="2244"/>
      <c r="AO43" s="2244"/>
      <c r="AP43" s="2244"/>
      <c r="AQ43" s="2244"/>
      <c r="AR43" s="2245"/>
      <c r="AS43" s="1259" t="s">
        <v>528</v>
      </c>
      <c r="AU43" s="501"/>
      <c r="AV43" s="501" t="str">
        <f>IF(T43="","",T43)</f>
        <v>Территория действия тарифа</v>
      </c>
      <c r="AW43" s="501"/>
      <c r="AX43" s="501"/>
      <c r="AY43" s="1156">
        <v>23</v>
      </c>
    </row>
    <row customHeight="1" ht="24">
      <c r="A44" s="1364" t="s">
        <v>381</v>
      </c>
      <c r="B44" s="1364" t="s">
        <v>382</v>
      </c>
      <c r="C44" s="1364" t="s">
        <v>383</v>
      </c>
      <c r="D44" s="1364"/>
      <c r="E44" s="2260"/>
      <c r="F44" s="2260"/>
      <c r="G44" s="2259">
        <v>1</v>
      </c>
      <c r="H44" s="1364"/>
      <c r="I44" s="1364"/>
      <c r="J44" s="1364"/>
      <c r="K44" s="1364"/>
      <c r="L44" s="1365"/>
      <c r="M44" s="1366"/>
      <c r="N44" s="1366"/>
      <c r="O44" s="1366"/>
      <c r="P44" s="355"/>
      <c r="Q44" s="353"/>
      <c r="R44" s="354"/>
      <c r="S44" s="1494" t="str">
        <f>INDEX(PT_DIFFERENTIATION_NUM_CS,MATCH(C44,PT_DIFFERENTIATION_CS_ID,0))</f>
        <v>..</v>
      </c>
      <c r="T44" s="310" t="s">
        <v>661</v>
      </c>
      <c r="U44" s="301"/>
      <c r="V44" s="2243"/>
      <c r="W44" s="2244"/>
      <c r="X44" s="2244"/>
      <c r="Y44" s="2244"/>
      <c r="Z44" s="2244"/>
      <c r="AA44" s="2244"/>
      <c r="AB44" s="2244"/>
      <c r="AC44" s="2244"/>
      <c r="AD44" s="2244"/>
      <c r="AE44" s="2244"/>
      <c r="AF44" s="2245"/>
      <c r="AG44" s="2243" t="str">
        <f>INDEX(PT_DIFFERENTIATION_CS,MATCH(C44,PT_DIFFERENTIATION_CS_ID,0))</f>
        <v/>
      </c>
      <c r="AH44" s="2244"/>
      <c r="AI44" s="2244"/>
      <c r="AJ44" s="2244"/>
      <c r="AK44" s="2244"/>
      <c r="AL44" s="2244"/>
      <c r="AM44" s="2244"/>
      <c r="AN44" s="2244"/>
      <c r="AO44" s="2244"/>
      <c r="AP44" s="2244"/>
      <c r="AQ44" s="2244"/>
      <c r="AR44" s="2245"/>
      <c r="AS44" s="1259" t="s">
        <v>662</v>
      </c>
      <c r="AU44" s="501"/>
      <c r="AV44" s="501" t="str">
        <f>IF(T44="","",T44)</f>
        <v>Наименование централизованной системы горячего водоснабжения</v>
      </c>
      <c r="AW44" s="501"/>
      <c r="AX44" s="501"/>
      <c r="AY44" s="1156">
        <v>23</v>
      </c>
    </row>
    <row customHeight="1" ht="24">
      <c r="A45" s="1364" t="s">
        <v>381</v>
      </c>
      <c r="B45" s="1364" t="s">
        <v>382</v>
      </c>
      <c r="C45" s="1364" t="s">
        <v>383</v>
      </c>
      <c r="D45" s="1364" t="s">
        <v>673</v>
      </c>
      <c r="E45" s="2260"/>
      <c r="F45" s="2260"/>
      <c r="G45" s="2260"/>
      <c r="H45" s="2260"/>
      <c r="I45" s="2257" t="str">
        <f>S44&amp;".1"</f>
        <v>...1</v>
      </c>
      <c r="J45" s="1364"/>
      <c r="K45" s="1364"/>
      <c r="L45" s="1365"/>
      <c r="P45" s="2258">
        <v>1</v>
      </c>
      <c r="Q45" s="1482"/>
      <c r="R45" s="357"/>
      <c r="S45" s="1494" t="str">
        <f>$I45</f>
        <v>...1</v>
      </c>
      <c r="T45" s="286" t="s">
        <v>614</v>
      </c>
      <c r="U45" s="301"/>
      <c r="V45" s="2351"/>
      <c r="W45" s="2352"/>
      <c r="X45" s="2352"/>
      <c r="Y45" s="2352"/>
      <c r="Z45" s="2352"/>
      <c r="AA45" s="2352"/>
      <c r="AB45" s="2352"/>
      <c r="AC45" s="2352"/>
      <c r="AD45" s="2352"/>
      <c r="AE45" s="2352"/>
      <c r="AF45" s="2353"/>
      <c r="AG45" s="2354"/>
      <c r="AH45" s="2355"/>
      <c r="AI45" s="2355"/>
      <c r="AJ45" s="2355"/>
      <c r="AK45" s="2355"/>
      <c r="AL45" s="2355"/>
      <c r="AM45" s="2355"/>
      <c r="AN45" s="2355"/>
      <c r="AO45" s="2355"/>
      <c r="AP45" s="2355"/>
      <c r="AQ45" s="2355"/>
      <c r="AR45" s="2356"/>
      <c r="AS45" s="1259" t="s">
        <v>615</v>
      </c>
      <c r="AU45" s="501"/>
      <c r="AV45" s="501" t="str">
        <f>IF(T45="","",T45)</f>
        <v>Наименование признака дифференциации</v>
      </c>
      <c r="AW45" s="501"/>
      <c r="AX45" s="501"/>
      <c r="AY45" s="1156">
        <v>23</v>
      </c>
    </row>
    <row customHeight="1" ht="24">
      <c r="A46" s="1364" t="s">
        <v>381</v>
      </c>
      <c r="B46" s="1364" t="s">
        <v>382</v>
      </c>
      <c r="C46" s="1364" t="s">
        <v>383</v>
      </c>
      <c r="D46" s="1364" t="s">
        <v>673</v>
      </c>
      <c r="E46" s="2260"/>
      <c r="F46" s="2260"/>
      <c r="G46" s="2260"/>
      <c r="H46" s="2260"/>
      <c r="I46" s="2287"/>
      <c r="J46" s="2257" t="str">
        <f>I45&amp;".1"</f>
        <v>...1.1</v>
      </c>
      <c r="K46" s="1364"/>
      <c r="L46" s="1365" t="s">
        <v>536</v>
      </c>
      <c r="P46" s="2258"/>
      <c r="Q46" s="2258">
        <v>1</v>
      </c>
      <c r="R46" s="358"/>
      <c r="S46" s="1494" t="str">
        <f>$J46</f>
        <v>...1.1</v>
      </c>
      <c r="T46" s="287" t="s">
        <v>537</v>
      </c>
      <c r="U46" s="301"/>
      <c r="V46" s="2246"/>
      <c r="W46" s="2247"/>
      <c r="X46" s="2247"/>
      <c r="Y46" s="2247"/>
      <c r="Z46" s="2247"/>
      <c r="AA46" s="2247"/>
      <c r="AB46" s="2247"/>
      <c r="AC46" s="2247"/>
      <c r="AD46" s="2247"/>
      <c r="AE46" s="2247"/>
      <c r="AF46" s="2248"/>
      <c r="AG46" s="2246"/>
      <c r="AH46" s="2247"/>
      <c r="AI46" s="2247"/>
      <c r="AJ46" s="2247"/>
      <c r="AK46" s="2247"/>
      <c r="AL46" s="2247"/>
      <c r="AM46" s="2247"/>
      <c r="AN46" s="2247"/>
      <c r="AO46" s="2247"/>
      <c r="AP46" s="2247"/>
      <c r="AQ46" s="2247"/>
      <c r="AR46" s="2248"/>
      <c r="AS46" s="1308" t="s">
        <v>616</v>
      </c>
      <c r="AU46" s="501"/>
      <c r="AV46" s="501" t="str">
        <f>IF(T46="","",T46)</f>
        <v>Группа потребителей</v>
      </c>
      <c r="AW46" s="501"/>
      <c r="AX46" s="501"/>
      <c r="AY46" s="1156">
        <v>23</v>
      </c>
    </row>
    <row customHeight="1" ht="24">
      <c r="A47" s="1364" t="s">
        <v>381</v>
      </c>
      <c r="B47" s="1364" t="s">
        <v>382</v>
      </c>
      <c r="C47" s="1364" t="s">
        <v>383</v>
      </c>
      <c r="D47" s="1364" t="s">
        <v>673</v>
      </c>
      <c r="E47" s="2260"/>
      <c r="F47" s="2260"/>
      <c r="G47" s="2260"/>
      <c r="H47" s="2260"/>
      <c r="I47" s="2287"/>
      <c r="J47" s="2287"/>
      <c r="K47" s="2257" t="str">
        <f>J46&amp;".1"</f>
        <v>...1.1.1</v>
      </c>
      <c r="L47" s="1365"/>
      <c r="P47" s="2258"/>
      <c r="Q47" s="2258"/>
      <c r="R47" s="358">
        <v>1</v>
      </c>
      <c r="S47" s="1494" t="str">
        <f>$K47</f>
        <v>...1.1.1</v>
      </c>
      <c r="T47" s="1438"/>
      <c r="U47" s="301"/>
      <c r="V47" s="752"/>
      <c r="W47" s="752"/>
      <c r="X47" s="752"/>
      <c r="Y47" s="752"/>
      <c r="Z47" s="752"/>
      <c r="AA47" s="752"/>
      <c r="AB47" s="752"/>
      <c r="AC47" s="2268"/>
      <c r="AD47" s="2269" t="s">
        <v>65</v>
      </c>
      <c r="AE47" s="2268"/>
      <c r="AF47" s="2269" t="s">
        <v>65</v>
      </c>
      <c r="AG47" s="752"/>
      <c r="AH47" s="752"/>
      <c r="AI47" s="752"/>
      <c r="AJ47" s="752"/>
      <c r="AK47" s="752"/>
      <c r="AL47" s="752"/>
      <c r="AM47" s="752"/>
      <c r="AN47" s="2266"/>
      <c r="AO47" s="2108" t="s">
        <v>65</v>
      </c>
      <c r="AP47" s="2288"/>
      <c r="AQ47" s="2108" t="s">
        <v>19</v>
      </c>
      <c r="AR47" s="1439"/>
      <c r="AS47" s="2350"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47" s="512">
        <f>STRCHECKDATE(V48:AR48)</f>
      </c>
      <c r="AU47" s="501"/>
      <c r="AV47" s="501" t="str">
        <f>IF(T47="","",T47)</f>
        <v/>
      </c>
      <c r="AW47" s="501"/>
      <c r="AX47" s="501"/>
      <c r="AY47" s="1156">
        <v>23</v>
      </c>
    </row>
    <row customHeight="1" ht="0">
      <c r="A48" s="1364" t="s">
        <v>381</v>
      </c>
      <c r="B48" s="1364" t="s">
        <v>382</v>
      </c>
      <c r="C48" s="1364" t="s">
        <v>383</v>
      </c>
      <c r="D48" s="1364" t="s">
        <v>673</v>
      </c>
      <c r="E48" s="2260"/>
      <c r="F48" s="2260"/>
      <c r="G48" s="2260"/>
      <c r="H48" s="2260"/>
      <c r="I48" s="2287"/>
      <c r="J48" s="2287"/>
      <c r="K48" s="2257"/>
      <c r="L48" s="1365"/>
      <c r="P48" s="2258"/>
      <c r="Q48" s="2258"/>
      <c r="R48" s="358"/>
      <c r="S48" s="1491"/>
      <c r="T48" s="301"/>
      <c r="U48" s="301"/>
      <c r="V48" s="1361"/>
      <c r="W48" s="1361"/>
      <c r="X48" s="1361"/>
      <c r="Y48" s="1361"/>
      <c r="Z48" s="1361"/>
      <c r="AA48" s="1361"/>
      <c r="AB48" s="1361"/>
      <c r="AC48" s="2269"/>
      <c r="AD48" s="2269"/>
      <c r="AE48" s="2269"/>
      <c r="AF48" s="2269"/>
      <c r="AG48" s="326"/>
      <c r="AH48" s="326"/>
      <c r="AI48" s="326"/>
      <c r="AJ48" s="326"/>
      <c r="AK48" s="326"/>
      <c r="AL48" s="326"/>
      <c r="AM48" s="326"/>
      <c r="AN48" s="2267"/>
      <c r="AO48" s="2108"/>
      <c r="AP48" s="2289"/>
      <c r="AQ48" s="2108"/>
      <c r="AR48" s="1440"/>
      <c r="AS48" s="2350"/>
      <c r="AU48" s="501"/>
      <c r="AV48" s="501" t="str">
        <f>IF(T48="","",T48)</f>
        <v/>
      </c>
      <c r="AW48" s="501"/>
      <c r="AX48" s="501"/>
      <c r="AY48" s="1156">
        <v>0</v>
      </c>
    </row>
    <row customHeight="1" ht="21">
      <c r="A49" s="1364" t="s">
        <v>381</v>
      </c>
      <c r="B49" s="1364" t="s">
        <v>382</v>
      </c>
      <c r="C49" s="1364" t="s">
        <v>383</v>
      </c>
      <c r="D49" s="1364" t="s">
        <v>673</v>
      </c>
      <c r="E49" s="2260"/>
      <c r="F49" s="2260"/>
      <c r="G49" s="2260"/>
      <c r="H49" s="2260"/>
      <c r="I49" s="2287"/>
      <c r="J49" s="2257"/>
      <c r="K49" s="1364"/>
      <c r="L49" s="1365"/>
      <c r="P49" s="2258"/>
      <c r="Q49" s="2258"/>
      <c r="R49" s="357"/>
      <c r="S49" s="1279"/>
      <c r="T49" s="288" t="s">
        <v>617</v>
      </c>
      <c r="U49" s="368"/>
      <c r="V49" s="368"/>
      <c r="W49" s="601"/>
      <c r="X49" s="601"/>
      <c r="Y49" s="601"/>
      <c r="Z49" s="601"/>
      <c r="AA49" s="601"/>
      <c r="AB49" s="601"/>
      <c r="AC49" s="368"/>
      <c r="AD49" s="368"/>
      <c r="AE49" s="368"/>
      <c r="AF49" s="368"/>
      <c r="AG49" s="368"/>
      <c r="AH49" s="601"/>
      <c r="AI49" s="601"/>
      <c r="AJ49" s="601"/>
      <c r="AK49" s="601"/>
      <c r="AL49" s="601"/>
      <c r="AM49" s="368"/>
      <c r="AN49" s="368"/>
      <c r="AO49" s="368"/>
      <c r="AP49" s="368"/>
      <c r="AQ49" s="368"/>
      <c r="AR49" s="368"/>
      <c r="AS49" s="1259" t="s">
        <v>618</v>
      </c>
      <c r="AU49" s="501"/>
      <c r="AV49" s="501" t="str">
        <f>IF(T49="","",T49)</f>
        <v>Добавить значение признака дифференциации</v>
      </c>
      <c r="AW49" s="501"/>
      <c r="AX49" s="501"/>
      <c r="AY49" s="1156">
        <v>20</v>
      </c>
    </row>
    <row customHeight="1" ht="22.049999999999997">
      <c r="A50" s="1364" t="s">
        <v>381</v>
      </c>
      <c r="B50" s="1364" t="s">
        <v>382</v>
      </c>
      <c r="C50" s="1364" t="s">
        <v>383</v>
      </c>
      <c r="D50" s="1364" t="s">
        <v>673</v>
      </c>
      <c r="E50" s="2260"/>
      <c r="F50" s="2260"/>
      <c r="G50" s="2260"/>
      <c r="H50" s="2260"/>
      <c r="I50" s="2257"/>
      <c r="J50" s="1364"/>
      <c r="K50" s="1364"/>
      <c r="L50" s="1365"/>
      <c r="P50" s="2258"/>
      <c r="Q50" s="1482"/>
      <c r="R50" s="357"/>
      <c r="S50" s="1279"/>
      <c r="T50" s="366" t="s">
        <v>542</v>
      </c>
      <c r="U50" s="368"/>
      <c r="V50" s="368"/>
      <c r="W50" s="601"/>
      <c r="X50" s="601"/>
      <c r="Y50" s="601"/>
      <c r="Z50" s="601"/>
      <c r="AA50" s="601"/>
      <c r="AB50" s="601"/>
      <c r="AC50" s="368"/>
      <c r="AD50" s="368"/>
      <c r="AE50" s="368"/>
      <c r="AF50" s="367"/>
      <c r="AG50" s="368"/>
      <c r="AH50" s="601"/>
      <c r="AI50" s="601"/>
      <c r="AJ50" s="601"/>
      <c r="AK50" s="601"/>
      <c r="AL50" s="601"/>
      <c r="AM50" s="368"/>
      <c r="AN50" s="368"/>
      <c r="AO50" s="368"/>
      <c r="AP50" s="368"/>
      <c r="AQ50" s="367"/>
      <c r="AR50" s="368"/>
      <c r="AS50" s="1441"/>
      <c r="AU50" s="501"/>
      <c r="AV50" s="501" t="str">
        <f>IF(T50="","",T50)</f>
        <v>Добавить группу потребителей</v>
      </c>
      <c r="AW50" s="501"/>
      <c r="AX50" s="501"/>
      <c r="AY50" s="1156">
        <v>21</v>
      </c>
    </row>
    <row customHeight="1" ht="22.049999999999997">
      <c r="A51" s="1364" t="s">
        <v>381</v>
      </c>
      <c r="B51" s="1364" t="s">
        <v>382</v>
      </c>
      <c r="C51" s="1364" t="s">
        <v>383</v>
      </c>
      <c r="D51" s="1364" t="s">
        <v>673</v>
      </c>
      <c r="E51" s="2260"/>
      <c r="F51" s="2260"/>
      <c r="G51" s="2260"/>
      <c r="H51" s="2259"/>
      <c r="I51" s="1364"/>
      <c r="J51" s="1364"/>
      <c r="K51" s="1364"/>
      <c r="L51" s="1365"/>
      <c r="M51" s="1366"/>
      <c r="N51" s="1366"/>
      <c r="O51" s="538"/>
      <c r="P51" s="361"/>
      <c r="Q51" s="376"/>
      <c r="R51" s="356"/>
      <c r="S51" s="1279"/>
      <c r="T51" s="373" t="s">
        <v>619</v>
      </c>
      <c r="U51" s="368"/>
      <c r="V51" s="368"/>
      <c r="W51" s="601"/>
      <c r="X51" s="601"/>
      <c r="Y51" s="601"/>
      <c r="Z51" s="601"/>
      <c r="AA51" s="601"/>
      <c r="AB51" s="601"/>
      <c r="AC51" s="368"/>
      <c r="AD51" s="368"/>
      <c r="AE51" s="368"/>
      <c r="AF51" s="367"/>
      <c r="AG51" s="368"/>
      <c r="AH51" s="601"/>
      <c r="AI51" s="601"/>
      <c r="AJ51" s="601"/>
      <c r="AK51" s="601"/>
      <c r="AL51" s="601"/>
      <c r="AM51" s="368"/>
      <c r="AN51" s="368"/>
      <c r="AO51" s="368"/>
      <c r="AP51" s="368"/>
      <c r="AQ51" s="367"/>
      <c r="AR51" s="368"/>
      <c r="AS51" s="304"/>
      <c r="AU51" s="501"/>
      <c r="AV51" s="501" t="str">
        <f>IF(T51="","",T51)</f>
        <v>Добавить наименование признака дифференциации</v>
      </c>
      <c r="AW51" s="501"/>
      <c r="AX51" s="501"/>
      <c r="AY51" s="1156">
        <v>21</v>
      </c>
    </row>
    <row s="1643" customFormat="1" customHeight="1" ht="0">
      <c r="A52" s="1344" t="s">
        <v>381</v>
      </c>
      <c r="B52" s="1344" t="s">
        <v>382</v>
      </c>
      <c r="C52" s="1315"/>
      <c r="D52" s="1315"/>
      <c r="E52" s="2260"/>
      <c r="F52" s="2259"/>
      <c r="G52" s="1315"/>
      <c r="H52" s="1315"/>
      <c r="I52" s="1315"/>
      <c r="J52" s="1315"/>
      <c r="K52" s="1315"/>
      <c r="L52" s="1495"/>
      <c r="M52" s="1322"/>
      <c r="N52" s="1322"/>
      <c r="P52" s="1317"/>
      <c r="Q52" s="1318"/>
      <c r="R52" s="1317"/>
      <c r="S52" s="1323"/>
      <c r="T52" s="1326" t="s">
        <v>178</v>
      </c>
      <c r="U52" s="1325"/>
      <c r="V52" s="1325"/>
      <c r="W52" s="1325"/>
      <c r="X52" s="1325"/>
      <c r="Y52" s="1325"/>
      <c r="Z52" s="1325"/>
      <c r="AA52" s="1325"/>
      <c r="AB52" s="1325"/>
      <c r="AC52" s="1325"/>
      <c r="AD52" s="1325"/>
      <c r="AE52" s="1325"/>
      <c r="AF52" s="1325"/>
      <c r="AG52" s="1325"/>
      <c r="AH52" s="1325"/>
      <c r="AI52" s="1325"/>
      <c r="AJ52" s="1325"/>
      <c r="AK52" s="1325"/>
      <c r="AL52" s="1325"/>
      <c r="AM52" s="1325"/>
      <c r="AN52" s="1325"/>
      <c r="AO52" s="1325"/>
      <c r="AP52" s="1325"/>
      <c r="AQ52" s="1325"/>
      <c r="AR52" s="1325"/>
      <c r="AS52" s="1325"/>
      <c r="AU52" s="790"/>
      <c r="AV52" s="790" t="str">
        <f>IF(T52="","",T52)</f>
        <v>Добавить централизованную систему для дифференциации</v>
      </c>
      <c r="AW52" s="790"/>
      <c r="AX52" s="790"/>
      <c r="AY52" s="519">
        <v>0</v>
      </c>
    </row>
    <row s="1643" customFormat="1" customHeight="1" ht="0">
      <c r="A53" s="1344" t="s">
        <v>381</v>
      </c>
      <c r="B53" s="1344"/>
      <c r="C53" s="1344"/>
      <c r="D53" s="1344"/>
      <c r="E53" s="2259"/>
      <c r="F53" s="1344"/>
      <c r="G53" s="1344"/>
      <c r="H53" s="1344"/>
      <c r="I53" s="1344"/>
      <c r="J53" s="1344"/>
      <c r="K53" s="1344"/>
      <c r="L53" s="1347"/>
      <c r="M53" s="1322"/>
      <c r="N53" s="1322"/>
      <c r="O53" s="519"/>
      <c r="P53" s="381"/>
      <c r="Q53" s="1345"/>
      <c r="R53" s="381"/>
      <c r="S53" s="1323"/>
      <c r="T53" s="1326" t="s">
        <v>183</v>
      </c>
      <c r="U53" s="1325"/>
      <c r="V53" s="1325"/>
      <c r="W53" s="1325"/>
      <c r="X53" s="1325"/>
      <c r="Y53" s="1325"/>
      <c r="Z53" s="1325"/>
      <c r="AA53" s="1325"/>
      <c r="AB53" s="1325"/>
      <c r="AC53" s="1325"/>
      <c r="AD53" s="1325"/>
      <c r="AE53" s="1325"/>
      <c r="AF53" s="1325"/>
      <c r="AG53" s="1325"/>
      <c r="AH53" s="1325"/>
      <c r="AI53" s="1325"/>
      <c r="AJ53" s="1325"/>
      <c r="AK53" s="1325"/>
      <c r="AL53" s="1325"/>
      <c r="AM53" s="1325"/>
      <c r="AN53" s="1325"/>
      <c r="AO53" s="1325"/>
      <c r="AP53" s="1325"/>
      <c r="AQ53" s="1325"/>
      <c r="AR53" s="1325"/>
      <c r="AS53" s="1325"/>
      <c r="AU53" s="501"/>
      <c r="AV53" s="501" t="str">
        <f>IF(T53="","",T53)</f>
        <v>Добавить территорию для дифференциации</v>
      </c>
      <c r="AW53" s="501"/>
      <c r="AX53" s="501"/>
      <c r="AY53" s="512">
        <v>0</v>
      </c>
    </row>
    <row s="1643" customFormat="1" customHeight="1" ht="0">
      <c r="A54" s="1315"/>
      <c r="B54" s="1315"/>
      <c r="C54" s="1315"/>
      <c r="D54" s="1315"/>
      <c r="E54" s="1344"/>
      <c r="F54" s="1315"/>
      <c r="G54" s="1315"/>
      <c r="H54" s="1315"/>
      <c r="I54" s="1315"/>
      <c r="J54" s="1315"/>
      <c r="K54" s="1315"/>
      <c r="L54" s="1495"/>
      <c r="M54" s="1322"/>
      <c r="N54" s="1322"/>
      <c r="P54" s="1317"/>
      <c r="Q54" s="1318"/>
      <c r="R54" s="1317"/>
      <c r="S54" s="1323"/>
      <c r="T54" s="1326" t="s">
        <v>222</v>
      </c>
      <c r="U54" s="1325"/>
      <c r="V54" s="1325"/>
      <c r="W54" s="1325"/>
      <c r="X54" s="1325"/>
      <c r="Y54" s="1325"/>
      <c r="Z54" s="1325"/>
      <c r="AA54" s="1325"/>
      <c r="AB54" s="1325"/>
      <c r="AC54" s="1325"/>
      <c r="AD54" s="1325"/>
      <c r="AE54" s="1325"/>
      <c r="AF54" s="1325"/>
      <c r="AG54" s="1325"/>
      <c r="AH54" s="1325"/>
      <c r="AI54" s="1325"/>
      <c r="AJ54" s="1325"/>
      <c r="AK54" s="1325"/>
      <c r="AL54" s="1325"/>
      <c r="AM54" s="1325"/>
      <c r="AN54" s="1325"/>
      <c r="AO54" s="1325"/>
      <c r="AP54" s="1325"/>
      <c r="AQ54" s="1325"/>
      <c r="AR54" s="1325"/>
      <c r="AS54" s="1325"/>
      <c r="AU54" s="790"/>
      <c r="AV54" s="790" t="str">
        <f>IF(T54="","",T54)</f>
        <v>Добавить наименование тарифа</v>
      </c>
      <c r="AW54" s="790"/>
      <c r="AX54" s="790"/>
      <c r="AY54" s="519">
        <v>0</v>
      </c>
    </row>
    <row customHeight="1" ht="11.549999999999999">
      <c r="M55" s="1161"/>
      <c r="N55" s="1161"/>
      <c r="O55" s="538"/>
      <c r="P55" s="1156"/>
      <c r="Q55" s="1156"/>
      <c r="R55" s="1156"/>
      <c r="S55" s="1156"/>
      <c r="AT55" s="1156"/>
      <c r="AU55" s="1156"/>
      <c r="AV55" s="1156"/>
      <c r="AW55" s="1156"/>
      <c r="AX55" s="1156"/>
      <c r="AY55" s="1156">
        <v>11</v>
      </c>
    </row>
    <row customHeight="1" ht="14.699999999999998">
      <c r="O56" s="538"/>
      <c r="S56" s="1254"/>
      <c r="T56" s="2286"/>
      <c r="U56" s="2286"/>
      <c r="V56" s="2286"/>
      <c r="W56" s="2286"/>
      <c r="X56" s="2286"/>
      <c r="Y56" s="2286"/>
      <c r="Z56" s="2286"/>
      <c r="AA56" s="2286"/>
      <c r="AB56" s="2286"/>
      <c r="AC56" s="2286"/>
      <c r="AD56" s="2286"/>
      <c r="AE56" s="2286"/>
      <c r="AF56" s="2286"/>
      <c r="AG56" s="2286"/>
      <c r="AH56" s="2286"/>
      <c r="AI56" s="2286"/>
      <c r="AJ56" s="2286"/>
      <c r="AK56" s="2286"/>
      <c r="AL56" s="2286"/>
      <c r="AM56" s="2286"/>
      <c r="AN56" s="2286"/>
      <c r="AO56" s="2286"/>
      <c r="AP56" s="2286"/>
      <c r="AQ56" s="2286"/>
      <c r="AR56" s="2286"/>
      <c r="AS56" s="2286"/>
      <c r="AY56" s="1156">
        <v>14</v>
      </c>
    </row>
    <row customHeight="1" ht="14.699999999999998">
      <c r="O57" s="538"/>
      <c r="AY57" s="1156">
        <v>14</v>
      </c>
    </row>
    <row customHeight="1" ht="14.699999999999998">
      <c r="O58" s="538"/>
      <c r="S58" s="1254"/>
      <c r="T58" s="2286"/>
      <c r="U58" s="2286"/>
      <c r="V58" s="2286"/>
      <c r="W58" s="2286"/>
      <c r="X58" s="2286"/>
      <c r="Y58" s="2286"/>
      <c r="Z58" s="2286"/>
      <c r="AA58" s="2286"/>
      <c r="AB58" s="2286"/>
      <c r="AC58" s="2286"/>
      <c r="AD58" s="2286"/>
      <c r="AE58" s="2286"/>
      <c r="AF58" s="2286"/>
      <c r="AG58" s="2286"/>
      <c r="AH58" s="2286"/>
      <c r="AI58" s="2286"/>
      <c r="AJ58" s="2286"/>
      <c r="AK58" s="2286"/>
      <c r="AL58" s="2286"/>
      <c r="AM58" s="2286"/>
      <c r="AN58" s="2286"/>
      <c r="AO58" s="2286"/>
      <c r="AP58" s="2286"/>
      <c r="AQ58" s="2286"/>
      <c r="AR58" s="2286"/>
      <c r="AS58" s="2286"/>
      <c r="AY58" s="1156">
        <v>14</v>
      </c>
    </row>
    <row customHeight="1" ht="22.5" hidden="1">
      <c r="A59" s="1161" t="s">
        <v>86</v>
      </c>
      <c r="B59" s="1161">
        <v>0</v>
      </c>
      <c r="C59" s="1161">
        <v>0</v>
      </c>
      <c r="D59" s="1161">
        <v>0</v>
      </c>
      <c r="E59" s="1161">
        <v>0</v>
      </c>
      <c r="F59" s="1161">
        <v>0</v>
      </c>
      <c r="G59" s="1161">
        <v>0</v>
      </c>
      <c r="H59" s="1161">
        <v>0</v>
      </c>
      <c r="I59" s="1161">
        <v>0</v>
      </c>
      <c r="J59" s="1161">
        <v>0</v>
      </c>
      <c r="K59" s="1161">
        <v>0</v>
      </c>
      <c r="L59" s="1479">
        <v>0</v>
      </c>
      <c r="M59" s="1363">
        <v>0</v>
      </c>
      <c r="N59" s="1363">
        <v>0</v>
      </c>
      <c r="O59" s="1363">
        <v>0</v>
      </c>
      <c r="P59" s="1474">
        <v>3</v>
      </c>
      <c r="Q59" s="345">
        <v>3</v>
      </c>
      <c r="R59" s="345">
        <v>3</v>
      </c>
      <c r="S59" s="582">
        <v>12</v>
      </c>
      <c r="T59" s="1156">
        <v>35</v>
      </c>
      <c r="U59" s="1156">
        <v>0</v>
      </c>
      <c r="V59" s="1156">
        <v>0</v>
      </c>
      <c r="W59" s="1632">
        <v>0</v>
      </c>
      <c r="X59" s="1632">
        <v>0</v>
      </c>
      <c r="Y59" s="1632">
        <v>0</v>
      </c>
      <c r="Z59" s="1632">
        <v>0</v>
      </c>
      <c r="AA59" s="1632">
        <v>0</v>
      </c>
      <c r="AB59" s="1632">
        <v>0</v>
      </c>
      <c r="AC59" s="1156">
        <v>0</v>
      </c>
      <c r="AD59" s="1156">
        <v>0</v>
      </c>
      <c r="AE59" s="1156">
        <v>0</v>
      </c>
      <c r="AF59" s="1156">
        <v>0</v>
      </c>
      <c r="AG59" s="1156">
        <v>19</v>
      </c>
      <c r="AH59" s="1632">
        <v>19</v>
      </c>
      <c r="AI59" s="1632">
        <v>19</v>
      </c>
      <c r="AJ59" s="1632">
        <v>19</v>
      </c>
      <c r="AK59" s="1632">
        <v>19</v>
      </c>
      <c r="AL59" s="1632">
        <v>19</v>
      </c>
      <c r="AM59" s="1156">
        <v>19</v>
      </c>
      <c r="AN59" s="1156">
        <v>11</v>
      </c>
      <c r="AO59" s="1156">
        <v>3</v>
      </c>
      <c r="AP59" s="1156">
        <v>11</v>
      </c>
      <c r="AQ59" s="1156">
        <v>0</v>
      </c>
      <c r="AR59" s="1156">
        <v>4</v>
      </c>
      <c r="AS59" s="1156">
        <v>115</v>
      </c>
      <c r="AT59" s="512">
        <v>10</v>
      </c>
      <c r="AU59" s="512">
        <v>10</v>
      </c>
      <c r="AV59" s="512">
        <v>10</v>
      </c>
      <c r="AW59" s="512">
        <v>10</v>
      </c>
      <c r="AX59" s="512">
        <v>10</v>
      </c>
      <c r="AY59" s="1156">
        <v>23</v>
      </c>
    </row>
  </sheetData>
  <sheetProtection formatColumns="0" formatRows="0" autoFilter="0" sort="0" insertRows="0" insertColumns="1" deleteRows="0" deleteColumns="0"/>
  <mergeCells count="113">
    <mergeCell ref="AS47:AS48"/>
    <mergeCell ref="T56:AS56"/>
    <mergeCell ref="T58:AS58"/>
    <mergeCell ref="K47:K48"/>
    <mergeCell ref="AC47:AC48"/>
    <mergeCell ref="AD47:AD48"/>
    <mergeCell ref="AE47:AE48"/>
    <mergeCell ref="AF47:AF48"/>
    <mergeCell ref="AN47:AN48"/>
    <mergeCell ref="V38:V40"/>
    <mergeCell ref="AD41:AE41"/>
    <mergeCell ref="AO41:AP41"/>
    <mergeCell ref="E42:E53"/>
    <mergeCell ref="V42:AF42"/>
    <mergeCell ref="AG42:AR42"/>
    <mergeCell ref="F43:F52"/>
    <mergeCell ref="V43:AF43"/>
    <mergeCell ref="AG43:AR43"/>
    <mergeCell ref="G44:G51"/>
    <mergeCell ref="V44:AF44"/>
    <mergeCell ref="AG44:AR44"/>
    <mergeCell ref="H45:H51"/>
    <mergeCell ref="I45:I50"/>
    <mergeCell ref="P45:P50"/>
    <mergeCell ref="V45:AF45"/>
    <mergeCell ref="AG45:AR45"/>
    <mergeCell ref="J46:J49"/>
    <mergeCell ref="Q46:Q49"/>
    <mergeCell ref="V46:AF46"/>
    <mergeCell ref="AG46:AR46"/>
    <mergeCell ref="AO47:AO48"/>
    <mergeCell ref="AP47:AP48"/>
    <mergeCell ref="AQ47:AQ48"/>
    <mergeCell ref="V28:AE28"/>
    <mergeCell ref="AG28:AP28"/>
    <mergeCell ref="AS36:AS40"/>
    <mergeCell ref="S37:S40"/>
    <mergeCell ref="T37:T40"/>
    <mergeCell ref="V37:AE37"/>
    <mergeCell ref="AF37:AF40"/>
    <mergeCell ref="AG37:AP37"/>
    <mergeCell ref="AQ37:AQ40"/>
    <mergeCell ref="S32:T32"/>
    <mergeCell ref="V32:AE32"/>
    <mergeCell ref="AG32:AP32"/>
    <mergeCell ref="S33:T33"/>
    <mergeCell ref="V33:AE33"/>
    <mergeCell ref="AG33:AP33"/>
    <mergeCell ref="AR37:AR40"/>
    <mergeCell ref="AD40:AE40"/>
    <mergeCell ref="AO40:AP40"/>
    <mergeCell ref="V35:AF35"/>
    <mergeCell ref="AG35:AQ35"/>
    <mergeCell ref="S36:AR36"/>
    <mergeCell ref="AN38:AP39"/>
    <mergeCell ref="AC38:AE39"/>
    <mergeCell ref="AL39:AM39"/>
    <mergeCell ref="S29:T29"/>
    <mergeCell ref="AG38:AG40"/>
    <mergeCell ref="AS7:AS8"/>
    <mergeCell ref="AN15:AN16"/>
    <mergeCell ref="AO15:AO16"/>
    <mergeCell ref="AP15:AP16"/>
    <mergeCell ref="AQ15:AQ16"/>
    <mergeCell ref="AD7:AD8"/>
    <mergeCell ref="AE7:AE8"/>
    <mergeCell ref="AF7:AF8"/>
    <mergeCell ref="AN7:AN8"/>
    <mergeCell ref="AO7:AO8"/>
    <mergeCell ref="AP7:AP8"/>
    <mergeCell ref="V29:AE29"/>
    <mergeCell ref="AG29:AP29"/>
    <mergeCell ref="S30:T30"/>
    <mergeCell ref="V30:AE30"/>
    <mergeCell ref="AG30:AP30"/>
    <mergeCell ref="S24:AP24"/>
    <mergeCell ref="S25:AP25"/>
    <mergeCell ref="S27:T27"/>
    <mergeCell ref="V27:AE27"/>
    <mergeCell ref="AG27:AP27"/>
    <mergeCell ref="S28:T28"/>
    <mergeCell ref="E2:E13"/>
    <mergeCell ref="V2:AF2"/>
    <mergeCell ref="AG2:AR2"/>
    <mergeCell ref="F3:F12"/>
    <mergeCell ref="V3:AF3"/>
    <mergeCell ref="AG3:AR3"/>
    <mergeCell ref="G4:G11"/>
    <mergeCell ref="V4:AF4"/>
    <mergeCell ref="AG4:AR4"/>
    <mergeCell ref="H5:H11"/>
    <mergeCell ref="I5:I10"/>
    <mergeCell ref="P5:P10"/>
    <mergeCell ref="V5:AF5"/>
    <mergeCell ref="AG5:AR5"/>
    <mergeCell ref="J6:J9"/>
    <mergeCell ref="Q6:Q9"/>
    <mergeCell ref="V6:AF6"/>
    <mergeCell ref="AG6:AR6"/>
    <mergeCell ref="K7:K8"/>
    <mergeCell ref="AC7:AC8"/>
    <mergeCell ref="AQ7:AQ8"/>
    <mergeCell ref="AH38:AJ38"/>
    <mergeCell ref="AK38:AM38"/>
    <mergeCell ref="AH39:AH40"/>
    <mergeCell ref="AI39:AJ39"/>
    <mergeCell ref="AK39:AK40"/>
    <mergeCell ref="X39:Y39"/>
    <mergeCell ref="W39:W40"/>
    <mergeCell ref="Z39:Z40"/>
    <mergeCell ref="AA39:AB39"/>
    <mergeCell ref="W38:Y38"/>
    <mergeCell ref="Z38:AB38"/>
  </mergeCells>
  <dataValidations count="7">
    <dataValidation allowBlank="1" sqref="S131117:AS131123 S196653:AS196659 S262189:AS262195 S327725:AS327731 S393261:AS393267 S458797:AS458803 S524333:AS524339 S589869:AS589875 S655405:AS655411 S720941:AS720947 S786477:AS786483 S852013:AS852019 S917549:AS917555 S983085:AS983091 S65581:AS65587"/>
    <dataValidation type="list" allowBlank="1" showInputMessage="1" errorTitle="Ошибка" error="Выберите значение из списка" prompt="Выберите значение из списка" sqref="V983082:AR983082 V65578:AR65578 V131114:AR131114 V196650:AR196650 V262186:AR262186 V327722:AR327722 V393258:AR393258 V458794:AR458794 V524330:AR524330 V589866:AR589866 V655402:AR655402 V720938:AR720938 V786474:AR786474 V852010:AR852010 V917546:AR917546">
      <formula1>kind_of_cons</formula1>
    </dataValidation>
    <dataValidation type="list" allowBlank="1" showInputMessage="1" showErrorMessage="1" errorTitle="Ошибка" error="Выберите значение из списка" sqref="AG917545:AL917545 AG852009:AL852009 AG786473:AL786473 AG720937:AL720937 AG655401:AL655401 AG589865:AL589865 AG524329:AL524329 AG458793:AL458793 AG393257:AL393257 AG327721:AL327721 AG262185:AL262185 AG196649:AL196649 AG131113:AL131113 AG65577:AL65577 AG983081:AL983081 V983081:AB983081 V65577:AB65577 V131113:AB131113 V196649:AB196649 V262185:AB262185 V327721:AB327721 V393257:AB393257 V458793:AB458793 V524329:AB524329 V589865:AB589865 V655401:AB655401 V720937:AB720937 V786473:AB786473 V852009:AB852009 V917545:AB917545">
      <formula1>kind_of_scheme_in</formula1>
    </dataValidation>
    <dataValidation type="textLength" operator="lessThanOrEqual" allowBlank="1" showInputMessage="1" showErrorMessage="1" errorTitle="Ошибка" error="Допускается ввод не более 900 символов!" sqref="AS65573:AS65580 AS131109:AS131116 AS196645:AS196652 AS262181:AS262188 AS327717:AS327724 AS393253:AS393260 AS458789:AS458796 AS524325:AS524332 AS589861:AS589868 AS655397:AS655404 AS720933:AS720940 AS786469:AS786476 AS852005:AS852012 AS917541:AS917548 AS983077:AS983084 T47 T7 AG45:AR45 AG5:AR5">
      <formula1>900</formula1>
    </dataValidation>
    <dataValidation type="list" allowBlank="1" showInputMessage="1" showErrorMessage="1" errorTitle="Ошибка" error="Выберите значение из списка" sqref="T65579 T131115 T196651 T262187 T327723 T393259 T458795 T524331 T589867 T655403 T720939 T786475 T852011 T917547 T983083">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AC65579 AC131115 AC196651 AC262187 AC327723 AC393259 AC458795 AC524331 AC589867 AC655403 AC720939 AC786475 AC852011 AC917547 AC983083 AE65579 AE131115 AE196651 AE262187 AE327723 AE393259 AE458795 AE524331 AE589867 AE655403 AE720939 AE786475 AE852011 AE917547 AE983083 AN15 AN65579 AN131115 AN196651 AN262187 AN327723 AN393259 AN458795 AN524331 AN589867 AN655403 AN720939 AN786475 AN852011 AN917547 AN983083 AP65579 AP131115 AP196651 AP262187 AP327723 AP393259 AP458795 AP524331 AP589867 AP655403 AP720939 AP786475 AP852011 AP917547 AP983083 AP47 AN47 AP15 AP7 AN7 AC7 AE7 AC47 AE47"/>
    <dataValidation allowBlank="1" showInputMessage="1" showErrorMessage="1" prompt="Для выбора выполните двойной щелчок левой клавиши мыши по соответствующей ячейке." sqref="AD65579 AD131115 AD196651 AD262187 AD327723 AD393259 AD458795 AD524331 AD589867 AD655403 AD720939 AD786475 AD852011 AD917547 AD983083 AF131115 AF458795 AF196651 AF262187 AF327723 AF393259 AF524331 AF589867 AF655403 AF720939 AF786475 AF852011 AF917547 AF983083 AF65579 AO65579 AO131115 AO196651 AO262187 AO327723 AO393259 AO458795 AO524331 AO589867 AO655403 AO720939 AO786475 AO852011 AO917547 AO983083 AQ524331 AQ196651 AQ589867 AQ655403 AQ15 AQ720939 AQ786475 AQ852011 AQ917547 AQ983083 AQ65579 AQ131115 AQ458795 AQ262187 AQ7 AO47 AQ327723 AO15 AO7 AD7 AF7 AQ393259 AQ47 AD47 AF47"/>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3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CA1D6E8-762E-7338-1FD8-101ED6F1AF68}" mc:Ignorable="x14ac xr xr2 xr3">
  <sheetPr>
    <tabColor theme="6" tint="0.4"/>
  </sheetPr>
  <dimension ref="A1:AY59"/>
  <sheetViews>
    <sheetView showGridLines="0" zoomScale="90" workbookViewId="0">
      <pane xSplit="32" ySplit="41" topLeftCell="AG42" activePane="bottomRight" state="frozen"/>
      <selection pane="bottomLeft" activeCell="A42" sqref="A42"/>
      <selection pane="topRight" activeCell="AG1" sqref="AG1"/>
      <selection pane="bottomRight" activeCell="A1" sqref="A1"/>
    </sheetView>
  </sheetViews>
  <sheetFormatPr defaultColWidth="10.57421875" customHeight="1" defaultRowHeight="14.25"/>
  <cols>
    <col min="1" max="1" style="1367" width="10.57421875" hidden="1"/>
    <col min="2" max="2" style="1367" width="11.00390625" hidden="1" customWidth="1"/>
    <col min="3" max="3" style="1367" width="10.57421875" hidden="1"/>
    <col min="4" max="4" style="1367" width="11.8515625" hidden="1" customWidth="1"/>
    <col min="5" max="5" style="1367" width="10.00390625" hidden="1" customWidth="1"/>
    <col min="6" max="6" style="1367" width="8.7109375" hidden="1" customWidth="1"/>
    <col min="7" max="7" style="1367" width="7.57421875" hidden="1" customWidth="1"/>
    <col min="8" max="8" style="1367" width="11.421875" hidden="1" customWidth="1"/>
    <col min="9" max="9" style="1367" width="14.140625" hidden="1" customWidth="1"/>
    <col min="10" max="10" style="1367" width="9.8515625" hidden="1" customWidth="1"/>
    <col min="11" max="11" style="1367" width="14.7109375" hidden="1" customWidth="1"/>
    <col min="12" max="12" style="2608" width="19.140625" hidden="1" customWidth="1"/>
    <col min="13" max="14" style="1777" width="12.28125" hidden="1" customWidth="1"/>
    <col min="15" max="15" style="1777" width="23.421875" hidden="1" customWidth="1"/>
    <col min="16" max="16" style="2398" width="3.00390625" customWidth="1"/>
    <col min="17" max="18" style="345" width="3.00390625" customWidth="1"/>
    <col min="19" max="19" style="2408" width="12.00390625" customWidth="1"/>
    <col min="20" max="20" style="1636" width="35.00390625" customWidth="1"/>
    <col min="21" max="21" style="1636" width="0.140625" customWidth="1"/>
    <col min="22" max="28" style="1636" width="19.7109375" hidden="1" customWidth="1"/>
    <col min="29" max="29" style="1636" width="11.7109375" hidden="1" customWidth="1"/>
    <col min="30" max="30" style="1636" width="3.7109375" hidden="1" customWidth="1"/>
    <col min="31" max="31" style="1636" width="11.7109375" hidden="1" customWidth="1"/>
    <col min="32" max="32" style="1636" width="8.57421875" hidden="1" customWidth="1"/>
    <col min="33" max="33" style="1636" width="19.7109375" customWidth="1"/>
    <col min="34" max="39" style="1636" width="19.00390625" customWidth="1"/>
    <col min="40" max="40" style="1636" width="11.00390625" customWidth="1"/>
    <col min="41" max="41" style="1636" width="3.7109375" customWidth="1"/>
    <col min="42" max="42" style="1636" width="11.00390625" customWidth="1"/>
    <col min="43" max="43" style="1636" width="8.57421875" hidden="1" customWidth="1"/>
    <col min="44" max="44" style="1636" width="4.00390625" customWidth="1"/>
    <col min="45" max="45" style="1636" width="115.00390625" customWidth="1"/>
    <col min="46" max="50" style="1643" width="10.00390625" customWidth="1"/>
    <col min="51" max="51" style="1636" width="10.57421875" hidden="1"/>
  </cols>
  <sheetData>
    <row customHeight="1" ht="22.5" hidden="1">
      <c r="AB1" s="328"/>
      <c r="AC1" s="328"/>
      <c r="AM1" s="328"/>
      <c r="AN1" s="328"/>
      <c r="AY1" s="1156" t="s">
        <v>14</v>
      </c>
    </row>
    <row customHeight="1" ht="23.25" hidden="1">
      <c r="A2" s="1364"/>
      <c r="B2" s="1364"/>
      <c r="C2" s="1364"/>
      <c r="D2" s="1364"/>
      <c r="E2" s="2259">
        <v>1</v>
      </c>
      <c r="F2" s="1364"/>
      <c r="G2" s="1364"/>
      <c r="H2" s="1364"/>
      <c r="I2" s="1364"/>
      <c r="J2" s="1364"/>
      <c r="K2" s="1364"/>
      <c r="L2" s="1365"/>
      <c r="M2" s="1366"/>
      <c r="N2" s="1366"/>
      <c r="O2" s="1366"/>
      <c r="P2" s="362"/>
      <c r="Q2" s="361"/>
      <c r="R2" s="356"/>
      <c r="S2" s="1494">
        <f>INDEX(PT_DIFFERENTIATION_NUM_NTAR,MATCH(A2,PT_DIFFERENTIATION_NTAR_ID,0))</f>
      </c>
      <c r="T2" s="299" t="s">
        <v>136</v>
      </c>
      <c r="U2" s="301"/>
      <c r="V2" s="2243"/>
      <c r="W2" s="2244"/>
      <c r="X2" s="2244"/>
      <c r="Y2" s="2244"/>
      <c r="Z2" s="2244"/>
      <c r="AA2" s="2244"/>
      <c r="AB2" s="2244"/>
      <c r="AC2" s="2244"/>
      <c r="AD2" s="2244"/>
      <c r="AE2" s="2244"/>
      <c r="AF2" s="2245"/>
      <c r="AG2" s="2243">
        <f>INDEX(PT_DIFFERENTIATION_NTAR,MATCH(A2,PT_DIFFERENTIATION_NTAR_ID,0))</f>
      </c>
      <c r="AH2" s="2244"/>
      <c r="AI2" s="2244"/>
      <c r="AJ2" s="2244"/>
      <c r="AK2" s="2244"/>
      <c r="AL2" s="2244"/>
      <c r="AM2" s="2244"/>
      <c r="AN2" s="2244"/>
      <c r="AO2" s="2244"/>
      <c r="AP2" s="2244"/>
      <c r="AQ2" s="2244"/>
      <c r="AR2" s="2245"/>
      <c r="AS2" s="125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AU2" s="501"/>
      <c r="AV2" s="501" t="str">
        <f>IF(T2="","",T2)</f>
        <v>Наименование тарифа</v>
      </c>
      <c r="AW2" s="501"/>
      <c r="AX2" s="501"/>
      <c r="AY2" s="1156">
        <v>0</v>
      </c>
    </row>
    <row customHeight="1" ht="23.25" hidden="1">
      <c r="A3" s="1364"/>
      <c r="B3" s="1364"/>
      <c r="C3" s="1364"/>
      <c r="D3" s="1364"/>
      <c r="E3" s="2260"/>
      <c r="F3" s="2259">
        <v>1</v>
      </c>
      <c r="G3" s="1364"/>
      <c r="H3" s="1364"/>
      <c r="I3" s="1364"/>
      <c r="J3" s="1364"/>
      <c r="K3" s="1364"/>
      <c r="L3" s="1365"/>
      <c r="M3" s="1366"/>
      <c r="N3" s="1366"/>
      <c r="O3" s="1366"/>
      <c r="P3" s="1488"/>
      <c r="Q3" s="353"/>
      <c r="R3" s="354"/>
      <c r="S3" s="1494">
        <f>INDEX(PT_DIFFERENTIATION_NUM_TER,MATCH(B3,PT_DIFFERENTIATION_TER_ID,0))</f>
      </c>
      <c r="T3" s="309" t="s">
        <v>527</v>
      </c>
      <c r="U3" s="301"/>
      <c r="V3" s="2243"/>
      <c r="W3" s="2244"/>
      <c r="X3" s="2244"/>
      <c r="Y3" s="2244"/>
      <c r="Z3" s="2244"/>
      <c r="AA3" s="2244"/>
      <c r="AB3" s="2244"/>
      <c r="AC3" s="2244"/>
      <c r="AD3" s="2244"/>
      <c r="AE3" s="2244"/>
      <c r="AF3" s="2245"/>
      <c r="AG3" s="2243">
        <f>INDEX(PT_DIFFERENTIATION_TER,MATCH(B3,PT_DIFFERENTIATION_TER_ID,0))</f>
      </c>
      <c r="AH3" s="2244"/>
      <c r="AI3" s="2244"/>
      <c r="AJ3" s="2244"/>
      <c r="AK3" s="2244"/>
      <c r="AL3" s="2244"/>
      <c r="AM3" s="2244"/>
      <c r="AN3" s="2244"/>
      <c r="AO3" s="2244"/>
      <c r="AP3" s="2244"/>
      <c r="AQ3" s="2244"/>
      <c r="AR3" s="2245"/>
      <c r="AS3" s="1259" t="s">
        <v>528</v>
      </c>
      <c r="AU3" s="501"/>
      <c r="AV3" s="501" t="str">
        <f>IF(T3="","",T3)</f>
        <v>Территория действия тарифа</v>
      </c>
      <c r="AW3" s="501"/>
      <c r="AX3" s="501"/>
      <c r="AY3" s="1156">
        <v>0</v>
      </c>
    </row>
    <row customHeight="1" ht="23.25" hidden="1">
      <c r="A4" s="1364"/>
      <c r="B4" s="1364"/>
      <c r="C4" s="1364"/>
      <c r="D4" s="1364"/>
      <c r="E4" s="2260"/>
      <c r="F4" s="2260"/>
      <c r="G4" s="2259">
        <v>1</v>
      </c>
      <c r="H4" s="1364"/>
      <c r="I4" s="1364"/>
      <c r="J4" s="1364"/>
      <c r="K4" s="1364"/>
      <c r="L4" s="1365"/>
      <c r="M4" s="1366"/>
      <c r="N4" s="1366"/>
      <c r="O4" s="1366"/>
      <c r="P4" s="355"/>
      <c r="Q4" s="353"/>
      <c r="R4" s="354"/>
      <c r="S4" s="1494">
        <f>INDEX(PT_DIFFERENTIATION_NUM_CS,MATCH(C4,PT_DIFFERENTIATION_CS_ID,0))</f>
      </c>
      <c r="T4" s="310" t="s">
        <v>661</v>
      </c>
      <c r="U4" s="301"/>
      <c r="V4" s="2243"/>
      <c r="W4" s="2244"/>
      <c r="X4" s="2244"/>
      <c r="Y4" s="2244"/>
      <c r="Z4" s="2244"/>
      <c r="AA4" s="2244"/>
      <c r="AB4" s="2244"/>
      <c r="AC4" s="2244"/>
      <c r="AD4" s="2244"/>
      <c r="AE4" s="2244"/>
      <c r="AF4" s="2245"/>
      <c r="AG4" s="2243">
        <f>INDEX(PT_DIFFERENTIATION_CS,MATCH(C4,PT_DIFFERENTIATION_CS_ID,0))</f>
      </c>
      <c r="AH4" s="2244"/>
      <c r="AI4" s="2244"/>
      <c r="AJ4" s="2244"/>
      <c r="AK4" s="2244"/>
      <c r="AL4" s="2244"/>
      <c r="AM4" s="2244"/>
      <c r="AN4" s="2244"/>
      <c r="AO4" s="2244"/>
      <c r="AP4" s="2244"/>
      <c r="AQ4" s="2244"/>
      <c r="AR4" s="2245"/>
      <c r="AS4" s="1259" t="s">
        <v>662</v>
      </c>
      <c r="AU4" s="501"/>
      <c r="AV4" s="501" t="str">
        <f>IF(T4="","",T4)</f>
        <v>Наименование централизованной системы горячего водоснабжения</v>
      </c>
      <c r="AW4" s="501"/>
      <c r="AX4" s="501"/>
      <c r="AY4" s="1156">
        <v>0</v>
      </c>
    </row>
    <row customHeight="1" ht="23.25" hidden="1">
      <c r="A5" s="1364"/>
      <c r="B5" s="1364"/>
      <c r="C5" s="1364"/>
      <c r="D5" s="1364"/>
      <c r="E5" s="2260"/>
      <c r="F5" s="2260"/>
      <c r="G5" s="2260"/>
      <c r="H5" s="2260"/>
      <c r="I5" s="2257">
        <f>S4&amp;".1"</f>
      </c>
      <c r="J5" s="1364"/>
      <c r="K5" s="1364"/>
      <c r="L5" s="1365"/>
      <c r="P5" s="2258">
        <v>1</v>
      </c>
      <c r="Q5" s="1482"/>
      <c r="R5" s="357"/>
      <c r="S5" s="1494">
        <f>$I5</f>
      </c>
      <c r="T5" s="286" t="s">
        <v>614</v>
      </c>
      <c r="U5" s="301"/>
      <c r="V5" s="2351"/>
      <c r="W5" s="2352"/>
      <c r="X5" s="2352"/>
      <c r="Y5" s="2352"/>
      <c r="Z5" s="2352"/>
      <c r="AA5" s="2352"/>
      <c r="AB5" s="2352"/>
      <c r="AC5" s="2352"/>
      <c r="AD5" s="2352"/>
      <c r="AE5" s="2352"/>
      <c r="AF5" s="2353"/>
      <c r="AG5" s="2354"/>
      <c r="AH5" s="2355"/>
      <c r="AI5" s="2355"/>
      <c r="AJ5" s="2355"/>
      <c r="AK5" s="2355"/>
      <c r="AL5" s="2355"/>
      <c r="AM5" s="2355"/>
      <c r="AN5" s="2355"/>
      <c r="AO5" s="2355"/>
      <c r="AP5" s="2355"/>
      <c r="AQ5" s="2355"/>
      <c r="AR5" s="2356"/>
      <c r="AS5" s="1259" t="s">
        <v>615</v>
      </c>
      <c r="AU5" s="501"/>
      <c r="AV5" s="501" t="str">
        <f>IF(T5="","",T5)</f>
        <v>Наименование признака дифференциации</v>
      </c>
      <c r="AW5" s="501"/>
      <c r="AX5" s="501"/>
      <c r="AY5" s="1156">
        <v>0</v>
      </c>
    </row>
    <row customHeight="1" ht="23.25" hidden="1">
      <c r="A6" s="1364"/>
      <c r="B6" s="1364"/>
      <c r="C6" s="1364"/>
      <c r="D6" s="1364"/>
      <c r="E6" s="2260"/>
      <c r="F6" s="2260"/>
      <c r="G6" s="2260"/>
      <c r="H6" s="2260"/>
      <c r="I6" s="2287"/>
      <c r="J6" s="2257">
        <f>I5&amp;".1"</f>
      </c>
      <c r="K6" s="1364"/>
      <c r="L6" s="1365" t="s">
        <v>536</v>
      </c>
      <c r="P6" s="2258"/>
      <c r="Q6" s="2258">
        <v>1</v>
      </c>
      <c r="R6" s="358"/>
      <c r="S6" s="1494">
        <f>$J6</f>
      </c>
      <c r="T6" s="287" t="s">
        <v>537</v>
      </c>
      <c r="U6" s="301"/>
      <c r="V6" s="2246"/>
      <c r="W6" s="2247"/>
      <c r="X6" s="2247"/>
      <c r="Y6" s="2247"/>
      <c r="Z6" s="2247"/>
      <c r="AA6" s="2247"/>
      <c r="AB6" s="2247"/>
      <c r="AC6" s="2247"/>
      <c r="AD6" s="2247"/>
      <c r="AE6" s="2247"/>
      <c r="AF6" s="2248"/>
      <c r="AG6" s="2246"/>
      <c r="AH6" s="2247"/>
      <c r="AI6" s="2247"/>
      <c r="AJ6" s="2247"/>
      <c r="AK6" s="2247"/>
      <c r="AL6" s="2247"/>
      <c r="AM6" s="2247"/>
      <c r="AN6" s="2247"/>
      <c r="AO6" s="2247"/>
      <c r="AP6" s="2247"/>
      <c r="AQ6" s="2247"/>
      <c r="AR6" s="2248"/>
      <c r="AS6" s="1308" t="s">
        <v>616</v>
      </c>
      <c r="AU6" s="501"/>
      <c r="AV6" s="501" t="str">
        <f>IF(T6="","",T6)</f>
        <v>Группа потребителей</v>
      </c>
      <c r="AW6" s="501"/>
      <c r="AX6" s="501"/>
      <c r="AY6" s="1156">
        <v>0</v>
      </c>
    </row>
    <row customHeight="1" ht="23.25" hidden="1">
      <c r="A7" s="1364"/>
      <c r="B7" s="1364"/>
      <c r="C7" s="1364"/>
      <c r="D7" s="1364"/>
      <c r="E7" s="2260"/>
      <c r="F7" s="2260"/>
      <c r="G7" s="2260"/>
      <c r="H7" s="2260"/>
      <c r="I7" s="2287"/>
      <c r="J7" s="2287"/>
      <c r="K7" s="2257">
        <f>J6&amp;".1"</f>
      </c>
      <c r="L7" s="1365"/>
      <c r="P7" s="2258"/>
      <c r="Q7" s="2258"/>
      <c r="R7" s="358">
        <v>1</v>
      </c>
      <c r="S7" s="1494">
        <f>$K7</f>
      </c>
      <c r="T7" s="1438"/>
      <c r="U7" s="301"/>
      <c r="V7" s="752"/>
      <c r="W7" s="752"/>
      <c r="X7" s="752"/>
      <c r="Y7" s="752"/>
      <c r="Z7" s="752"/>
      <c r="AA7" s="752"/>
      <c r="AB7" s="1258"/>
      <c r="AC7" s="2266"/>
      <c r="AD7" s="2108" t="s">
        <v>65</v>
      </c>
      <c r="AE7" s="2266"/>
      <c r="AF7" s="2108" t="s">
        <v>65</v>
      </c>
      <c r="AG7" s="752"/>
      <c r="AH7" s="752"/>
      <c r="AI7" s="752"/>
      <c r="AJ7" s="752"/>
      <c r="AK7" s="752"/>
      <c r="AL7" s="752"/>
      <c r="AM7" s="1258"/>
      <c r="AN7" s="2266"/>
      <c r="AO7" s="2108" t="s">
        <v>65</v>
      </c>
      <c r="AP7" s="2288"/>
      <c r="AQ7" s="2108" t="s">
        <v>65</v>
      </c>
      <c r="AR7" s="1439"/>
      <c r="AS7" s="2350"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7" s="512">
        <f>STRCHECKDATE(V8:AR8)</f>
      </c>
      <c r="AU7" s="501"/>
      <c r="AV7" s="501" t="str">
        <f>IF(T7="","",T7)</f>
        <v/>
      </c>
      <c r="AW7" s="501"/>
      <c r="AX7" s="501"/>
      <c r="AY7" s="1156">
        <v>0</v>
      </c>
    </row>
    <row customHeight="1" ht="14.25" hidden="1">
      <c r="A8" s="1364"/>
      <c r="B8" s="1364"/>
      <c r="C8" s="1364"/>
      <c r="D8" s="1364"/>
      <c r="E8" s="2260"/>
      <c r="F8" s="2260"/>
      <c r="G8" s="2260"/>
      <c r="H8" s="2260"/>
      <c r="I8" s="2287"/>
      <c r="J8" s="2287"/>
      <c r="K8" s="2257"/>
      <c r="L8" s="1365"/>
      <c r="P8" s="2258"/>
      <c r="Q8" s="2258"/>
      <c r="R8" s="358"/>
      <c r="S8" s="1491"/>
      <c r="T8" s="301"/>
      <c r="U8" s="301"/>
      <c r="V8" s="326"/>
      <c r="W8" s="326"/>
      <c r="X8" s="326"/>
      <c r="Y8" s="326"/>
      <c r="Z8" s="326"/>
      <c r="AA8" s="326"/>
      <c r="AB8" s="329" t="str">
        <f>AC7&amp;"-"&amp;AE7</f>
        <v>-</v>
      </c>
      <c r="AC8" s="2267"/>
      <c r="AD8" s="2108"/>
      <c r="AE8" s="2267"/>
      <c r="AF8" s="2108"/>
      <c r="AG8" s="326"/>
      <c r="AH8" s="326"/>
      <c r="AI8" s="326"/>
      <c r="AJ8" s="326"/>
      <c r="AK8" s="326"/>
      <c r="AL8" s="326"/>
      <c r="AM8" s="329" t="str">
        <f>AN7&amp;"-"&amp;AP7</f>
        <v>-</v>
      </c>
      <c r="AN8" s="2267"/>
      <c r="AO8" s="2108"/>
      <c r="AP8" s="2289"/>
      <c r="AQ8" s="2108"/>
      <c r="AR8" s="1440"/>
      <c r="AS8" s="2350"/>
      <c r="AU8" s="501"/>
      <c r="AV8" s="501" t="str">
        <f>IF(T8="","",T8)</f>
        <v/>
      </c>
      <c r="AW8" s="501"/>
      <c r="AX8" s="501"/>
      <c r="AY8" s="1156">
        <v>0</v>
      </c>
    </row>
    <row customHeight="1" ht="21" hidden="1">
      <c r="A9" s="1364"/>
      <c r="B9" s="1364"/>
      <c r="C9" s="1364"/>
      <c r="D9" s="1364"/>
      <c r="E9" s="2260"/>
      <c r="F9" s="2260"/>
      <c r="G9" s="2260"/>
      <c r="H9" s="2260"/>
      <c r="I9" s="2287"/>
      <c r="J9" s="2257"/>
      <c r="K9" s="1364"/>
      <c r="L9" s="1365"/>
      <c r="P9" s="2258"/>
      <c r="Q9" s="2258"/>
      <c r="R9" s="357"/>
      <c r="S9" s="1279"/>
      <c r="T9" s="288" t="s">
        <v>617</v>
      </c>
      <c r="U9" s="368"/>
      <c r="V9" s="368"/>
      <c r="W9" s="601"/>
      <c r="X9" s="601"/>
      <c r="Y9" s="601"/>
      <c r="Z9" s="601"/>
      <c r="AA9" s="601"/>
      <c r="AB9" s="368"/>
      <c r="AC9" s="368"/>
      <c r="AD9" s="368"/>
      <c r="AE9" s="368"/>
      <c r="AF9" s="368"/>
      <c r="AG9" s="368"/>
      <c r="AH9" s="601"/>
      <c r="AI9" s="601"/>
      <c r="AJ9" s="601"/>
      <c r="AK9" s="601"/>
      <c r="AL9" s="601"/>
      <c r="AM9" s="368"/>
      <c r="AN9" s="368"/>
      <c r="AO9" s="368"/>
      <c r="AP9" s="368"/>
      <c r="AQ9" s="368"/>
      <c r="AR9" s="368"/>
      <c r="AS9" s="1259" t="s">
        <v>618</v>
      </c>
      <c r="AU9" s="501"/>
      <c r="AV9" s="501" t="str">
        <f>IF(T9="","",T9)</f>
        <v>Добавить значение признака дифференциации</v>
      </c>
      <c r="AW9" s="501"/>
      <c r="AX9" s="501"/>
      <c r="AY9" s="1156">
        <v>0</v>
      </c>
    </row>
    <row customHeight="1" ht="21" hidden="1">
      <c r="A10" s="1364"/>
      <c r="B10" s="1364"/>
      <c r="C10" s="1364"/>
      <c r="D10" s="1364"/>
      <c r="E10" s="2260"/>
      <c r="F10" s="2260"/>
      <c r="G10" s="2260"/>
      <c r="H10" s="2260"/>
      <c r="I10" s="2257"/>
      <c r="J10" s="1364"/>
      <c r="K10" s="1364"/>
      <c r="L10" s="1365"/>
      <c r="P10" s="2258"/>
      <c r="Q10" s="1482"/>
      <c r="R10" s="357"/>
      <c r="S10" s="1279"/>
      <c r="T10" s="366" t="s">
        <v>542</v>
      </c>
      <c r="U10" s="368"/>
      <c r="V10" s="368"/>
      <c r="W10" s="601"/>
      <c r="X10" s="601"/>
      <c r="Y10" s="601"/>
      <c r="Z10" s="601"/>
      <c r="AA10" s="601"/>
      <c r="AB10" s="368"/>
      <c r="AC10" s="368"/>
      <c r="AD10" s="368"/>
      <c r="AE10" s="368"/>
      <c r="AF10" s="367"/>
      <c r="AG10" s="368"/>
      <c r="AH10" s="601"/>
      <c r="AI10" s="601"/>
      <c r="AJ10" s="601"/>
      <c r="AK10" s="601"/>
      <c r="AL10" s="601"/>
      <c r="AM10" s="368"/>
      <c r="AN10" s="368"/>
      <c r="AO10" s="368"/>
      <c r="AP10" s="368"/>
      <c r="AQ10" s="367"/>
      <c r="AR10" s="368"/>
      <c r="AS10" s="1441"/>
      <c r="AU10" s="501"/>
      <c r="AV10" s="501" t="str">
        <f>IF(T10="","",T10)</f>
        <v>Добавить группу потребителей</v>
      </c>
      <c r="AW10" s="501"/>
      <c r="AX10" s="501"/>
      <c r="AY10" s="1156">
        <v>0</v>
      </c>
    </row>
    <row customHeight="1" ht="21" hidden="1">
      <c r="A11" s="1364"/>
      <c r="B11" s="1364"/>
      <c r="C11" s="1364"/>
      <c r="D11" s="1364"/>
      <c r="E11" s="2260"/>
      <c r="F11" s="2260"/>
      <c r="G11" s="2260"/>
      <c r="H11" s="2259"/>
      <c r="I11" s="1364"/>
      <c r="J11" s="1364"/>
      <c r="K11" s="1364"/>
      <c r="L11" s="1365"/>
      <c r="M11" s="1366"/>
      <c r="N11" s="1366"/>
      <c r="O11" s="538"/>
      <c r="P11" s="361"/>
      <c r="Q11" s="376"/>
      <c r="R11" s="356"/>
      <c r="S11" s="1279"/>
      <c r="T11" s="373" t="s">
        <v>619</v>
      </c>
      <c r="U11" s="368"/>
      <c r="V11" s="368"/>
      <c r="W11" s="601"/>
      <c r="X11" s="601"/>
      <c r="Y11" s="601"/>
      <c r="Z11" s="601"/>
      <c r="AA11" s="601"/>
      <c r="AB11" s="368"/>
      <c r="AC11" s="368"/>
      <c r="AD11" s="368"/>
      <c r="AE11" s="368"/>
      <c r="AF11" s="367"/>
      <c r="AG11" s="368"/>
      <c r="AH11" s="601"/>
      <c r="AI11" s="601"/>
      <c r="AJ11" s="601"/>
      <c r="AK11" s="601"/>
      <c r="AL11" s="601"/>
      <c r="AM11" s="368"/>
      <c r="AN11" s="368"/>
      <c r="AO11" s="368"/>
      <c r="AP11" s="368"/>
      <c r="AQ11" s="367"/>
      <c r="AR11" s="368"/>
      <c r="AS11" s="304"/>
      <c r="AU11" s="501"/>
      <c r="AV11" s="501" t="str">
        <f>IF(T11="","",T11)</f>
        <v>Добавить наименование признака дифференциации</v>
      </c>
      <c r="AW11" s="501"/>
      <c r="AX11" s="501"/>
      <c r="AY11" s="1156">
        <v>0</v>
      </c>
    </row>
    <row s="1643" customFormat="1" customHeight="1" ht="14.25" hidden="1">
      <c r="A12" s="1344"/>
      <c r="B12" s="1344"/>
      <c r="C12" s="1315"/>
      <c r="D12" s="1315"/>
      <c r="E12" s="2260"/>
      <c r="F12" s="2259"/>
      <c r="G12" s="1315"/>
      <c r="H12" s="1315"/>
      <c r="I12" s="1315"/>
      <c r="J12" s="1315"/>
      <c r="K12" s="1315"/>
      <c r="L12" s="1495"/>
      <c r="M12" s="1322"/>
      <c r="N12" s="1322"/>
      <c r="P12" s="1317"/>
      <c r="Q12" s="1318"/>
      <c r="R12" s="1317"/>
      <c r="S12" s="1323"/>
      <c r="T12" s="1326" t="s">
        <v>178</v>
      </c>
      <c r="U12" s="1325"/>
      <c r="V12" s="1325"/>
      <c r="W12" s="1325"/>
      <c r="X12" s="1325"/>
      <c r="Y12" s="1325"/>
      <c r="Z12" s="1325"/>
      <c r="AA12" s="1325"/>
      <c r="AB12" s="1325"/>
      <c r="AC12" s="1325"/>
      <c r="AD12" s="1325"/>
      <c r="AE12" s="1325"/>
      <c r="AF12" s="1325"/>
      <c r="AG12" s="1325"/>
      <c r="AH12" s="1325"/>
      <c r="AI12" s="1325"/>
      <c r="AJ12" s="1325"/>
      <c r="AK12" s="1325"/>
      <c r="AL12" s="1325"/>
      <c r="AM12" s="1325"/>
      <c r="AN12" s="1325"/>
      <c r="AO12" s="1325"/>
      <c r="AP12" s="1325"/>
      <c r="AQ12" s="1325"/>
      <c r="AR12" s="1325"/>
      <c r="AS12" s="1325"/>
      <c r="AU12" s="790"/>
      <c r="AV12" s="790" t="str">
        <f>IF(T12="","",T12)</f>
        <v>Добавить централизованную систему для дифференциации</v>
      </c>
      <c r="AW12" s="790"/>
      <c r="AX12" s="790"/>
      <c r="AY12" s="519">
        <v>0</v>
      </c>
    </row>
    <row s="1643" customFormat="1" customHeight="1" ht="14.25" hidden="1">
      <c r="A13" s="1344"/>
      <c r="B13" s="1344"/>
      <c r="C13" s="1344"/>
      <c r="D13" s="1344"/>
      <c r="E13" s="2259"/>
      <c r="F13" s="1344"/>
      <c r="G13" s="1344"/>
      <c r="H13" s="1344"/>
      <c r="I13" s="1344"/>
      <c r="J13" s="1344"/>
      <c r="K13" s="1344"/>
      <c r="L13" s="1347"/>
      <c r="M13" s="1322"/>
      <c r="N13" s="1322"/>
      <c r="O13" s="519"/>
      <c r="P13" s="381"/>
      <c r="Q13" s="1345"/>
      <c r="R13" s="381"/>
      <c r="S13" s="1323"/>
      <c r="T13" s="1326" t="s">
        <v>183</v>
      </c>
      <c r="U13" s="1325"/>
      <c r="V13" s="1325"/>
      <c r="W13" s="1325"/>
      <c r="X13" s="1325"/>
      <c r="Y13" s="1325"/>
      <c r="Z13" s="1325"/>
      <c r="AA13" s="1325"/>
      <c r="AB13" s="1325"/>
      <c r="AC13" s="1325"/>
      <c r="AD13" s="1325"/>
      <c r="AE13" s="1325"/>
      <c r="AF13" s="1325"/>
      <c r="AG13" s="1325"/>
      <c r="AH13" s="1325"/>
      <c r="AI13" s="1325"/>
      <c r="AJ13" s="1325"/>
      <c r="AK13" s="1325"/>
      <c r="AL13" s="1325"/>
      <c r="AM13" s="1325"/>
      <c r="AN13" s="1325"/>
      <c r="AO13" s="1325"/>
      <c r="AP13" s="1325"/>
      <c r="AQ13" s="1325"/>
      <c r="AR13" s="1325"/>
      <c r="AS13" s="1325"/>
      <c r="AU13" s="501"/>
      <c r="AV13" s="501" t="str">
        <f>IF(T13="","",T13)</f>
        <v>Добавить территорию для дифференциации</v>
      </c>
      <c r="AW13" s="501"/>
      <c r="AX13" s="501"/>
      <c r="AY13" s="512">
        <v>0</v>
      </c>
    </row>
    <row customHeight="1" ht="14.25" hidden="1">
      <c r="AF14" s="328"/>
      <c r="AQ14" s="328"/>
      <c r="AY14" s="1156">
        <v>0</v>
      </c>
    </row>
    <row customHeight="1" ht="14.25" hidden="1">
      <c r="AG15" s="1361"/>
      <c r="AH15" s="1361"/>
      <c r="AI15" s="1361"/>
      <c r="AJ15" s="1361"/>
      <c r="AK15" s="1361"/>
      <c r="AL15" s="1361"/>
      <c r="AM15" s="1362"/>
      <c r="AN15" s="2268"/>
      <c r="AO15" s="2269" t="s">
        <v>65</v>
      </c>
      <c r="AP15" s="2268"/>
      <c r="AQ15" s="2269" t="s">
        <v>65</v>
      </c>
      <c r="AY15" s="1156">
        <v>0</v>
      </c>
    </row>
    <row customHeight="1" ht="14.25" hidden="1">
      <c r="AG16" s="1361"/>
      <c r="AH16" s="1361"/>
      <c r="AI16" s="1361"/>
      <c r="AJ16" s="1361"/>
      <c r="AK16" s="1361"/>
      <c r="AL16" s="1361"/>
      <c r="AM16" s="329" t="str">
        <f>AN15&amp;"-"&amp;AP15</f>
        <v>-</v>
      </c>
      <c r="AN16" s="2269"/>
      <c r="AO16" s="2269"/>
      <c r="AP16" s="2269"/>
      <c r="AQ16" s="2269"/>
      <c r="AY16" s="1156">
        <v>0</v>
      </c>
    </row>
    <row customHeight="1" ht="14.25" hidden="1">
      <c r="AQ17" s="328"/>
      <c r="AY17" s="1156">
        <v>0</v>
      </c>
    </row>
    <row s="1367" customFormat="1" customHeight="1" ht="22.5" hidden="1">
      <c r="L18" s="1479"/>
      <c r="M18" s="1363"/>
      <c r="N18" s="1363"/>
      <c r="O18" s="1368" t="s">
        <v>544</v>
      </c>
      <c r="P18" s="1363"/>
      <c r="Q18" s="1372"/>
      <c r="R18" s="1372"/>
      <c r="S18" s="730"/>
      <c r="W18" s="1367"/>
      <c r="X18" s="1367"/>
      <c r="Y18" s="1367"/>
      <c r="Z18" s="1367"/>
      <c r="AA18" s="1367"/>
      <c r="AC18" s="1368"/>
      <c r="AE18" s="1368"/>
      <c r="AF18" s="1367"/>
      <c r="AH18" s="1367"/>
      <c r="AI18" s="1367"/>
      <c r="AJ18" s="1367"/>
      <c r="AK18" s="1367"/>
      <c r="AL18" s="1367"/>
      <c r="AN18" s="1368"/>
      <c r="AP18" s="1368"/>
      <c r="AQ18" s="1367"/>
      <c r="AT18" s="512"/>
      <c r="AU18" s="512"/>
      <c r="AV18" s="512"/>
      <c r="AW18" s="512"/>
      <c r="AX18" s="512"/>
      <c r="AY18" s="1161">
        <v>0</v>
      </c>
    </row>
    <row s="1367" customFormat="1" customHeight="1" ht="14.25" hidden="1">
      <c r="L19" s="1479"/>
      <c r="M19" s="1363"/>
      <c r="N19" s="1363"/>
      <c r="O19" s="1363"/>
      <c r="P19" s="1363"/>
      <c r="Q19" s="1372"/>
      <c r="R19" s="1372"/>
      <c r="S19" s="730"/>
      <c r="W19" s="1367"/>
      <c r="X19" s="1367"/>
      <c r="Y19" s="1367"/>
      <c r="Z19" s="1367"/>
      <c r="AA19" s="1367"/>
      <c r="AF19" s="1367"/>
      <c r="AH19" s="1367"/>
      <c r="AI19" s="1367"/>
      <c r="AJ19" s="1367"/>
      <c r="AK19" s="1367"/>
      <c r="AL19" s="1367"/>
      <c r="AQ19" s="1367"/>
      <c r="AT19" s="512"/>
      <c r="AU19" s="512"/>
      <c r="AV19" s="512"/>
      <c r="AW19" s="512"/>
      <c r="AX19" s="512"/>
      <c r="AY19" s="1161">
        <v>0</v>
      </c>
    </row>
    <row s="1367" customFormat="1" customHeight="1" ht="12" hidden="1">
      <c r="L20" s="1479"/>
      <c r="M20" s="1363"/>
      <c r="N20" s="1363"/>
      <c r="O20" s="1365" t="s">
        <v>545</v>
      </c>
      <c r="P20" s="1363"/>
      <c r="Q20" s="1443"/>
      <c r="R20" s="1443"/>
      <c r="S20" s="730"/>
      <c r="T20" s="1161" t="s">
        <v>546</v>
      </c>
      <c r="W20" s="1367"/>
      <c r="X20" s="1367"/>
      <c r="Y20" s="1367"/>
      <c r="Z20" s="1367"/>
      <c r="AA20" s="1367"/>
      <c r="AD20" s="187" t="s">
        <v>547</v>
      </c>
      <c r="AF20" s="187" t="s">
        <v>548</v>
      </c>
      <c r="AG20" s="1161" t="s">
        <v>546</v>
      </c>
      <c r="AH20" s="1367"/>
      <c r="AI20" s="1367"/>
      <c r="AJ20" s="1367"/>
      <c r="AK20" s="1367"/>
      <c r="AL20" s="1367"/>
      <c r="AO20" s="187" t="s">
        <v>549</v>
      </c>
      <c r="AQ20" s="187" t="s">
        <v>548</v>
      </c>
      <c r="AY20" s="1161">
        <v>0</v>
      </c>
    </row>
    <row customHeight="1" ht="14.25" hidden="1">
      <c r="O21" s="1365"/>
      <c r="AY21" s="1156">
        <v>0</v>
      </c>
    </row>
    <row customHeight="1" ht="14.25" hidden="1">
      <c r="O22" s="1365"/>
      <c r="AY22" s="1156">
        <v>0</v>
      </c>
    </row>
    <row customHeight="1" ht="14.699999999999998">
      <c r="Q23" s="377"/>
      <c r="R23" s="377"/>
      <c r="S23" s="1276"/>
      <c r="T23" s="364"/>
      <c r="U23" s="364"/>
      <c r="V23" s="510"/>
      <c r="W23" s="1636"/>
      <c r="X23" s="1636"/>
      <c r="Y23" s="1636"/>
      <c r="Z23" s="1636"/>
      <c r="AA23" s="1636"/>
      <c r="AB23" s="510"/>
      <c r="AC23" s="510"/>
      <c r="AD23" s="510"/>
      <c r="AE23" s="510"/>
      <c r="AF23" s="510"/>
      <c r="AG23" s="510"/>
      <c r="AH23" s="1636"/>
      <c r="AI23" s="1636"/>
      <c r="AJ23" s="1636"/>
      <c r="AK23" s="1636"/>
      <c r="AL23" s="1636"/>
      <c r="AM23" s="510"/>
      <c r="AN23" s="510"/>
      <c r="AO23" s="510"/>
      <c r="AP23" s="510"/>
      <c r="AQ23" s="510"/>
      <c r="AY23" s="1156">
        <v>14</v>
      </c>
    </row>
    <row customHeight="1" ht="26.25">
      <c r="Q24" s="377"/>
      <c r="R24" s="377"/>
      <c r="S24" s="2249" t="str">
        <f>IF(TEMPLATE_GROUP="P",PT_P_FORM_HOTVSNA_4_NAME_FORM,PT_R_FORM_HOTVSNA_16_NAME_FORM)</f>
        <v>Форма 2. Информация о тарифах в сфере горячего водоснабжения на товары (услуги) организации горячего водоснабжения, подлежащих регулированию</v>
      </c>
      <c r="T24" s="2249"/>
      <c r="U24" s="2249"/>
      <c r="V24" s="2249"/>
      <c r="W24" s="2249"/>
      <c r="X24" s="2249"/>
      <c r="Y24" s="2249"/>
      <c r="Z24" s="2249"/>
      <c r="AA24" s="2249"/>
      <c r="AB24" s="2249"/>
      <c r="AC24" s="2249"/>
      <c r="AD24" s="2249"/>
      <c r="AE24" s="2249"/>
      <c r="AF24" s="2249"/>
      <c r="AG24" s="2249"/>
      <c r="AH24" s="2249"/>
      <c r="AI24" s="2249"/>
      <c r="AJ24" s="2249"/>
      <c r="AK24" s="2249"/>
      <c r="AL24" s="2249"/>
      <c r="AM24" s="2249"/>
      <c r="AN24" s="2249"/>
      <c r="AO24" s="2249"/>
      <c r="AP24" s="2249"/>
      <c r="AQ24" s="1244"/>
      <c r="AY24" s="1156">
        <v>25</v>
      </c>
    </row>
    <row customHeight="1" ht="14.699999999999998">
      <c r="Q25" s="377"/>
      <c r="R25" s="377"/>
      <c r="S25" s="2250" t="str">
        <f>IF(org=0,"Не определено",org)</f>
        <v>ПАО "ТГК-1" (филиал "Кольский")</v>
      </c>
      <c r="T25" s="2250"/>
      <c r="U25" s="2250"/>
      <c r="V25" s="2250"/>
      <c r="W25" s="2250"/>
      <c r="X25" s="2250"/>
      <c r="Y25" s="2250"/>
      <c r="Z25" s="2250"/>
      <c r="AA25" s="2250"/>
      <c r="AB25" s="2250"/>
      <c r="AC25" s="2250"/>
      <c r="AD25" s="2250"/>
      <c r="AE25" s="2250"/>
      <c r="AF25" s="2250"/>
      <c r="AG25" s="2250"/>
      <c r="AH25" s="2250"/>
      <c r="AI25" s="2250"/>
      <c r="AJ25" s="2250"/>
      <c r="AK25" s="2250"/>
      <c r="AL25" s="2250"/>
      <c r="AM25" s="2250"/>
      <c r="AN25" s="2250"/>
      <c r="AO25" s="2250"/>
      <c r="AP25" s="2250"/>
      <c r="AQ25" s="1244"/>
      <c r="AY25" s="1156">
        <v>14</v>
      </c>
    </row>
    <row customHeight="1" ht="14.25">
      <c r="Q26" s="377"/>
      <c r="R26" s="377"/>
      <c r="S26" s="1276"/>
      <c r="T26" s="364"/>
      <c r="U26" s="364"/>
      <c r="V26" s="323"/>
      <c r="W26" s="323"/>
      <c r="X26" s="323"/>
      <c r="Y26" s="323"/>
      <c r="Z26" s="323"/>
      <c r="AA26" s="323"/>
      <c r="AB26" s="323"/>
      <c r="AC26" s="323"/>
      <c r="AD26" s="323"/>
      <c r="AE26" s="323"/>
      <c r="AF26" s="323"/>
      <c r="AG26" s="323"/>
      <c r="AH26" s="323"/>
      <c r="AI26" s="323"/>
      <c r="AJ26" s="323"/>
      <c r="AK26" s="323"/>
      <c r="AL26" s="323"/>
      <c r="AM26" s="323"/>
      <c r="AN26" s="323"/>
      <c r="AO26" s="323"/>
      <c r="AP26" s="323"/>
      <c r="AQ26" s="323"/>
      <c r="AR26" s="510"/>
      <c r="AY26" s="1156">
        <v>0</v>
      </c>
    </row>
    <row s="1854" customFormat="1" customHeight="1" ht="25.5">
      <c r="A27" s="1369"/>
      <c r="B27" s="1369"/>
      <c r="C27" s="1369"/>
      <c r="D27" s="1369"/>
      <c r="E27" s="1369"/>
      <c r="F27" s="1369"/>
      <c r="G27" s="1369"/>
      <c r="H27" s="1369"/>
      <c r="I27" s="1369"/>
      <c r="J27" s="1369"/>
      <c r="K27" s="1369"/>
      <c r="L27" s="1370"/>
      <c r="M27" s="1369"/>
      <c r="N27" s="1369"/>
      <c r="O27" s="1369"/>
      <c r="S27" s="2251" t="s">
        <v>42</v>
      </c>
      <c r="T27" s="2251"/>
      <c r="U27" s="1373"/>
      <c r="V27" s="2252" t="str">
        <f>IF(TITLE_NAME_OR_PR_CHANGE="",IF(TITLE_NAME_OR_PR="","",TITLE_NAME_OR_PR),TITLE_NAME_OR_PR_CHANGE)</f>
        <v>Комитет по тарифному регулированию Мурманской области</v>
      </c>
      <c r="W27" s="2252"/>
      <c r="X27" s="2252"/>
      <c r="Y27" s="2252"/>
      <c r="Z27" s="2252"/>
      <c r="AA27" s="2252"/>
      <c r="AB27" s="2252"/>
      <c r="AC27" s="2252"/>
      <c r="AD27" s="2252"/>
      <c r="AE27" s="2252"/>
      <c r="AF27" s="327"/>
      <c r="AG27" s="2252" t="str">
        <f>IF(TITLE_NAME_OR_PR_CHANGE="",IF(TITLE_NAME_OR_PR="","",TITLE_NAME_OR_PR),TITLE_NAME_OR_PR_CHANGE)</f>
        <v>Комитет по тарифному регулированию Мурманской области</v>
      </c>
      <c r="AH27" s="2252"/>
      <c r="AI27" s="2252"/>
      <c r="AJ27" s="2252"/>
      <c r="AK27" s="2252"/>
      <c r="AL27" s="2252"/>
      <c r="AM27" s="2252"/>
      <c r="AN27" s="2252"/>
      <c r="AO27" s="2252"/>
      <c r="AP27" s="2252"/>
      <c r="AQ27" s="327"/>
      <c r="AR27" s="327"/>
      <c r="AS27" s="281"/>
      <c r="AT27" s="369"/>
      <c r="AU27" s="369"/>
      <c r="AV27" s="369"/>
      <c r="AW27" s="369"/>
      <c r="AX27" s="369"/>
      <c r="AY27" s="419">
        <v>0</v>
      </c>
    </row>
    <row s="1854" customFormat="1" customHeight="1" ht="18.75">
      <c r="A28" s="1369"/>
      <c r="B28" s="1369"/>
      <c r="C28" s="1369"/>
      <c r="D28" s="1369"/>
      <c r="E28" s="1369"/>
      <c r="F28" s="1369"/>
      <c r="G28" s="1369"/>
      <c r="H28" s="1369"/>
      <c r="I28" s="1369"/>
      <c r="J28" s="1369"/>
      <c r="K28" s="1369"/>
      <c r="L28" s="1370"/>
      <c r="M28" s="1369"/>
      <c r="N28" s="1369"/>
      <c r="O28" s="1369"/>
      <c r="S28" s="2251" t="s">
        <v>550</v>
      </c>
      <c r="T28" s="2251"/>
      <c r="U28" s="1373"/>
      <c r="V28" s="2265" t="str">
        <f>IF(TITLE_DATE_PR_CHANGE="",IF(TITLE_DATE_PR="","",TITLE_DATE_PR),TITLE_DATE_PR_CHANGE)</f>
        <v>46010</v>
      </c>
      <c r="W28" s="2265"/>
      <c r="X28" s="2265"/>
      <c r="Y28" s="2265"/>
      <c r="Z28" s="2265"/>
      <c r="AA28" s="2265"/>
      <c r="AB28" s="2265"/>
      <c r="AC28" s="2265"/>
      <c r="AD28" s="2265"/>
      <c r="AE28" s="2265"/>
      <c r="AF28" s="327"/>
      <c r="AG28" s="2265" t="str">
        <f>IF(TITLE_DATE_PR_CHANGE="",IF(TITLE_DATE_PR="","",TITLE_DATE_PR),TITLE_DATE_PR_CHANGE)</f>
        <v>46010</v>
      </c>
      <c r="AH28" s="2265"/>
      <c r="AI28" s="2265"/>
      <c r="AJ28" s="2265"/>
      <c r="AK28" s="2265"/>
      <c r="AL28" s="2265"/>
      <c r="AM28" s="2265"/>
      <c r="AN28" s="2265"/>
      <c r="AO28" s="2265"/>
      <c r="AP28" s="2265"/>
      <c r="AQ28" s="327"/>
      <c r="AR28" s="327"/>
      <c r="AS28" s="281"/>
      <c r="AT28" s="369"/>
      <c r="AU28" s="369"/>
      <c r="AV28" s="369"/>
      <c r="AW28" s="369"/>
      <c r="AX28" s="369"/>
      <c r="AY28" s="419">
        <v>0</v>
      </c>
    </row>
    <row s="1854" customFormat="1" customHeight="1" ht="18.75">
      <c r="A29" s="1369"/>
      <c r="B29" s="1369"/>
      <c r="C29" s="1369"/>
      <c r="D29" s="1369"/>
      <c r="E29" s="1369"/>
      <c r="F29" s="1369"/>
      <c r="G29" s="1369"/>
      <c r="H29" s="1369"/>
      <c r="I29" s="1369"/>
      <c r="J29" s="1369"/>
      <c r="K29" s="1369"/>
      <c r="L29" s="1370"/>
      <c r="M29" s="1369"/>
      <c r="N29" s="1369"/>
      <c r="O29" s="1369"/>
      <c r="S29" s="2251" t="s">
        <v>551</v>
      </c>
      <c r="T29" s="2251"/>
      <c r="U29" s="1373"/>
      <c r="V29" s="2252" t="str">
        <f>IF(TITLE_NUMBER_PR_CHANGE="",IF(TITLE_NUMBER_PR="","",TITLE_NUMBER_PR),TITLE_NUMBER_PR_CHANGE)</f>
        <v>53/77; 53/49</v>
      </c>
      <c r="W29" s="2252"/>
      <c r="X29" s="2252"/>
      <c r="Y29" s="2252"/>
      <c r="Z29" s="2252"/>
      <c r="AA29" s="2252"/>
      <c r="AB29" s="2252"/>
      <c r="AC29" s="2252"/>
      <c r="AD29" s="2252"/>
      <c r="AE29" s="2252"/>
      <c r="AF29" s="327"/>
      <c r="AG29" s="2252" t="str">
        <f>IF(TITLE_NUMBER_PR_CHANGE="",IF(TITLE_NUMBER_PR="","",TITLE_NUMBER_PR),TITLE_NUMBER_PR_CHANGE)</f>
        <v>53/77; 53/49</v>
      </c>
      <c r="AH29" s="2252"/>
      <c r="AI29" s="2252"/>
      <c r="AJ29" s="2252"/>
      <c r="AK29" s="2252"/>
      <c r="AL29" s="2252"/>
      <c r="AM29" s="2252"/>
      <c r="AN29" s="2252"/>
      <c r="AO29" s="2252"/>
      <c r="AP29" s="2252"/>
      <c r="AQ29" s="327"/>
      <c r="AR29" s="327"/>
      <c r="AS29" s="281"/>
      <c r="AT29" s="369"/>
      <c r="AU29" s="369"/>
      <c r="AV29" s="369"/>
      <c r="AW29" s="369"/>
      <c r="AX29" s="369"/>
      <c r="AY29" s="419">
        <v>0</v>
      </c>
    </row>
    <row s="1854" customFormat="1" customHeight="1" ht="18.75">
      <c r="A30" s="1369"/>
      <c r="B30" s="1369"/>
      <c r="C30" s="1369"/>
      <c r="D30" s="1369"/>
      <c r="E30" s="1369"/>
      <c r="F30" s="1369"/>
      <c r="G30" s="1369"/>
      <c r="H30" s="1369"/>
      <c r="I30" s="1369"/>
      <c r="J30" s="1369"/>
      <c r="K30" s="1369"/>
      <c r="L30" s="1370"/>
      <c r="M30" s="1369"/>
      <c r="N30" s="1369"/>
      <c r="O30" s="1369"/>
      <c r="S30" s="2251" t="s">
        <v>44</v>
      </c>
      <c r="T30" s="2251"/>
      <c r="U30" s="1373"/>
      <c r="V30" s="2252" t="str">
        <f>IF(TITLE_IST_PUB_CHANGE="",IF(TITLE_IST_PUB="","",TITLE_IST_PUB),TITLE_IST_PUB_CHANGE)</f>
        <v>Официальный электронный бюллетень Правительства Мурманской области</v>
      </c>
      <c r="W30" s="2252"/>
      <c r="X30" s="2252"/>
      <c r="Y30" s="2252"/>
      <c r="Z30" s="2252"/>
      <c r="AA30" s="2252"/>
      <c r="AB30" s="2252"/>
      <c r="AC30" s="2252"/>
      <c r="AD30" s="2252"/>
      <c r="AE30" s="2252"/>
      <c r="AF30" s="327"/>
      <c r="AG30" s="2252" t="str">
        <f>IF(TITLE_IST_PUB_CHANGE="",IF(TITLE_IST_PUB="","",TITLE_IST_PUB),TITLE_IST_PUB_CHANGE)</f>
        <v>Официальный электронный бюллетень Правительства Мурманской области</v>
      </c>
      <c r="AH30" s="2252"/>
      <c r="AI30" s="2252"/>
      <c r="AJ30" s="2252"/>
      <c r="AK30" s="2252"/>
      <c r="AL30" s="2252"/>
      <c r="AM30" s="2252"/>
      <c r="AN30" s="2252"/>
      <c r="AO30" s="2252"/>
      <c r="AP30" s="2252"/>
      <c r="AQ30" s="327"/>
      <c r="AR30" s="327"/>
      <c r="AS30" s="281"/>
      <c r="AT30" s="369"/>
      <c r="AU30" s="369"/>
      <c r="AV30" s="369"/>
      <c r="AW30" s="369"/>
      <c r="AX30" s="369"/>
      <c r="AY30" s="419">
        <v>0</v>
      </c>
    </row>
    <row customHeight="1" ht="14.25" hidden="1">
      <c r="Q31" s="377"/>
      <c r="R31" s="377"/>
      <c r="S31" s="1276"/>
      <c r="T31" s="364"/>
      <c r="U31" s="364"/>
      <c r="V31" s="323"/>
      <c r="W31" s="323"/>
      <c r="X31" s="323"/>
      <c r="Y31" s="323"/>
      <c r="Z31" s="323"/>
      <c r="AA31" s="323"/>
      <c r="AB31" s="323"/>
      <c r="AC31" s="323"/>
      <c r="AD31" s="323"/>
      <c r="AE31" s="323"/>
      <c r="AF31" s="323"/>
      <c r="AG31" s="323"/>
      <c r="AH31" s="323"/>
      <c r="AI31" s="323"/>
      <c r="AJ31" s="323"/>
      <c r="AK31" s="323"/>
      <c r="AL31" s="323"/>
      <c r="AM31" s="323"/>
      <c r="AN31" s="323"/>
      <c r="AO31" s="323"/>
      <c r="AP31" s="323"/>
      <c r="AQ31" s="323"/>
      <c r="AR31" s="510"/>
      <c r="AY31" s="1156">
        <v>0</v>
      </c>
    </row>
    <row s="1854" customFormat="1" customHeight="1" ht="18.75" hidden="1">
      <c r="A32" s="1369"/>
      <c r="B32" s="1369"/>
      <c r="C32" s="1369"/>
      <c r="D32" s="1369"/>
      <c r="E32" s="1369"/>
      <c r="F32" s="1369"/>
      <c r="G32" s="1369"/>
      <c r="H32" s="1369"/>
      <c r="I32" s="1369"/>
      <c r="J32" s="1369"/>
      <c r="K32" s="1369"/>
      <c r="L32" s="1370"/>
      <c r="M32" s="1369"/>
      <c r="N32" s="1369"/>
      <c r="O32" s="1369"/>
      <c r="S32" s="2251" t="s">
        <v>552</v>
      </c>
      <c r="T32" s="2251"/>
      <c r="U32" s="1373"/>
      <c r="V32" s="2265" t="str">
        <f>IF(TITLE_DATE_PR_CHANGE="",IF(TITLE_DATE_PR="","",TITLE_DATE_PR),TITLE_DATE_PR_CHANGE)</f>
        <v>46010</v>
      </c>
      <c r="W32" s="2265"/>
      <c r="X32" s="2265"/>
      <c r="Y32" s="2265"/>
      <c r="Z32" s="2265"/>
      <c r="AA32" s="2265"/>
      <c r="AB32" s="2265"/>
      <c r="AC32" s="2265"/>
      <c r="AD32" s="2265"/>
      <c r="AE32" s="2265"/>
      <c r="AF32" s="327"/>
      <c r="AG32" s="2265" t="str">
        <f>IF(TITLE_DATE_PR_CHANGE="",IF(TITLE_DATE_PR="","",TITLE_DATE_PR),TITLE_DATE_PR_CHANGE)</f>
        <v>46010</v>
      </c>
      <c r="AH32" s="2265"/>
      <c r="AI32" s="2265"/>
      <c r="AJ32" s="2265"/>
      <c r="AK32" s="2265"/>
      <c r="AL32" s="2265"/>
      <c r="AM32" s="2265"/>
      <c r="AN32" s="2265"/>
      <c r="AO32" s="2265"/>
      <c r="AP32" s="2265"/>
      <c r="AQ32" s="327"/>
      <c r="AR32" s="327"/>
      <c r="AS32" s="281"/>
      <c r="AT32" s="369"/>
      <c r="AU32" s="369"/>
      <c r="AV32" s="369"/>
      <c r="AW32" s="369"/>
      <c r="AX32" s="369"/>
      <c r="AY32" s="419">
        <v>0</v>
      </c>
    </row>
    <row s="1854" customFormat="1" customHeight="1" ht="18.75" hidden="1">
      <c r="A33" s="1369"/>
      <c r="B33" s="1369"/>
      <c r="C33" s="1369"/>
      <c r="D33" s="1369"/>
      <c r="E33" s="1369"/>
      <c r="F33" s="1369"/>
      <c r="G33" s="1369"/>
      <c r="H33" s="1369"/>
      <c r="I33" s="1369"/>
      <c r="J33" s="1369"/>
      <c r="K33" s="1369"/>
      <c r="L33" s="1370"/>
      <c r="M33" s="1369"/>
      <c r="N33" s="1369"/>
      <c r="O33" s="1369"/>
      <c r="S33" s="2251" t="s">
        <v>553</v>
      </c>
      <c r="T33" s="2251"/>
      <c r="U33" s="1373"/>
      <c r="V33" s="2252" t="str">
        <f>IF(TITLE_NUMBER_PR_CHANGE="",IF(TITLE_NUMBER_PR="","",TITLE_NUMBER_PR),TITLE_NUMBER_PR_CHANGE)</f>
        <v>53/77; 53/49</v>
      </c>
      <c r="W33" s="2252"/>
      <c r="X33" s="2252"/>
      <c r="Y33" s="2252"/>
      <c r="Z33" s="2252"/>
      <c r="AA33" s="2252"/>
      <c r="AB33" s="2252"/>
      <c r="AC33" s="2252"/>
      <c r="AD33" s="2252"/>
      <c r="AE33" s="2252"/>
      <c r="AF33" s="327"/>
      <c r="AG33" s="2252" t="str">
        <f>IF(TITLE_NUMBER_PR_CHANGE="",IF(TITLE_NUMBER_PR="","",TITLE_NUMBER_PR),TITLE_NUMBER_PR_CHANGE)</f>
        <v>53/77; 53/49</v>
      </c>
      <c r="AH33" s="2252"/>
      <c r="AI33" s="2252"/>
      <c r="AJ33" s="2252"/>
      <c r="AK33" s="2252"/>
      <c r="AL33" s="2252"/>
      <c r="AM33" s="2252"/>
      <c r="AN33" s="2252"/>
      <c r="AO33" s="2252"/>
      <c r="AP33" s="2252"/>
      <c r="AQ33" s="327"/>
      <c r="AR33" s="327"/>
      <c r="AS33" s="281"/>
      <c r="AT33" s="369"/>
      <c r="AU33" s="369"/>
      <c r="AV33" s="369"/>
      <c r="AW33" s="369"/>
      <c r="AX33" s="369"/>
      <c r="AY33" s="419">
        <v>0</v>
      </c>
    </row>
    <row s="1854" customFormat="1" customHeight="1" ht="1.05">
      <c r="A34" s="1369"/>
      <c r="B34" s="1369"/>
      <c r="C34" s="1369"/>
      <c r="D34" s="1369"/>
      <c r="E34" s="1369"/>
      <c r="F34" s="1369"/>
      <c r="G34" s="1369"/>
      <c r="H34" s="1369"/>
      <c r="I34" s="1369"/>
      <c r="J34" s="1369"/>
      <c r="K34" s="1369"/>
      <c r="L34" s="1370"/>
      <c r="M34" s="1369"/>
      <c r="N34" s="1369"/>
      <c r="O34" s="1369"/>
      <c r="S34" s="324"/>
      <c r="T34" s="324"/>
      <c r="U34" s="1489"/>
      <c r="V34" s="327"/>
      <c r="W34" s="1636"/>
      <c r="X34" s="1636"/>
      <c r="Y34" s="1636"/>
      <c r="Z34" s="1636"/>
      <c r="AA34" s="1636"/>
      <c r="AB34" s="327"/>
      <c r="AC34" s="327"/>
      <c r="AD34" s="327"/>
      <c r="AE34" s="327"/>
      <c r="AF34" s="279" t="s">
        <v>554</v>
      </c>
      <c r="AG34" s="327"/>
      <c r="AH34" s="1636"/>
      <c r="AI34" s="1636"/>
      <c r="AJ34" s="1636"/>
      <c r="AK34" s="1636"/>
      <c r="AL34" s="1636"/>
      <c r="AM34" s="327"/>
      <c r="AN34" s="327"/>
      <c r="AO34" s="327"/>
      <c r="AP34" s="327"/>
      <c r="AQ34" s="279" t="s">
        <v>554</v>
      </c>
      <c r="AT34" s="369"/>
      <c r="AU34" s="369"/>
      <c r="AV34" s="369"/>
      <c r="AW34" s="369"/>
      <c r="AX34" s="369"/>
      <c r="AY34" s="419">
        <v>1</v>
      </c>
    </row>
    <row customHeight="1" ht="14.699999999999998">
      <c r="Q35" s="377"/>
      <c r="R35" s="377"/>
      <c r="S35" s="1276"/>
      <c r="T35" s="364"/>
      <c r="U35" s="1245"/>
      <c r="V35" s="2253"/>
      <c r="W35" s="2253"/>
      <c r="X35" s="2253"/>
      <c r="Y35" s="2253"/>
      <c r="Z35" s="2253"/>
      <c r="AA35" s="2253"/>
      <c r="AB35" s="2253"/>
      <c r="AC35" s="2253"/>
      <c r="AD35" s="2253"/>
      <c r="AE35" s="2253"/>
      <c r="AF35" s="2253"/>
      <c r="AG35" s="2253"/>
      <c r="AH35" s="2253"/>
      <c r="AI35" s="2253"/>
      <c r="AJ35" s="2253"/>
      <c r="AK35" s="2253"/>
      <c r="AL35" s="2253"/>
      <c r="AM35" s="2253"/>
      <c r="AN35" s="2253"/>
      <c r="AO35" s="2253"/>
      <c r="AP35" s="2253"/>
      <c r="AQ35" s="2253"/>
      <c r="AY35" s="1156">
        <v>14</v>
      </c>
    </row>
    <row customHeight="1" ht="14.699999999999998">
      <c r="Q36" s="377"/>
      <c r="R36" s="377"/>
      <c r="S36" s="2128" t="s">
        <v>430</v>
      </c>
      <c r="T36" s="2128"/>
      <c r="U36" s="2128"/>
      <c r="V36" s="2128"/>
      <c r="W36" s="2128"/>
      <c r="X36" s="2128"/>
      <c r="Y36" s="2128"/>
      <c r="Z36" s="2128"/>
      <c r="AA36" s="2128"/>
      <c r="AB36" s="2128"/>
      <c r="AC36" s="2128"/>
      <c r="AD36" s="2128"/>
      <c r="AE36" s="2128"/>
      <c r="AF36" s="2128"/>
      <c r="AG36" s="2128"/>
      <c r="AH36" s="2128"/>
      <c r="AI36" s="2128"/>
      <c r="AJ36" s="2128"/>
      <c r="AK36" s="2128"/>
      <c r="AL36" s="2128"/>
      <c r="AM36" s="2128"/>
      <c r="AN36" s="2128"/>
      <c r="AO36" s="2128"/>
      <c r="AP36" s="2128"/>
      <c r="AQ36" s="2128"/>
      <c r="AR36" s="2128"/>
      <c r="AS36" s="2128" t="s">
        <v>431</v>
      </c>
      <c r="AY36" s="1156">
        <v>14</v>
      </c>
    </row>
    <row customHeight="1" ht="14.699999999999998">
      <c r="Q37" s="377"/>
      <c r="R37" s="377"/>
      <c r="S37" s="2274" t="s">
        <v>92</v>
      </c>
      <c r="T37" s="2210" t="s">
        <v>555</v>
      </c>
      <c r="U37" s="302"/>
      <c r="V37" s="2275" t="s">
        <v>556</v>
      </c>
      <c r="W37" s="2276"/>
      <c r="X37" s="2276"/>
      <c r="Y37" s="2276"/>
      <c r="Z37" s="2276"/>
      <c r="AA37" s="2276"/>
      <c r="AB37" s="2276"/>
      <c r="AC37" s="2276"/>
      <c r="AD37" s="2276"/>
      <c r="AE37" s="2277"/>
      <c r="AF37" s="2278" t="s">
        <v>557</v>
      </c>
      <c r="AG37" s="2275" t="s">
        <v>556</v>
      </c>
      <c r="AH37" s="2276"/>
      <c r="AI37" s="2276"/>
      <c r="AJ37" s="2276"/>
      <c r="AK37" s="2276"/>
      <c r="AL37" s="2276"/>
      <c r="AM37" s="2276"/>
      <c r="AN37" s="2276"/>
      <c r="AO37" s="2276"/>
      <c r="AP37" s="2277"/>
      <c r="AQ37" s="2278" t="s">
        <v>558</v>
      </c>
      <c r="AR37" s="2281" t="s">
        <v>559</v>
      </c>
      <c r="AS37" s="2128"/>
      <c r="AY37" s="1156">
        <v>14</v>
      </c>
    </row>
    <row s="1636" customFormat="1" customHeight="1" ht="19.95">
      <c r="A38" s="1367"/>
      <c r="B38" s="1367"/>
      <c r="C38" s="1367"/>
      <c r="D38" s="1367"/>
      <c r="E38" s="1367"/>
      <c r="F38" s="1367"/>
      <c r="G38" s="1367"/>
      <c r="H38" s="1367"/>
      <c r="I38" s="1367"/>
      <c r="J38" s="1367"/>
      <c r="K38" s="1367"/>
      <c r="L38" s="1981"/>
      <c r="M38" s="1363"/>
      <c r="N38" s="1363"/>
      <c r="O38" s="1363"/>
      <c r="P38" s="1982"/>
      <c r="Q38" s="377"/>
      <c r="R38" s="377"/>
      <c r="S38" s="2274"/>
      <c r="T38" s="2210"/>
      <c r="U38" s="1032"/>
      <c r="V38" s="2367" t="s">
        <v>663</v>
      </c>
      <c r="W38" s="2366" t="s">
        <v>664</v>
      </c>
      <c r="X38" s="2366"/>
      <c r="Y38" s="2366"/>
      <c r="Z38" s="2366" t="s">
        <v>665</v>
      </c>
      <c r="AA38" s="2366"/>
      <c r="AB38" s="2366"/>
      <c r="AC38" s="2295" t="s">
        <v>563</v>
      </c>
      <c r="AD38" s="2314"/>
      <c r="AE38" s="2315"/>
      <c r="AF38" s="2279"/>
      <c r="AG38" s="2367" t="s">
        <v>663</v>
      </c>
      <c r="AH38" s="2366" t="s">
        <v>664</v>
      </c>
      <c r="AI38" s="2366"/>
      <c r="AJ38" s="2366"/>
      <c r="AK38" s="2366" t="s">
        <v>665</v>
      </c>
      <c r="AL38" s="2366"/>
      <c r="AM38" s="2366"/>
      <c r="AN38" s="2295" t="s">
        <v>563</v>
      </c>
      <c r="AO38" s="2314"/>
      <c r="AP38" s="2315"/>
      <c r="AQ38" s="2279"/>
      <c r="AR38" s="2282"/>
      <c r="AS38" s="2128"/>
      <c r="AT38" s="1637"/>
      <c r="AU38" s="1637"/>
      <c r="AV38" s="1637"/>
      <c r="AW38" s="1637"/>
      <c r="AX38" s="1637"/>
      <c r="AY38" s="1632">
        <v>19</v>
      </c>
    </row>
    <row customHeight="1" ht="19.95">
      <c r="Q39" s="377"/>
      <c r="R39" s="377"/>
      <c r="S39" s="2274"/>
      <c r="T39" s="2210"/>
      <c r="U39" s="1032"/>
      <c r="V39" s="2367"/>
      <c r="W39" s="2366" t="s">
        <v>666</v>
      </c>
      <c r="X39" s="2366" t="s">
        <v>667</v>
      </c>
      <c r="Y39" s="2366"/>
      <c r="Z39" s="2366" t="s">
        <v>668</v>
      </c>
      <c r="AA39" s="2366" t="s">
        <v>667</v>
      </c>
      <c r="AB39" s="2366"/>
      <c r="AC39" s="2296"/>
      <c r="AD39" s="2316"/>
      <c r="AE39" s="2317"/>
      <c r="AF39" s="2279"/>
      <c r="AG39" s="2367"/>
      <c r="AH39" s="2366" t="s">
        <v>666</v>
      </c>
      <c r="AI39" s="2366" t="s">
        <v>667</v>
      </c>
      <c r="AJ39" s="2366"/>
      <c r="AK39" s="2366" t="s">
        <v>668</v>
      </c>
      <c r="AL39" s="2366" t="s">
        <v>667</v>
      </c>
      <c r="AM39" s="2366"/>
      <c r="AN39" s="2296"/>
      <c r="AO39" s="2316"/>
      <c r="AP39" s="2317"/>
      <c r="AQ39" s="2279"/>
      <c r="AR39" s="2282"/>
      <c r="AS39" s="2128"/>
      <c r="AY39" s="1156">
        <v>19</v>
      </c>
    </row>
    <row customHeight="1" ht="61.949999999999996">
      <c r="A40" s="1371"/>
      <c r="B40" s="1371" t="s">
        <v>148</v>
      </c>
      <c r="C40" s="1371" t="s">
        <v>149</v>
      </c>
      <c r="D40" s="1371" t="s">
        <v>150</v>
      </c>
      <c r="E40" s="1365" t="s">
        <v>564</v>
      </c>
      <c r="F40" s="1365" t="s">
        <v>565</v>
      </c>
      <c r="G40" s="1365" t="s">
        <v>566</v>
      </c>
      <c r="H40" s="1365"/>
      <c r="I40" s="1365" t="s">
        <v>621</v>
      </c>
      <c r="J40" s="1365" t="s">
        <v>569</v>
      </c>
      <c r="K40" s="1365" t="s">
        <v>622</v>
      </c>
      <c r="L40" s="1365" t="s">
        <v>545</v>
      </c>
      <c r="Q40" s="377"/>
      <c r="R40" s="377"/>
      <c r="S40" s="2274"/>
      <c r="T40" s="2210"/>
      <c r="U40" s="303"/>
      <c r="V40" s="2367"/>
      <c r="W40" s="2366"/>
      <c r="X40" s="1984" t="s">
        <v>669</v>
      </c>
      <c r="Y40" s="1984" t="s">
        <v>670</v>
      </c>
      <c r="Z40" s="2366"/>
      <c r="AA40" s="1984" t="s">
        <v>671</v>
      </c>
      <c r="AB40" s="1984" t="s">
        <v>672</v>
      </c>
      <c r="AC40" s="1490" t="s">
        <v>573</v>
      </c>
      <c r="AD40" s="2271" t="s">
        <v>574</v>
      </c>
      <c r="AE40" s="2272"/>
      <c r="AF40" s="2280"/>
      <c r="AG40" s="2367"/>
      <c r="AH40" s="2366"/>
      <c r="AI40" s="1984" t="s">
        <v>669</v>
      </c>
      <c r="AJ40" s="1984" t="s">
        <v>670</v>
      </c>
      <c r="AK40" s="2366"/>
      <c r="AL40" s="1984" t="s">
        <v>671</v>
      </c>
      <c r="AM40" s="1984" t="s">
        <v>672</v>
      </c>
      <c r="AN40" s="1490" t="s">
        <v>573</v>
      </c>
      <c r="AO40" s="2271" t="s">
        <v>574</v>
      </c>
      <c r="AP40" s="2272"/>
      <c r="AQ40" s="2280"/>
      <c r="AR40" s="2283"/>
      <c r="AS40" s="2128"/>
      <c r="AY40" s="1156">
        <v>59</v>
      </c>
    </row>
    <row s="1642" customFormat="1" customHeight="1" ht="11.25" hidden="1">
      <c r="A41" s="1371"/>
      <c r="B41" s="1371"/>
      <c r="C41" s="1371"/>
      <c r="D41" s="1371"/>
      <c r="E41" s="1371"/>
      <c r="F41" s="1371"/>
      <c r="G41" s="1371"/>
      <c r="H41" s="1371"/>
      <c r="I41" s="1371"/>
      <c r="J41" s="1371"/>
      <c r="K41" s="1371"/>
      <c r="L41" s="1365"/>
      <c r="M41" s="1363"/>
      <c r="N41" s="1363"/>
      <c r="O41" s="1363"/>
      <c r="P41" s="1247"/>
      <c r="Q41" s="1248"/>
      <c r="R41" s="1255">
        <v>1</v>
      </c>
      <c r="S41" s="1278" t="s">
        <v>123</v>
      </c>
      <c r="T41" s="1256" t="s">
        <v>107</v>
      </c>
      <c r="U41" s="1246" t="str">
        <f>OFFSET(U41,0,-1)</f>
        <v>2</v>
      </c>
      <c r="V41" s="1483">
        <f>OFFSET(V41,0,-1)+1</f>
        <v>3</v>
      </c>
      <c r="W41" s="1980"/>
      <c r="X41" s="1980"/>
      <c r="Y41" s="1980"/>
      <c r="Z41" s="1980"/>
      <c r="AA41" s="1980"/>
      <c r="AB41" s="1483">
        <f>OFFSET(AB41,0,-1)+1</f>
        <v>1</v>
      </c>
      <c r="AC41" s="1483">
        <f>OFFSET(AC41,0,-1)+1</f>
        <v>2</v>
      </c>
      <c r="AD41" s="2273">
        <f>OFFSET(AD41,0,-1)+1</f>
        <v>3</v>
      </c>
      <c r="AE41" s="2273"/>
      <c r="AF41" s="1483">
        <f>OFFSET(AF41,0,-2)+1</f>
        <v>4</v>
      </c>
      <c r="AG41" s="1483">
        <f>OFFSET(AG41,0,-1)+1</f>
        <v>5</v>
      </c>
      <c r="AH41" s="1980"/>
      <c r="AI41" s="1980"/>
      <c r="AJ41" s="1980"/>
      <c r="AK41" s="1980"/>
      <c r="AL41" s="1980"/>
      <c r="AM41" s="1483">
        <f>OFFSET(AM41,0,-1)+1</f>
        <v>1</v>
      </c>
      <c r="AN41" s="1483">
        <f>OFFSET(AN41,0,-1)+1</f>
        <v>2</v>
      </c>
      <c r="AO41" s="2273">
        <f>OFFSET(AO41,0,-1)+1</f>
        <v>3</v>
      </c>
      <c r="AP41" s="2273"/>
      <c r="AQ41" s="1483">
        <f>OFFSET(AQ41,0,-2)+1</f>
        <v>4</v>
      </c>
      <c r="AR41" s="1246">
        <f>OFFSET(AR41,0,-1)</f>
        <v>4</v>
      </c>
      <c r="AS41" s="1483">
        <f>OFFSET(AS41,0,-1)+1</f>
        <v>5</v>
      </c>
      <c r="AT41" s="512"/>
      <c r="AU41" s="512"/>
      <c r="AV41" s="512"/>
      <c r="AW41" s="512"/>
      <c r="AX41" s="512"/>
      <c r="AY41" s="497">
        <v>0</v>
      </c>
    </row>
    <row customHeight="1" ht="24">
      <c r="A42" s="1364" t="s">
        <v>386</v>
      </c>
      <c r="B42" s="1364"/>
      <c r="C42" s="1364"/>
      <c r="D42" s="1364"/>
      <c r="E42" s="2259">
        <v>1</v>
      </c>
      <c r="F42" s="1364"/>
      <c r="G42" s="1364"/>
      <c r="H42" s="1364"/>
      <c r="I42" s="1364"/>
      <c r="J42" s="1364"/>
      <c r="K42" s="1364"/>
      <c r="L42" s="1365"/>
      <c r="M42" s="1366"/>
      <c r="N42" s="1366"/>
      <c r="O42" s="1366"/>
      <c r="P42" s="362"/>
      <c r="Q42" s="361"/>
      <c r="R42" s="356"/>
      <c r="S42" s="1494">
        <f>INDEX(PT_DIFFERENTIATION_NUM_NTAR,MATCH(A42,PT_DIFFERENTIATION_NTAR_ID,0))</f>
        <v>0</v>
      </c>
      <c r="T42" s="299" t="s">
        <v>136</v>
      </c>
      <c r="U42" s="301"/>
      <c r="V42" s="2243"/>
      <c r="W42" s="2244"/>
      <c r="X42" s="2244"/>
      <c r="Y42" s="2244"/>
      <c r="Z42" s="2244"/>
      <c r="AA42" s="2244"/>
      <c r="AB42" s="2244"/>
      <c r="AC42" s="2244"/>
      <c r="AD42" s="2244"/>
      <c r="AE42" s="2244"/>
      <c r="AF42" s="2245"/>
      <c r="AG42" s="2243" t="str">
        <f>INDEX(PT_DIFFERENTIATION_NTAR,MATCH(A42,PT_DIFFERENTIATION_NTAR_ID,0))</f>
        <v/>
      </c>
      <c r="AH42" s="2244"/>
      <c r="AI42" s="2244"/>
      <c r="AJ42" s="2244"/>
      <c r="AK42" s="2244"/>
      <c r="AL42" s="2244"/>
      <c r="AM42" s="2244"/>
      <c r="AN42" s="2244"/>
      <c r="AO42" s="2244"/>
      <c r="AP42" s="2244"/>
      <c r="AQ42" s="2244"/>
      <c r="AR42" s="2245"/>
      <c r="AS42" s="125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AU42" s="501"/>
      <c r="AV42" s="501" t="str">
        <f>IF(T42="","",T42)</f>
        <v>Наименование тарифа</v>
      </c>
      <c r="AW42" s="501"/>
      <c r="AX42" s="501"/>
      <c r="AY42" s="1156">
        <v>23</v>
      </c>
    </row>
    <row customHeight="1" ht="24">
      <c r="A43" s="1364" t="s">
        <v>386</v>
      </c>
      <c r="B43" s="1364" t="s">
        <v>387</v>
      </c>
      <c r="C43" s="1364"/>
      <c r="D43" s="1364"/>
      <c r="E43" s="2260"/>
      <c r="F43" s="2259">
        <v>1</v>
      </c>
      <c r="G43" s="1364"/>
      <c r="H43" s="1364"/>
      <c r="I43" s="1364"/>
      <c r="J43" s="1364"/>
      <c r="K43" s="1364"/>
      <c r="L43" s="1365"/>
      <c r="M43" s="1366"/>
      <c r="N43" s="1366"/>
      <c r="O43" s="1366"/>
      <c r="P43" s="1488"/>
      <c r="Q43" s="353"/>
      <c r="R43" s="354"/>
      <c r="S43" s="1494" t="str">
        <f>INDEX(PT_DIFFERENTIATION_NUM_TER,MATCH(B43,PT_DIFFERENTIATION_TER_ID,0))</f>
        <v>.</v>
      </c>
      <c r="T43" s="309" t="s">
        <v>527</v>
      </c>
      <c r="U43" s="301"/>
      <c r="V43" s="2243"/>
      <c r="W43" s="2244"/>
      <c r="X43" s="2244"/>
      <c r="Y43" s="2244"/>
      <c r="Z43" s="2244"/>
      <c r="AA43" s="2244"/>
      <c r="AB43" s="2244"/>
      <c r="AC43" s="2244"/>
      <c r="AD43" s="2244"/>
      <c r="AE43" s="2244"/>
      <c r="AF43" s="2245"/>
      <c r="AG43" s="2243" t="str">
        <f>INDEX(PT_DIFFERENTIATION_TER,MATCH(B43,PT_DIFFERENTIATION_TER_ID,0))</f>
        <v/>
      </c>
      <c r="AH43" s="2244"/>
      <c r="AI43" s="2244"/>
      <c r="AJ43" s="2244"/>
      <c r="AK43" s="2244"/>
      <c r="AL43" s="2244"/>
      <c r="AM43" s="2244"/>
      <c r="AN43" s="2244"/>
      <c r="AO43" s="2244"/>
      <c r="AP43" s="2244"/>
      <c r="AQ43" s="2244"/>
      <c r="AR43" s="2245"/>
      <c r="AS43" s="1259" t="s">
        <v>528</v>
      </c>
      <c r="AU43" s="501"/>
      <c r="AV43" s="501" t="str">
        <f>IF(T43="","",T43)</f>
        <v>Территория действия тарифа</v>
      </c>
      <c r="AW43" s="501"/>
      <c r="AX43" s="501"/>
      <c r="AY43" s="1156">
        <v>23</v>
      </c>
    </row>
    <row customHeight="1" ht="24">
      <c r="A44" s="1364" t="s">
        <v>386</v>
      </c>
      <c r="B44" s="1364" t="s">
        <v>387</v>
      </c>
      <c r="C44" s="1364" t="s">
        <v>388</v>
      </c>
      <c r="D44" s="1364"/>
      <c r="E44" s="2260"/>
      <c r="F44" s="2260"/>
      <c r="G44" s="2259">
        <v>1</v>
      </c>
      <c r="H44" s="1364"/>
      <c r="I44" s="1364"/>
      <c r="J44" s="1364"/>
      <c r="K44" s="1364"/>
      <c r="L44" s="1365"/>
      <c r="M44" s="1366"/>
      <c r="N44" s="1366"/>
      <c r="O44" s="1366"/>
      <c r="P44" s="355"/>
      <c r="Q44" s="353"/>
      <c r="R44" s="354"/>
      <c r="S44" s="1494" t="str">
        <f>INDEX(PT_DIFFERENTIATION_NUM_CS,MATCH(C44,PT_DIFFERENTIATION_CS_ID,0))</f>
        <v>..</v>
      </c>
      <c r="T44" s="310" t="s">
        <v>661</v>
      </c>
      <c r="U44" s="301"/>
      <c r="V44" s="2243"/>
      <c r="W44" s="2244"/>
      <c r="X44" s="2244"/>
      <c r="Y44" s="2244"/>
      <c r="Z44" s="2244"/>
      <c r="AA44" s="2244"/>
      <c r="AB44" s="2244"/>
      <c r="AC44" s="2244"/>
      <c r="AD44" s="2244"/>
      <c r="AE44" s="2244"/>
      <c r="AF44" s="2245"/>
      <c r="AG44" s="2243" t="str">
        <f>INDEX(PT_DIFFERENTIATION_CS,MATCH(C44,PT_DIFFERENTIATION_CS_ID,0))</f>
        <v/>
      </c>
      <c r="AH44" s="2244"/>
      <c r="AI44" s="2244"/>
      <c r="AJ44" s="2244"/>
      <c r="AK44" s="2244"/>
      <c r="AL44" s="2244"/>
      <c r="AM44" s="2244"/>
      <c r="AN44" s="2244"/>
      <c r="AO44" s="2244"/>
      <c r="AP44" s="2244"/>
      <c r="AQ44" s="2244"/>
      <c r="AR44" s="2245"/>
      <c r="AS44" s="1259" t="s">
        <v>662</v>
      </c>
      <c r="AU44" s="501"/>
      <c r="AV44" s="501" t="str">
        <f>IF(T44="","",T44)</f>
        <v>Наименование централизованной системы горячего водоснабжения</v>
      </c>
      <c r="AW44" s="501"/>
      <c r="AX44" s="501"/>
      <c r="AY44" s="1156">
        <v>23</v>
      </c>
    </row>
    <row customHeight="1" ht="24">
      <c r="A45" s="1364" t="s">
        <v>386</v>
      </c>
      <c r="B45" s="1364" t="s">
        <v>387</v>
      </c>
      <c r="C45" s="1364" t="s">
        <v>388</v>
      </c>
      <c r="D45" s="1364" t="s">
        <v>674</v>
      </c>
      <c r="E45" s="2260"/>
      <c r="F45" s="2260"/>
      <c r="G45" s="2260"/>
      <c r="H45" s="2260"/>
      <c r="I45" s="2257" t="str">
        <f>S44&amp;".1"</f>
        <v>...1</v>
      </c>
      <c r="J45" s="1364"/>
      <c r="K45" s="1364"/>
      <c r="L45" s="1365"/>
      <c r="P45" s="2258">
        <v>1</v>
      </c>
      <c r="Q45" s="1482"/>
      <c r="R45" s="357"/>
      <c r="S45" s="1494" t="str">
        <f>$I45</f>
        <v>...1</v>
      </c>
      <c r="T45" s="286" t="s">
        <v>614</v>
      </c>
      <c r="U45" s="301"/>
      <c r="V45" s="2351"/>
      <c r="W45" s="2352"/>
      <c r="X45" s="2352"/>
      <c r="Y45" s="2352"/>
      <c r="Z45" s="2352"/>
      <c r="AA45" s="2352"/>
      <c r="AB45" s="2352"/>
      <c r="AC45" s="2352"/>
      <c r="AD45" s="2352"/>
      <c r="AE45" s="2352"/>
      <c r="AF45" s="2353"/>
      <c r="AG45" s="2354"/>
      <c r="AH45" s="2355"/>
      <c r="AI45" s="2355"/>
      <c r="AJ45" s="2355"/>
      <c r="AK45" s="2355"/>
      <c r="AL45" s="2355"/>
      <c r="AM45" s="2355"/>
      <c r="AN45" s="2355"/>
      <c r="AO45" s="2355"/>
      <c r="AP45" s="2355"/>
      <c r="AQ45" s="2355"/>
      <c r="AR45" s="2356"/>
      <c r="AS45" s="1259" t="s">
        <v>615</v>
      </c>
      <c r="AU45" s="501"/>
      <c r="AV45" s="501" t="str">
        <f>IF(T45="","",T45)</f>
        <v>Наименование признака дифференциации</v>
      </c>
      <c r="AW45" s="501"/>
      <c r="AX45" s="501"/>
      <c r="AY45" s="1156">
        <v>23</v>
      </c>
    </row>
    <row customHeight="1" ht="24">
      <c r="A46" s="1364" t="s">
        <v>386</v>
      </c>
      <c r="B46" s="1364" t="s">
        <v>387</v>
      </c>
      <c r="C46" s="1364" t="s">
        <v>388</v>
      </c>
      <c r="D46" s="1364" t="s">
        <v>674</v>
      </c>
      <c r="E46" s="2260"/>
      <c r="F46" s="2260"/>
      <c r="G46" s="2260"/>
      <c r="H46" s="2260"/>
      <c r="I46" s="2287"/>
      <c r="J46" s="2257" t="str">
        <f>I45&amp;".1"</f>
        <v>...1.1</v>
      </c>
      <c r="K46" s="1364"/>
      <c r="L46" s="1365" t="s">
        <v>536</v>
      </c>
      <c r="P46" s="2258"/>
      <c r="Q46" s="2258">
        <v>1</v>
      </c>
      <c r="R46" s="358"/>
      <c r="S46" s="1494" t="str">
        <f>$J46</f>
        <v>...1.1</v>
      </c>
      <c r="T46" s="287" t="s">
        <v>537</v>
      </c>
      <c r="U46" s="301"/>
      <c r="V46" s="2246"/>
      <c r="W46" s="2247"/>
      <c r="X46" s="2247"/>
      <c r="Y46" s="2247"/>
      <c r="Z46" s="2247"/>
      <c r="AA46" s="2247"/>
      <c r="AB46" s="2247"/>
      <c r="AC46" s="2247"/>
      <c r="AD46" s="2247"/>
      <c r="AE46" s="2247"/>
      <c r="AF46" s="2248"/>
      <c r="AG46" s="2246"/>
      <c r="AH46" s="2247"/>
      <c r="AI46" s="2247"/>
      <c r="AJ46" s="2247"/>
      <c r="AK46" s="2247"/>
      <c r="AL46" s="2247"/>
      <c r="AM46" s="2247"/>
      <c r="AN46" s="2247"/>
      <c r="AO46" s="2247"/>
      <c r="AP46" s="2247"/>
      <c r="AQ46" s="2247"/>
      <c r="AR46" s="2248"/>
      <c r="AS46" s="1308" t="s">
        <v>616</v>
      </c>
      <c r="AU46" s="501"/>
      <c r="AV46" s="501" t="str">
        <f>IF(T46="","",T46)</f>
        <v>Группа потребителей</v>
      </c>
      <c r="AW46" s="501"/>
      <c r="AX46" s="501"/>
      <c r="AY46" s="1156">
        <v>23</v>
      </c>
    </row>
    <row customHeight="1" ht="24">
      <c r="A47" s="1364" t="s">
        <v>386</v>
      </c>
      <c r="B47" s="1364" t="s">
        <v>387</v>
      </c>
      <c r="C47" s="1364" t="s">
        <v>388</v>
      </c>
      <c r="D47" s="1364" t="s">
        <v>674</v>
      </c>
      <c r="E47" s="2260"/>
      <c r="F47" s="2260"/>
      <c r="G47" s="2260"/>
      <c r="H47" s="2260"/>
      <c r="I47" s="2287"/>
      <c r="J47" s="2287"/>
      <c r="K47" s="2257" t="str">
        <f>J46&amp;".1"</f>
        <v>...1.1.1</v>
      </c>
      <c r="L47" s="1365"/>
      <c r="P47" s="2258"/>
      <c r="Q47" s="2258"/>
      <c r="R47" s="358">
        <v>1</v>
      </c>
      <c r="S47" s="1494" t="str">
        <f>$K47</f>
        <v>...1.1.1</v>
      </c>
      <c r="T47" s="1438"/>
      <c r="U47" s="301"/>
      <c r="V47" s="1361"/>
      <c r="W47" s="1361"/>
      <c r="X47" s="1361"/>
      <c r="Y47" s="1361"/>
      <c r="Z47" s="1361"/>
      <c r="AA47" s="1361"/>
      <c r="AB47" s="1362"/>
      <c r="AC47" s="2268"/>
      <c r="AD47" s="2269" t="s">
        <v>65</v>
      </c>
      <c r="AE47" s="2268"/>
      <c r="AF47" s="2269" t="s">
        <v>65</v>
      </c>
      <c r="AG47" s="752"/>
      <c r="AH47" s="752"/>
      <c r="AI47" s="752"/>
      <c r="AJ47" s="752"/>
      <c r="AK47" s="752"/>
      <c r="AL47" s="752"/>
      <c r="AM47" s="1258"/>
      <c r="AN47" s="2266"/>
      <c r="AO47" s="2108" t="s">
        <v>65</v>
      </c>
      <c r="AP47" s="2288"/>
      <c r="AQ47" s="2108" t="s">
        <v>19</v>
      </c>
      <c r="AR47" s="1439"/>
      <c r="AS47" s="2350"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47" s="512">
        <f>STRCHECKDATE(V48:AR48)</f>
      </c>
      <c r="AU47" s="501"/>
      <c r="AV47" s="501" t="str">
        <f>IF(T47="","",T47)</f>
        <v/>
      </c>
      <c r="AW47" s="501"/>
      <c r="AX47" s="501"/>
      <c r="AY47" s="1156">
        <v>23</v>
      </c>
    </row>
    <row customHeight="1" ht="0">
      <c r="A48" s="1364" t="s">
        <v>386</v>
      </c>
      <c r="B48" s="1364" t="s">
        <v>387</v>
      </c>
      <c r="C48" s="1364" t="s">
        <v>388</v>
      </c>
      <c r="D48" s="1364" t="s">
        <v>674</v>
      </c>
      <c r="E48" s="2260"/>
      <c r="F48" s="2260"/>
      <c r="G48" s="2260"/>
      <c r="H48" s="2260"/>
      <c r="I48" s="2287"/>
      <c r="J48" s="2287"/>
      <c r="K48" s="2257"/>
      <c r="L48" s="1365"/>
      <c r="P48" s="2258"/>
      <c r="Q48" s="2258"/>
      <c r="R48" s="358"/>
      <c r="S48" s="1491"/>
      <c r="T48" s="301"/>
      <c r="U48" s="301"/>
      <c r="V48" s="1361"/>
      <c r="W48" s="1361"/>
      <c r="X48" s="1361"/>
      <c r="Y48" s="1361"/>
      <c r="Z48" s="1361"/>
      <c r="AA48" s="1361"/>
      <c r="AB48" s="329" t="str">
        <f>AC47&amp;"-"&amp;AE47</f>
        <v>-</v>
      </c>
      <c r="AC48" s="2269"/>
      <c r="AD48" s="2269"/>
      <c r="AE48" s="2269"/>
      <c r="AF48" s="2269"/>
      <c r="AG48" s="326"/>
      <c r="AH48" s="326"/>
      <c r="AI48" s="326"/>
      <c r="AJ48" s="326"/>
      <c r="AK48" s="326"/>
      <c r="AL48" s="326"/>
      <c r="AM48" s="329" t="str">
        <f>AN47&amp;"-"&amp;AP47</f>
        <v>-</v>
      </c>
      <c r="AN48" s="2267"/>
      <c r="AO48" s="2108"/>
      <c r="AP48" s="2289"/>
      <c r="AQ48" s="2108"/>
      <c r="AR48" s="1440"/>
      <c r="AS48" s="2350"/>
      <c r="AU48" s="501"/>
      <c r="AV48" s="501" t="str">
        <f>IF(T48="","",T48)</f>
        <v/>
      </c>
      <c r="AW48" s="501"/>
      <c r="AX48" s="501"/>
      <c r="AY48" s="1156">
        <v>0</v>
      </c>
    </row>
    <row customHeight="1" ht="21">
      <c r="A49" s="1364" t="s">
        <v>386</v>
      </c>
      <c r="B49" s="1364" t="s">
        <v>387</v>
      </c>
      <c r="C49" s="1364" t="s">
        <v>388</v>
      </c>
      <c r="D49" s="1364" t="s">
        <v>674</v>
      </c>
      <c r="E49" s="2260"/>
      <c r="F49" s="2260"/>
      <c r="G49" s="2260"/>
      <c r="H49" s="2260"/>
      <c r="I49" s="2287"/>
      <c r="J49" s="2257"/>
      <c r="K49" s="1364"/>
      <c r="L49" s="1365"/>
      <c r="P49" s="2258"/>
      <c r="Q49" s="2258"/>
      <c r="R49" s="357"/>
      <c r="S49" s="1279"/>
      <c r="T49" s="288" t="s">
        <v>617</v>
      </c>
      <c r="U49" s="368"/>
      <c r="V49" s="368"/>
      <c r="W49" s="601"/>
      <c r="X49" s="601"/>
      <c r="Y49" s="601"/>
      <c r="Z49" s="601"/>
      <c r="AA49" s="601"/>
      <c r="AB49" s="368"/>
      <c r="AC49" s="368"/>
      <c r="AD49" s="368"/>
      <c r="AE49" s="368"/>
      <c r="AF49" s="368"/>
      <c r="AG49" s="368"/>
      <c r="AH49" s="601"/>
      <c r="AI49" s="601"/>
      <c r="AJ49" s="601"/>
      <c r="AK49" s="601"/>
      <c r="AL49" s="601"/>
      <c r="AM49" s="368"/>
      <c r="AN49" s="368"/>
      <c r="AO49" s="368"/>
      <c r="AP49" s="368"/>
      <c r="AQ49" s="368"/>
      <c r="AR49" s="368"/>
      <c r="AS49" s="1259" t="s">
        <v>618</v>
      </c>
      <c r="AU49" s="501"/>
      <c r="AV49" s="501" t="str">
        <f>IF(T49="","",T49)</f>
        <v>Добавить значение признака дифференциации</v>
      </c>
      <c r="AW49" s="501"/>
      <c r="AX49" s="501"/>
      <c r="AY49" s="1156">
        <v>20</v>
      </c>
    </row>
    <row customHeight="1" ht="22.049999999999997">
      <c r="A50" s="1364" t="s">
        <v>386</v>
      </c>
      <c r="B50" s="1364" t="s">
        <v>387</v>
      </c>
      <c r="C50" s="1364" t="s">
        <v>388</v>
      </c>
      <c r="D50" s="1364" t="s">
        <v>674</v>
      </c>
      <c r="E50" s="2260"/>
      <c r="F50" s="2260"/>
      <c r="G50" s="2260"/>
      <c r="H50" s="2260"/>
      <c r="I50" s="2257"/>
      <c r="J50" s="1364"/>
      <c r="K50" s="1364"/>
      <c r="L50" s="1365"/>
      <c r="P50" s="2258"/>
      <c r="Q50" s="1482"/>
      <c r="R50" s="357"/>
      <c r="S50" s="1279"/>
      <c r="T50" s="366" t="s">
        <v>542</v>
      </c>
      <c r="U50" s="368"/>
      <c r="V50" s="368"/>
      <c r="W50" s="601"/>
      <c r="X50" s="601"/>
      <c r="Y50" s="601"/>
      <c r="Z50" s="601"/>
      <c r="AA50" s="601"/>
      <c r="AB50" s="368"/>
      <c r="AC50" s="368"/>
      <c r="AD50" s="368"/>
      <c r="AE50" s="368"/>
      <c r="AF50" s="367"/>
      <c r="AG50" s="368"/>
      <c r="AH50" s="601"/>
      <c r="AI50" s="601"/>
      <c r="AJ50" s="601"/>
      <c r="AK50" s="601"/>
      <c r="AL50" s="601"/>
      <c r="AM50" s="368"/>
      <c r="AN50" s="368"/>
      <c r="AO50" s="368"/>
      <c r="AP50" s="368"/>
      <c r="AQ50" s="367"/>
      <c r="AR50" s="368"/>
      <c r="AS50" s="1441"/>
      <c r="AU50" s="501"/>
      <c r="AV50" s="501" t="str">
        <f>IF(T50="","",T50)</f>
        <v>Добавить группу потребителей</v>
      </c>
      <c r="AW50" s="501"/>
      <c r="AX50" s="501"/>
      <c r="AY50" s="1156">
        <v>21</v>
      </c>
    </row>
    <row customHeight="1" ht="22.049999999999997">
      <c r="A51" s="1364" t="s">
        <v>386</v>
      </c>
      <c r="B51" s="1364" t="s">
        <v>387</v>
      </c>
      <c r="C51" s="1364" t="s">
        <v>388</v>
      </c>
      <c r="D51" s="1364" t="s">
        <v>674</v>
      </c>
      <c r="E51" s="2260"/>
      <c r="F51" s="2260"/>
      <c r="G51" s="2260"/>
      <c r="H51" s="2259"/>
      <c r="I51" s="1364"/>
      <c r="J51" s="1364"/>
      <c r="K51" s="1364"/>
      <c r="L51" s="1365"/>
      <c r="M51" s="1366"/>
      <c r="N51" s="1366"/>
      <c r="O51" s="538"/>
      <c r="P51" s="361"/>
      <c r="Q51" s="376"/>
      <c r="R51" s="356"/>
      <c r="S51" s="1279"/>
      <c r="T51" s="373" t="s">
        <v>619</v>
      </c>
      <c r="U51" s="368"/>
      <c r="V51" s="368"/>
      <c r="W51" s="601"/>
      <c r="X51" s="601"/>
      <c r="Y51" s="601"/>
      <c r="Z51" s="601"/>
      <c r="AA51" s="601"/>
      <c r="AB51" s="368"/>
      <c r="AC51" s="368"/>
      <c r="AD51" s="368"/>
      <c r="AE51" s="368"/>
      <c r="AF51" s="367"/>
      <c r="AG51" s="368"/>
      <c r="AH51" s="601"/>
      <c r="AI51" s="601"/>
      <c r="AJ51" s="601"/>
      <c r="AK51" s="601"/>
      <c r="AL51" s="601"/>
      <c r="AM51" s="368"/>
      <c r="AN51" s="368"/>
      <c r="AO51" s="368"/>
      <c r="AP51" s="368"/>
      <c r="AQ51" s="367"/>
      <c r="AR51" s="368"/>
      <c r="AS51" s="304"/>
      <c r="AU51" s="501"/>
      <c r="AV51" s="501" t="str">
        <f>IF(T51="","",T51)</f>
        <v>Добавить наименование признака дифференциации</v>
      </c>
      <c r="AW51" s="501"/>
      <c r="AX51" s="501"/>
      <c r="AY51" s="1156">
        <v>21</v>
      </c>
    </row>
    <row s="1643" customFormat="1" customHeight="1" ht="0">
      <c r="A52" s="1344" t="s">
        <v>386</v>
      </c>
      <c r="B52" s="1344" t="s">
        <v>387</v>
      </c>
      <c r="C52" s="1315"/>
      <c r="D52" s="1315"/>
      <c r="E52" s="2260"/>
      <c r="F52" s="2259"/>
      <c r="G52" s="1315"/>
      <c r="H52" s="1315"/>
      <c r="I52" s="1315"/>
      <c r="J52" s="1315"/>
      <c r="K52" s="1315"/>
      <c r="L52" s="1495"/>
      <c r="M52" s="1322"/>
      <c r="N52" s="1322"/>
      <c r="P52" s="1317"/>
      <c r="Q52" s="1318"/>
      <c r="R52" s="1317"/>
      <c r="S52" s="1323"/>
      <c r="T52" s="1326" t="s">
        <v>178</v>
      </c>
      <c r="U52" s="1325"/>
      <c r="V52" s="1325"/>
      <c r="W52" s="1325"/>
      <c r="X52" s="1325"/>
      <c r="Y52" s="1325"/>
      <c r="Z52" s="1325"/>
      <c r="AA52" s="1325"/>
      <c r="AB52" s="1325"/>
      <c r="AC52" s="1325"/>
      <c r="AD52" s="1325"/>
      <c r="AE52" s="1325"/>
      <c r="AF52" s="1325"/>
      <c r="AG52" s="1325"/>
      <c r="AH52" s="1325"/>
      <c r="AI52" s="1325"/>
      <c r="AJ52" s="1325"/>
      <c r="AK52" s="1325"/>
      <c r="AL52" s="1325"/>
      <c r="AM52" s="1325"/>
      <c r="AN52" s="1325"/>
      <c r="AO52" s="1325"/>
      <c r="AP52" s="1325"/>
      <c r="AQ52" s="1325"/>
      <c r="AR52" s="1325"/>
      <c r="AS52" s="1325"/>
      <c r="AU52" s="790"/>
      <c r="AV52" s="790" t="str">
        <f>IF(T52="","",T52)</f>
        <v>Добавить централизованную систему для дифференциации</v>
      </c>
      <c r="AW52" s="790"/>
      <c r="AX52" s="790"/>
      <c r="AY52" s="519">
        <v>0</v>
      </c>
    </row>
    <row s="1643" customFormat="1" customHeight="1" ht="0">
      <c r="A53" s="1344" t="s">
        <v>386</v>
      </c>
      <c r="B53" s="1344"/>
      <c r="C53" s="1344"/>
      <c r="D53" s="1344"/>
      <c r="E53" s="2259"/>
      <c r="F53" s="1344"/>
      <c r="G53" s="1344"/>
      <c r="H53" s="1344"/>
      <c r="I53" s="1344"/>
      <c r="J53" s="1344"/>
      <c r="K53" s="1344"/>
      <c r="L53" s="1347"/>
      <c r="M53" s="1322"/>
      <c r="N53" s="1322"/>
      <c r="O53" s="519"/>
      <c r="P53" s="381"/>
      <c r="Q53" s="1345"/>
      <c r="R53" s="381"/>
      <c r="S53" s="1323"/>
      <c r="T53" s="1326" t="s">
        <v>183</v>
      </c>
      <c r="U53" s="1325"/>
      <c r="V53" s="1325"/>
      <c r="W53" s="1325"/>
      <c r="X53" s="1325"/>
      <c r="Y53" s="1325"/>
      <c r="Z53" s="1325"/>
      <c r="AA53" s="1325"/>
      <c r="AB53" s="1325"/>
      <c r="AC53" s="1325"/>
      <c r="AD53" s="1325"/>
      <c r="AE53" s="1325"/>
      <c r="AF53" s="1325"/>
      <c r="AG53" s="1325"/>
      <c r="AH53" s="1325"/>
      <c r="AI53" s="1325"/>
      <c r="AJ53" s="1325"/>
      <c r="AK53" s="1325"/>
      <c r="AL53" s="1325"/>
      <c r="AM53" s="1325"/>
      <c r="AN53" s="1325"/>
      <c r="AO53" s="1325"/>
      <c r="AP53" s="1325"/>
      <c r="AQ53" s="1325"/>
      <c r="AR53" s="1325"/>
      <c r="AS53" s="1325"/>
      <c r="AU53" s="501"/>
      <c r="AV53" s="501" t="str">
        <f>IF(T53="","",T53)</f>
        <v>Добавить территорию для дифференциации</v>
      </c>
      <c r="AW53" s="501"/>
      <c r="AX53" s="501"/>
      <c r="AY53" s="512">
        <v>0</v>
      </c>
    </row>
    <row s="1643" customFormat="1" customHeight="1" ht="0">
      <c r="A54" s="1315"/>
      <c r="B54" s="1315"/>
      <c r="C54" s="1315"/>
      <c r="D54" s="1315"/>
      <c r="E54" s="1344"/>
      <c r="F54" s="1315"/>
      <c r="G54" s="1315"/>
      <c r="H54" s="1315"/>
      <c r="I54" s="1315"/>
      <c r="J54" s="1315"/>
      <c r="K54" s="1315"/>
      <c r="L54" s="1495"/>
      <c r="M54" s="1322"/>
      <c r="N54" s="1322"/>
      <c r="P54" s="1317"/>
      <c r="Q54" s="1318"/>
      <c r="R54" s="1317"/>
      <c r="S54" s="1323"/>
      <c r="T54" s="1326" t="s">
        <v>222</v>
      </c>
      <c r="U54" s="1325"/>
      <c r="V54" s="1325"/>
      <c r="W54" s="1325"/>
      <c r="X54" s="1325"/>
      <c r="Y54" s="1325"/>
      <c r="Z54" s="1325"/>
      <c r="AA54" s="1325"/>
      <c r="AB54" s="1325"/>
      <c r="AC54" s="1325"/>
      <c r="AD54" s="1325"/>
      <c r="AE54" s="1325"/>
      <c r="AF54" s="1325"/>
      <c r="AG54" s="1325"/>
      <c r="AH54" s="1325"/>
      <c r="AI54" s="1325"/>
      <c r="AJ54" s="1325"/>
      <c r="AK54" s="1325"/>
      <c r="AL54" s="1325"/>
      <c r="AM54" s="1325"/>
      <c r="AN54" s="1325"/>
      <c r="AO54" s="1325"/>
      <c r="AP54" s="1325"/>
      <c r="AQ54" s="1325"/>
      <c r="AR54" s="1325"/>
      <c r="AS54" s="1325"/>
      <c r="AU54" s="790"/>
      <c r="AV54" s="790" t="str">
        <f>IF(T54="","",T54)</f>
        <v>Добавить наименование тарифа</v>
      </c>
      <c r="AW54" s="790"/>
      <c r="AX54" s="790"/>
      <c r="AY54" s="519">
        <v>0</v>
      </c>
    </row>
    <row customHeight="1" ht="11.549999999999999">
      <c r="M55" s="1161"/>
      <c r="N55" s="1161"/>
      <c r="O55" s="538"/>
      <c r="P55" s="1156"/>
      <c r="Q55" s="1156"/>
      <c r="R55" s="1156"/>
      <c r="S55" s="1156"/>
      <c r="AT55" s="1156"/>
      <c r="AU55" s="1156"/>
      <c r="AV55" s="1156"/>
      <c r="AW55" s="1156"/>
      <c r="AX55" s="1156"/>
      <c r="AY55" s="1156">
        <v>11</v>
      </c>
    </row>
    <row customHeight="1" ht="14.699999999999998">
      <c r="O56" s="538"/>
      <c r="S56" s="1254"/>
      <c r="T56" s="2286"/>
      <c r="U56" s="2286"/>
      <c r="V56" s="2286"/>
      <c r="W56" s="2286"/>
      <c r="X56" s="2286"/>
      <c r="Y56" s="2286"/>
      <c r="Z56" s="2286"/>
      <c r="AA56" s="2286"/>
      <c r="AB56" s="2286"/>
      <c r="AC56" s="2286"/>
      <c r="AD56" s="2286"/>
      <c r="AE56" s="2286"/>
      <c r="AF56" s="2286"/>
      <c r="AG56" s="2286"/>
      <c r="AH56" s="2286"/>
      <c r="AI56" s="2286"/>
      <c r="AJ56" s="2286"/>
      <c r="AK56" s="2286"/>
      <c r="AL56" s="2286"/>
      <c r="AM56" s="2286"/>
      <c r="AN56" s="2286"/>
      <c r="AO56" s="2286"/>
      <c r="AP56" s="2286"/>
      <c r="AQ56" s="2286"/>
      <c r="AR56" s="2286"/>
      <c r="AS56" s="2286"/>
      <c r="AY56" s="1156">
        <v>14</v>
      </c>
    </row>
    <row customHeight="1" ht="14.699999999999998">
      <c r="O57" s="538"/>
      <c r="AY57" s="1156">
        <v>14</v>
      </c>
    </row>
    <row customHeight="1" ht="14.699999999999998">
      <c r="O58" s="538"/>
      <c r="S58" s="1254"/>
      <c r="T58" s="2286"/>
      <c r="U58" s="2286"/>
      <c r="V58" s="2286"/>
      <c r="W58" s="2286"/>
      <c r="X58" s="2286"/>
      <c r="Y58" s="2286"/>
      <c r="Z58" s="2286"/>
      <c r="AA58" s="2286"/>
      <c r="AB58" s="2286"/>
      <c r="AC58" s="2286"/>
      <c r="AD58" s="2286"/>
      <c r="AE58" s="2286"/>
      <c r="AF58" s="2286"/>
      <c r="AG58" s="2286"/>
      <c r="AH58" s="2286"/>
      <c r="AI58" s="2286"/>
      <c r="AJ58" s="2286"/>
      <c r="AK58" s="2286"/>
      <c r="AL58" s="2286"/>
      <c r="AM58" s="2286"/>
      <c r="AN58" s="2286"/>
      <c r="AO58" s="2286"/>
      <c r="AP58" s="2286"/>
      <c r="AQ58" s="2286"/>
      <c r="AR58" s="2286"/>
      <c r="AS58" s="2286"/>
      <c r="AY58" s="1156">
        <v>14</v>
      </c>
    </row>
    <row customHeight="1" ht="22.5" hidden="1">
      <c r="A59" s="1161" t="s">
        <v>86</v>
      </c>
      <c r="B59" s="1161">
        <v>0</v>
      </c>
      <c r="C59" s="1161">
        <v>0</v>
      </c>
      <c r="D59" s="1161">
        <v>0</v>
      </c>
      <c r="E59" s="1161">
        <v>0</v>
      </c>
      <c r="F59" s="1161">
        <v>0</v>
      </c>
      <c r="G59" s="1161">
        <v>0</v>
      </c>
      <c r="H59" s="1161">
        <v>0</v>
      </c>
      <c r="I59" s="1161">
        <v>0</v>
      </c>
      <c r="J59" s="1161">
        <v>0</v>
      </c>
      <c r="K59" s="1161">
        <v>0</v>
      </c>
      <c r="L59" s="1479">
        <v>0</v>
      </c>
      <c r="M59" s="1363">
        <v>0</v>
      </c>
      <c r="N59" s="1363">
        <v>0</v>
      </c>
      <c r="O59" s="1363">
        <v>0</v>
      </c>
      <c r="P59" s="1474">
        <v>3</v>
      </c>
      <c r="Q59" s="345">
        <v>3</v>
      </c>
      <c r="R59" s="345">
        <v>3</v>
      </c>
      <c r="S59" s="582">
        <v>12</v>
      </c>
      <c r="T59" s="1156">
        <v>35</v>
      </c>
      <c r="U59" s="1156">
        <v>0</v>
      </c>
      <c r="V59" s="1156">
        <v>0</v>
      </c>
      <c r="W59" s="1632">
        <v>0</v>
      </c>
      <c r="X59" s="1632">
        <v>0</v>
      </c>
      <c r="Y59" s="1632">
        <v>0</v>
      </c>
      <c r="Z59" s="1632">
        <v>0</v>
      </c>
      <c r="AA59" s="1632">
        <v>0</v>
      </c>
      <c r="AB59" s="1156">
        <v>0</v>
      </c>
      <c r="AC59" s="1156">
        <v>0</v>
      </c>
      <c r="AD59" s="1156">
        <v>0</v>
      </c>
      <c r="AE59" s="1156">
        <v>0</v>
      </c>
      <c r="AF59" s="1156">
        <v>0</v>
      </c>
      <c r="AG59" s="1156">
        <v>19</v>
      </c>
      <c r="AH59" s="1632">
        <v>19</v>
      </c>
      <c r="AI59" s="1632">
        <v>19</v>
      </c>
      <c r="AJ59" s="1632">
        <v>19</v>
      </c>
      <c r="AK59" s="1632">
        <v>19</v>
      </c>
      <c r="AL59" s="1632">
        <v>19</v>
      </c>
      <c r="AM59" s="1156">
        <v>19</v>
      </c>
      <c r="AN59" s="1156">
        <v>11</v>
      </c>
      <c r="AO59" s="1156">
        <v>3</v>
      </c>
      <c r="AP59" s="1156">
        <v>11</v>
      </c>
      <c r="AQ59" s="1156">
        <v>0</v>
      </c>
      <c r="AR59" s="1156">
        <v>4</v>
      </c>
      <c r="AS59" s="1156">
        <v>115</v>
      </c>
      <c r="AT59" s="512">
        <v>10</v>
      </c>
      <c r="AU59" s="512">
        <v>10</v>
      </c>
      <c r="AV59" s="512">
        <v>10</v>
      </c>
      <c r="AW59" s="512">
        <v>10</v>
      </c>
      <c r="AX59" s="512">
        <v>10</v>
      </c>
      <c r="AY59" s="1156">
        <v>23</v>
      </c>
    </row>
  </sheetData>
  <sheetProtection formatColumns="0" formatRows="0" autoFilter="0" sort="0" insertRows="0" insertColumns="1" deleteRows="0" deleteColumns="0"/>
  <mergeCells count="113">
    <mergeCell ref="AS47:AS48"/>
    <mergeCell ref="T56:AS56"/>
    <mergeCell ref="T58:AS58"/>
    <mergeCell ref="V46:AF46"/>
    <mergeCell ref="AG46:AR46"/>
    <mergeCell ref="AO47:AO48"/>
    <mergeCell ref="AP47:AP48"/>
    <mergeCell ref="AQ47:AQ48"/>
    <mergeCell ref="AS36:AS40"/>
    <mergeCell ref="AR37:AR40"/>
    <mergeCell ref="AL39:AM39"/>
    <mergeCell ref="V38:V40"/>
    <mergeCell ref="W38:Y38"/>
    <mergeCell ref="Z38:AB38"/>
    <mergeCell ref="W39:W40"/>
    <mergeCell ref="X39:Y39"/>
    <mergeCell ref="Z39:Z40"/>
    <mergeCell ref="AG38:AG40"/>
    <mergeCell ref="AK39:AK40"/>
    <mergeCell ref="K47:K48"/>
    <mergeCell ref="AC47:AC48"/>
    <mergeCell ref="AD47:AD48"/>
    <mergeCell ref="AE47:AE48"/>
    <mergeCell ref="AF47:AF48"/>
    <mergeCell ref="AN47:AN48"/>
    <mergeCell ref="AD41:AE41"/>
    <mergeCell ref="AO41:AP41"/>
    <mergeCell ref="E42:E53"/>
    <mergeCell ref="V42:AF42"/>
    <mergeCell ref="AG42:AR42"/>
    <mergeCell ref="F43:F52"/>
    <mergeCell ref="V43:AF43"/>
    <mergeCell ref="AG43:AR43"/>
    <mergeCell ref="G44:G51"/>
    <mergeCell ref="V44:AF44"/>
    <mergeCell ref="AG44:AR44"/>
    <mergeCell ref="H45:H51"/>
    <mergeCell ref="I45:I50"/>
    <mergeCell ref="P45:P50"/>
    <mergeCell ref="V45:AF45"/>
    <mergeCell ref="AG45:AR45"/>
    <mergeCell ref="J46:J49"/>
    <mergeCell ref="Q46:Q49"/>
    <mergeCell ref="S37:S40"/>
    <mergeCell ref="T37:T40"/>
    <mergeCell ref="V37:AE37"/>
    <mergeCell ref="AF37:AF40"/>
    <mergeCell ref="AG37:AP37"/>
    <mergeCell ref="AQ37:AQ40"/>
    <mergeCell ref="S32:T32"/>
    <mergeCell ref="V32:AE32"/>
    <mergeCell ref="AG32:AP32"/>
    <mergeCell ref="S33:T33"/>
    <mergeCell ref="V33:AE33"/>
    <mergeCell ref="AG33:AP33"/>
    <mergeCell ref="AD40:AE40"/>
    <mergeCell ref="AO40:AP40"/>
    <mergeCell ref="V35:AF35"/>
    <mergeCell ref="AG35:AQ35"/>
    <mergeCell ref="S36:AR36"/>
    <mergeCell ref="AA39:AB39"/>
    <mergeCell ref="AN38:AP39"/>
    <mergeCell ref="AC38:AE39"/>
    <mergeCell ref="AH38:AJ38"/>
    <mergeCell ref="AK38:AM38"/>
    <mergeCell ref="AH39:AH40"/>
    <mergeCell ref="AI39:AJ39"/>
    <mergeCell ref="S29:T29"/>
    <mergeCell ref="V29:AE29"/>
    <mergeCell ref="AG29:AP29"/>
    <mergeCell ref="S30:T30"/>
    <mergeCell ref="V30:AE30"/>
    <mergeCell ref="AG30:AP30"/>
    <mergeCell ref="S24:AP24"/>
    <mergeCell ref="S25:AP25"/>
    <mergeCell ref="S27:T27"/>
    <mergeCell ref="V27:AE27"/>
    <mergeCell ref="AG27:AP27"/>
    <mergeCell ref="S28:T28"/>
    <mergeCell ref="V28:AE28"/>
    <mergeCell ref="AG28:AP28"/>
    <mergeCell ref="AS7:AS8"/>
    <mergeCell ref="AN15:AN16"/>
    <mergeCell ref="AO15:AO16"/>
    <mergeCell ref="AP15:AP16"/>
    <mergeCell ref="AQ15:AQ16"/>
    <mergeCell ref="AD7:AD8"/>
    <mergeCell ref="AE7:AE8"/>
    <mergeCell ref="AF7:AF8"/>
    <mergeCell ref="AN7:AN8"/>
    <mergeCell ref="AO7:AO8"/>
    <mergeCell ref="AP7:AP8"/>
    <mergeCell ref="E2:E13"/>
    <mergeCell ref="V2:AF2"/>
    <mergeCell ref="AG2:AR2"/>
    <mergeCell ref="F3:F12"/>
    <mergeCell ref="V3:AF3"/>
    <mergeCell ref="AG3:AR3"/>
    <mergeCell ref="G4:G11"/>
    <mergeCell ref="V4:AF4"/>
    <mergeCell ref="AG4:AR4"/>
    <mergeCell ref="H5:H11"/>
    <mergeCell ref="I5:I10"/>
    <mergeCell ref="P5:P10"/>
    <mergeCell ref="V5:AF5"/>
    <mergeCell ref="AG5:AR5"/>
    <mergeCell ref="J6:J9"/>
    <mergeCell ref="Q6:Q9"/>
    <mergeCell ref="V6:AF6"/>
    <mergeCell ref="AG6:AR6"/>
    <mergeCell ref="K7:K8"/>
    <mergeCell ref="AC7:AC8"/>
    <mergeCell ref="AQ7:AQ8"/>
  </mergeCells>
  <dataValidations count="8">
    <dataValidation type="list" allowBlank="1" showInputMessage="1" errorTitle="Ошибка" error="Выберите значение из списка" prompt="Выберите значение из списка" sqref="V983082:AR983082 V65578:AR65578 V131114:AR131114 V196650:AR196650 V262186:AR262186 V327722:AR327722 V393258:AR393258 V458794:AR458794 V524330:AR524330 V589866:AR589866 V655402:AR655402 V720938:AR720938 V786474:AR786474 V852010:AR852010 V917546:AR917546">
      <formula1>kind_of_cons</formula1>
    </dataValidation>
    <dataValidation allowBlank="1" sqref="S131117:AS131123 S196653:AS196659 S262189:AS262195 S327725:AS327731 S393261:AS393267 S458797:AS458803 S524333:AS524339 S589869:AS589875 S655405:AS655411 S720941:AS720947 S786477:AS786483 S852013:AS852019 S917549:AS917555 S983085:AS983091 S65581:AS65587"/>
    <dataValidation allowBlank="1" showInputMessage="1" showErrorMessage="1" prompt="Для выбора выполните двойной щелчок левой клавиши мыши по соответствующей ячейке." sqref="AD65579 AD131115 AD196651 AD262187 AD327723 AD393259 AD458795 AD524331 AD589867 AD655403 AD720939 AD786475 AD852011 AD917547 AD983083 AF131115 AF458795 AF196651 AF262187 AF327723 AF393259 AF524331 AF589867 AF655403 AF720939 AF786475 AF852011 AF917547 AF983083 AF65579 AO65579 AO131115 AO196651 AO262187 AO327723 AO393259 AO458795 AO524331 AO589867 AO655403 AO720939 AO786475 AO852011 AO917547 AO983083 AQ524331 AQ196651 AQ589867 AQ655403 AQ15 AQ720939 AQ786475 AQ852011 AQ917547 AQ983083 AQ65579 AQ131115 AQ458795 AQ262187 AQ7 AO47 AQ327723 AO15 AO7 AD7 AF7 AQ393259 AQ47 AD47 AF47"/>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AC65579 AC131115 AC196651 AC262187 AC327723 AC393259 AC458795 AC524331 AC589867 AC655403 AC720939 AC786475 AC852011 AC917547 AC983083 AE65579 AE131115 AE196651 AE262187 AE327723 AE393259 AE458795 AE524331 AE589867 AE655403 AE720939 AE786475 AE852011 AE917547 AE983083 AN15 AN65579 AN131115 AN196651 AN262187 AN327723 AN393259 AN458795 AN524331 AN589867 AN655403 AN720939 AN786475 AN852011 AN917547 AN983083 AP65579 AP131115 AP196651 AP262187 AP327723 AP393259 AP458795 AP524331 AP589867 AP655403 AP720939 AP786475 AP852011 AP917547 AP983083 AP47 AN47 AP15 AP7 AN7 AC7 AE7 AC47 AE47"/>
    <dataValidation type="list" allowBlank="1" showInputMessage="1" showErrorMessage="1" errorTitle="Ошибка" error="Выберите значение из списка" sqref="T65579 T131115 T196651 T262187 T327723 T393259 T458795 T524331 T589867 T655403 T720939 T786475 T852011 T917547 T983083">
      <formula1>kind_of_heat_transfer</formula1>
    </dataValidation>
    <dataValidation type="textLength" operator="lessThanOrEqual" allowBlank="1" showInputMessage="1" showErrorMessage="1" errorTitle="Ошибка" error="Допускается ввод не более 900 символов!" sqref="AS65573:AS65580 AS131109:AS131116 AS196645:AS196652 AS262181:AS262188 AS327717:AS327724 AS393253:AS393260 AS458789:AS458796 AS524325:AS524332 AS589861:AS589868 AS655397:AS655404 AS720933:AS720940 AS786469:AS786476 AS852005:AS852012 AS917541:AS917548 AS983077:AS983084 T47 T7 AG45:AR45 AG5:AR5">
      <formula1>900</formula1>
    </dataValidation>
    <dataValidation type="list" allowBlank="1" showInputMessage="1" showErrorMessage="1" errorTitle="Ошибка" error="Выберите значение из списка" sqref="V983081:AA983081 V65577:AA65577 V131113:AA131113 V196649:AA196649 V262185:AA262185 V327721:AA327721 V393257:AA393257 V458793:AA458793 V524329:AA524329 V589865:AA589865 V655401:AA655401 V720937:AA720937 V786473:AA786473 V852009:AA852009 V917545:AA917545 AG983081:AL983081 AG65577:AL65577 AG131113:AL131113 AG196649:AL196649 AG262185:AL262185 AG327721:AL327721 AG393257:AL393257 AG458793:AL458793 AG524329:AL524329 AG589865:AL589865 AG655401:AL655401 AG720937:AL720937 AG786473:AL786473 AG852009:AL852009 AG917545:AL917545">
      <formula1>kind_of_scheme_in</formula1>
    </dataValidation>
    <dataValidation allowBlank="1" promptTitle="checkPeriodRange" sqref="AB65580 AB131116 AB196652 AB262188 AB327724 AB393260 AB458796 AB524332 AB589868 AB655404 AB720940 AB786476 AB852012 AB917548 AB983084 AM16 AM65580 AM131116 AM196652 AM262188 AM327724 AM393260 AM458796 AM524332 AM589868 AM655404 AM720940 AM786476 AM852012 AM917548 AM983084 AM48 AM8 AB8 AB48"/>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3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F5D6618-AEB2-0F0D-F9C7-D07026F15647}" mc:Ignorable="x14ac xr xr2 xr3">
  <sheetPr>
    <tabColor theme="6" tint="0.4"/>
  </sheetPr>
  <dimension ref="A1:BI69"/>
  <sheetViews>
    <sheetView showGridLines="0" zoomScale="90" workbookViewId="0">
      <pane xSplit="29" ySplit="45" topLeftCell="AD46" activePane="bottomRight" state="frozen"/>
      <selection pane="bottomLeft" activeCell="A46" sqref="A46"/>
      <selection pane="topRight" activeCell="AD1" sqref="AD1"/>
      <selection pane="bottomRight" activeCell="A1" sqref="A1"/>
    </sheetView>
  </sheetViews>
  <sheetFormatPr defaultColWidth="10.57421875" customHeight="1" defaultRowHeight="14.25"/>
  <cols>
    <col min="1" max="1" style="1367" width="11.57421875" hidden="1" customWidth="1"/>
    <col min="2" max="2" style="1367" width="11.00390625" hidden="1" customWidth="1"/>
    <col min="3" max="3" style="1367" width="10.57421875" hidden="1"/>
    <col min="4" max="4" style="1367" width="12.8515625" hidden="1" customWidth="1"/>
    <col min="5" max="5" style="1367" width="10.00390625" hidden="1" customWidth="1"/>
    <col min="6" max="6" style="1367" width="8.7109375" hidden="1" customWidth="1"/>
    <col min="7" max="7" style="1367" width="7.57421875" hidden="1" customWidth="1"/>
    <col min="8" max="8" style="1367" width="11.421875" hidden="1" customWidth="1"/>
    <col min="9" max="9" style="1367" width="12.00390625" hidden="1" customWidth="1"/>
    <col min="10" max="10" style="1367" width="9.8515625" hidden="1" customWidth="1"/>
    <col min="11" max="11" style="1367" width="11.421875" hidden="1" customWidth="1"/>
    <col min="12" max="12" style="2608" width="19.140625" hidden="1" customWidth="1"/>
    <col min="13" max="14" style="1777" width="12.28125" hidden="1" customWidth="1"/>
    <col min="15" max="15" style="1777" width="23.421875" hidden="1" customWidth="1"/>
    <col min="16" max="16" style="1777" width="3.7109375" hidden="1" customWidth="1"/>
    <col min="17" max="17" style="1372" width="3.7109375" hidden="1" customWidth="1"/>
    <col min="18" max="18" style="345" width="3.00390625" customWidth="1"/>
    <col min="19" max="19" style="2408" width="12.00390625" customWidth="1"/>
    <col min="20" max="20" style="1636" width="31.00390625" customWidth="1"/>
    <col min="21" max="21" style="1636" width="0.140625" customWidth="1"/>
    <col min="22" max="25" style="1636" width="21.7109375" hidden="1" customWidth="1"/>
    <col min="26" max="26" style="1636" width="11.7109375" hidden="1" customWidth="1"/>
    <col min="27" max="27" style="1636" width="3.7109375" hidden="1" customWidth="1"/>
    <col min="28" max="28" style="1636" width="11.7109375" hidden="1" customWidth="1"/>
    <col min="29" max="29" style="1636" width="8.57421875" hidden="1" customWidth="1"/>
    <col min="30" max="30" style="1636" width="3.7109375" customWidth="1"/>
    <col min="31" max="32" style="1636" width="3.00390625" customWidth="1"/>
    <col min="33" max="33" style="1636" width="24.00390625" customWidth="1"/>
    <col min="34" max="34" style="1636" width="3.7109375" customWidth="1"/>
    <col min="35" max="36" style="1636" width="3.00390625" customWidth="1"/>
    <col min="37" max="37" style="1636" width="24.00390625" customWidth="1"/>
    <col min="38" max="38" style="1636" width="3.7109375" customWidth="1"/>
    <col min="39" max="40" style="1636" width="3.00390625" customWidth="1"/>
    <col min="41" max="41" style="1636" width="18.00390625" customWidth="1"/>
    <col min="42" max="42" style="1636" width="3.7109375" customWidth="1"/>
    <col min="43" max="44" style="1636" width="3.00390625" customWidth="1"/>
    <col min="45" max="45" style="1636" width="18.00390625" customWidth="1"/>
    <col min="46" max="49" style="1636" width="21.00390625" customWidth="1"/>
    <col min="50" max="50" style="1636" width="11.00390625" customWidth="1"/>
    <col min="51" max="51" style="1636" width="3.7109375" customWidth="1"/>
    <col min="52" max="52" style="1636" width="11.00390625" customWidth="1"/>
    <col min="53" max="53" style="1636" width="8.57421875" hidden="1" customWidth="1"/>
    <col min="54" max="54" style="1636" width="4.00390625" customWidth="1"/>
    <col min="55" max="55" style="1636" width="115.00390625" customWidth="1"/>
    <col min="56" max="60" style="1643" width="10.00390625" customWidth="1"/>
    <col min="61" max="61" style="1636" width="10.57421875" hidden="1"/>
  </cols>
  <sheetData>
    <row customHeight="1" ht="22.5" hidden="1">
      <c r="W1" s="328"/>
      <c r="Y1" s="328"/>
      <c r="Z1" s="328"/>
      <c r="AW1" s="328"/>
      <c r="AX1" s="328"/>
      <c r="BI1" s="1156" t="s">
        <v>14</v>
      </c>
    </row>
    <row customHeight="1" ht="21" hidden="1">
      <c r="A2" s="1364"/>
      <c r="B2" s="1364"/>
      <c r="C2" s="1364"/>
      <c r="D2" s="1364"/>
      <c r="E2" s="2259">
        <v>1</v>
      </c>
      <c r="F2" s="1364"/>
      <c r="G2" s="1364"/>
      <c r="H2" s="1364"/>
      <c r="I2" s="1364"/>
      <c r="J2" s="1364"/>
      <c r="K2" s="1364"/>
      <c r="L2" s="1365"/>
      <c r="M2" s="1366"/>
      <c r="N2" s="1366"/>
      <c r="O2" s="1366"/>
      <c r="P2" s="1410"/>
      <c r="Q2" s="874"/>
      <c r="R2" s="356"/>
      <c r="S2" s="1494">
        <f>INDEX(PT_DIFFERENTIATION_NUM_NTAR,MATCH(A2,PT_DIFFERENTIATION_NTAR_ID,0))</f>
      </c>
      <c r="T2" s="299" t="s">
        <v>136</v>
      </c>
      <c r="U2" s="301"/>
      <c r="V2" s="2244"/>
      <c r="W2" s="2244"/>
      <c r="X2" s="2244"/>
      <c r="Y2" s="2244"/>
      <c r="Z2" s="2244"/>
      <c r="AA2" s="2244"/>
      <c r="AB2" s="2244"/>
      <c r="AC2" s="2245"/>
      <c r="AD2" s="2243">
        <f>INDEX(PT_DIFFERENTIATION_NTAR,MATCH(A2,PT_DIFFERENTIATION_NTAR_ID,0))</f>
      </c>
      <c r="AE2" s="2244"/>
      <c r="AF2" s="2244"/>
      <c r="AG2" s="2244"/>
      <c r="AH2" s="2244"/>
      <c r="AI2" s="2244"/>
      <c r="AJ2" s="2244"/>
      <c r="AK2" s="2244"/>
      <c r="AL2" s="2244"/>
      <c r="AM2" s="2244"/>
      <c r="AN2" s="2244"/>
      <c r="AO2" s="2244"/>
      <c r="AP2" s="2244"/>
      <c r="AQ2" s="2244"/>
      <c r="AR2" s="2244"/>
      <c r="AS2" s="2244"/>
      <c r="AT2" s="2244"/>
      <c r="AU2" s="2244"/>
      <c r="AV2" s="2244"/>
      <c r="AW2" s="2244"/>
      <c r="AX2" s="2244"/>
      <c r="AY2" s="2244"/>
      <c r="AZ2" s="2244"/>
      <c r="BA2" s="2244"/>
      <c r="BB2" s="2245"/>
      <c r="BC2" s="125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BE2" s="501"/>
      <c r="BF2" s="501" t="str">
        <f>IF(T2="","",T2)</f>
        <v>Наименование тарифа</v>
      </c>
      <c r="BG2" s="501"/>
      <c r="BH2" s="501"/>
      <c r="BI2" s="1156">
        <v>0</v>
      </c>
    </row>
    <row customHeight="1" ht="21" hidden="1">
      <c r="A3" s="1364"/>
      <c r="B3" s="1364"/>
      <c r="C3" s="1364"/>
      <c r="D3" s="1364"/>
      <c r="E3" s="2260"/>
      <c r="F3" s="2259">
        <v>1</v>
      </c>
      <c r="G3" s="1364"/>
      <c r="H3" s="1364"/>
      <c r="I3" s="1364"/>
      <c r="J3" s="1364"/>
      <c r="K3" s="1364"/>
      <c r="L3" s="1365"/>
      <c r="M3" s="1366"/>
      <c r="N3" s="1366"/>
      <c r="O3" s="1366"/>
      <c r="P3" s="1411"/>
      <c r="Q3" s="1412"/>
      <c r="R3" s="354"/>
      <c r="S3" s="1494">
        <f>INDEX(PT_DIFFERENTIATION_NUM_TER,MATCH(B3,PT_DIFFERENTIATION_TER_ID,0))</f>
      </c>
      <c r="T3" s="309" t="s">
        <v>527</v>
      </c>
      <c r="U3" s="301"/>
      <c r="V3" s="2244"/>
      <c r="W3" s="2244"/>
      <c r="X3" s="2244"/>
      <c r="Y3" s="2244"/>
      <c r="Z3" s="2244"/>
      <c r="AA3" s="2244"/>
      <c r="AB3" s="2244"/>
      <c r="AC3" s="2245"/>
      <c r="AD3" s="2243">
        <f>INDEX(PT_DIFFERENTIATION_TER,MATCH(B3,PT_DIFFERENTIATION_TER_ID,0))</f>
      </c>
      <c r="AE3" s="2244"/>
      <c r="AF3" s="2244"/>
      <c r="AG3" s="2244"/>
      <c r="AH3" s="2244"/>
      <c r="AI3" s="2244"/>
      <c r="AJ3" s="2244"/>
      <c r="AK3" s="2244"/>
      <c r="AL3" s="2244"/>
      <c r="AM3" s="2244"/>
      <c r="AN3" s="2244"/>
      <c r="AO3" s="2244"/>
      <c r="AP3" s="2244"/>
      <c r="AQ3" s="2244"/>
      <c r="AR3" s="2244"/>
      <c r="AS3" s="2244"/>
      <c r="AT3" s="2244"/>
      <c r="AU3" s="2244"/>
      <c r="AV3" s="2244"/>
      <c r="AW3" s="2244"/>
      <c r="AX3" s="2244"/>
      <c r="AY3" s="2244"/>
      <c r="AZ3" s="2244"/>
      <c r="BA3" s="2244"/>
      <c r="BB3" s="2245"/>
      <c r="BC3" s="1259" t="s">
        <v>528</v>
      </c>
      <c r="BE3" s="501"/>
      <c r="BF3" s="501" t="str">
        <f>IF(T3="","",T3)</f>
        <v>Территория действия тарифа</v>
      </c>
      <c r="BG3" s="501"/>
      <c r="BH3" s="501"/>
      <c r="BI3" s="1156">
        <v>0</v>
      </c>
    </row>
    <row customHeight="1" ht="33.75" hidden="1">
      <c r="A4" s="1364"/>
      <c r="B4" s="1364"/>
      <c r="C4" s="1364"/>
      <c r="D4" s="1364"/>
      <c r="E4" s="2260"/>
      <c r="F4" s="2260"/>
      <c r="G4" s="2259">
        <v>1</v>
      </c>
      <c r="H4" s="1364"/>
      <c r="I4" s="1364"/>
      <c r="J4" s="1364"/>
      <c r="K4" s="1364"/>
      <c r="L4" s="1365"/>
      <c r="M4" s="1366"/>
      <c r="N4" s="1366"/>
      <c r="O4" s="1366"/>
      <c r="P4" s="1413"/>
      <c r="Q4" s="1412"/>
      <c r="R4" s="354"/>
      <c r="S4" s="1494">
        <f>INDEX(PT_DIFFERENTIATION_NUM_CS,MATCH(C4,PT_DIFFERENTIATION_CS_ID,0))</f>
      </c>
      <c r="T4" s="310" t="s">
        <v>661</v>
      </c>
      <c r="U4" s="301"/>
      <c r="V4" s="2244"/>
      <c r="W4" s="2244"/>
      <c r="X4" s="2244"/>
      <c r="Y4" s="2244"/>
      <c r="Z4" s="2244"/>
      <c r="AA4" s="2244"/>
      <c r="AB4" s="2244"/>
      <c r="AC4" s="2245"/>
      <c r="AD4" s="2243">
        <f>INDEX(PT_DIFFERENTIATION_CS,MATCH(C4,PT_DIFFERENTIATION_CS_ID,0))</f>
      </c>
      <c r="AE4" s="2244"/>
      <c r="AF4" s="2244"/>
      <c r="AG4" s="2244"/>
      <c r="AH4" s="2244"/>
      <c r="AI4" s="2244"/>
      <c r="AJ4" s="2244"/>
      <c r="AK4" s="2244"/>
      <c r="AL4" s="2244"/>
      <c r="AM4" s="2244"/>
      <c r="AN4" s="2244"/>
      <c r="AO4" s="2244"/>
      <c r="AP4" s="2244"/>
      <c r="AQ4" s="2244"/>
      <c r="AR4" s="2244"/>
      <c r="AS4" s="2244"/>
      <c r="AT4" s="2244"/>
      <c r="AU4" s="2244"/>
      <c r="AV4" s="2244"/>
      <c r="AW4" s="2244"/>
      <c r="AX4" s="2244"/>
      <c r="AY4" s="2244"/>
      <c r="AZ4" s="2244"/>
      <c r="BA4" s="2244"/>
      <c r="BB4" s="2245"/>
      <c r="BC4" s="1259" t="s">
        <v>662</v>
      </c>
      <c r="BE4" s="501"/>
      <c r="BF4" s="501" t="str">
        <f>IF(T4="","",T4)</f>
        <v>Наименование централизованной системы горячего водоснабжения</v>
      </c>
      <c r="BG4" s="501"/>
      <c r="BH4" s="501"/>
      <c r="BI4" s="1156">
        <v>0</v>
      </c>
    </row>
    <row s="1643" customFormat="1" customHeight="1" ht="14.25" hidden="1">
      <c r="A5" s="1344"/>
      <c r="B5" s="1344"/>
      <c r="C5" s="1344"/>
      <c r="D5" s="1344"/>
      <c r="E5" s="2260"/>
      <c r="F5" s="2260"/>
      <c r="G5" s="2260"/>
      <c r="H5" s="2259">
        <v>1</v>
      </c>
      <c r="I5" s="1344"/>
      <c r="J5" s="1344"/>
      <c r="K5" s="1344"/>
      <c r="L5" s="1347"/>
      <c r="M5" s="1316"/>
      <c r="N5" s="1316"/>
      <c r="O5" s="1316"/>
      <c r="P5" s="1498"/>
      <c r="Q5" s="1499"/>
      <c r="R5" s="358"/>
      <c r="S5" s="1043"/>
      <c r="T5" s="1500"/>
      <c r="U5" s="1385"/>
      <c r="V5" s="2298"/>
      <c r="W5" s="2298"/>
      <c r="X5" s="2298"/>
      <c r="Y5" s="2298"/>
      <c r="Z5" s="2298"/>
      <c r="AA5" s="2298"/>
      <c r="AB5" s="2298"/>
      <c r="AC5" s="2299"/>
      <c r="AD5" s="2297"/>
      <c r="AE5" s="2298"/>
      <c r="AF5" s="2298"/>
      <c r="AG5" s="2298"/>
      <c r="AH5" s="2298"/>
      <c r="AI5" s="2298"/>
      <c r="AJ5" s="2298"/>
      <c r="AK5" s="2298"/>
      <c r="AL5" s="2298"/>
      <c r="AM5" s="2298"/>
      <c r="AN5" s="2298"/>
      <c r="AO5" s="2298"/>
      <c r="AP5" s="2298"/>
      <c r="AQ5" s="2298"/>
      <c r="AR5" s="2298"/>
      <c r="AS5" s="2298"/>
      <c r="AT5" s="2298"/>
      <c r="AU5" s="2298"/>
      <c r="AV5" s="2298"/>
      <c r="AW5" s="2298"/>
      <c r="AX5" s="2298"/>
      <c r="AY5" s="2298"/>
      <c r="AZ5" s="2298"/>
      <c r="BA5" s="2298"/>
      <c r="BB5" s="2299"/>
      <c r="BC5" s="1386" t="s">
        <v>532</v>
      </c>
      <c r="BE5" s="501"/>
      <c r="BF5" s="501" t="str">
        <f>IF(T5="","",T5)</f>
        <v/>
      </c>
      <c r="BG5" s="501"/>
      <c r="BH5" s="501"/>
      <c r="BI5" s="512">
        <v>0</v>
      </c>
    </row>
    <row s="1643" customFormat="1" customHeight="1" ht="14.25" hidden="1">
      <c r="A6" s="1344"/>
      <c r="B6" s="1344"/>
      <c r="C6" s="1344"/>
      <c r="D6" s="1344"/>
      <c r="E6" s="2260"/>
      <c r="F6" s="2260"/>
      <c r="G6" s="2260"/>
      <c r="H6" s="2260"/>
      <c r="I6" s="2257" t="str">
        <f>S5&amp;".1"</f>
        <v>.1</v>
      </c>
      <c r="J6" s="1344"/>
      <c r="K6" s="1344"/>
      <c r="L6" s="1347" t="s">
        <v>533</v>
      </c>
      <c r="M6" s="511"/>
      <c r="N6" s="511"/>
      <c r="O6" s="511"/>
      <c r="P6" s="2258">
        <v>1</v>
      </c>
      <c r="Q6" s="1482"/>
      <c r="R6" s="357"/>
      <c r="S6" s="1043"/>
      <c r="T6" s="1384"/>
      <c r="U6" s="1385"/>
      <c r="V6" s="2298"/>
      <c r="W6" s="2298"/>
      <c r="X6" s="2298"/>
      <c r="Y6" s="2298"/>
      <c r="Z6" s="2298"/>
      <c r="AA6" s="2298"/>
      <c r="AB6" s="2298"/>
      <c r="AC6" s="2299"/>
      <c r="AD6" s="2297"/>
      <c r="AE6" s="2298"/>
      <c r="AF6" s="2298"/>
      <c r="AG6" s="2298"/>
      <c r="AH6" s="2298"/>
      <c r="AI6" s="2298"/>
      <c r="AJ6" s="2298"/>
      <c r="AK6" s="2298"/>
      <c r="AL6" s="2298"/>
      <c r="AM6" s="2298"/>
      <c r="AN6" s="2298"/>
      <c r="AO6" s="2298"/>
      <c r="AP6" s="2298"/>
      <c r="AQ6" s="2298"/>
      <c r="AR6" s="2298"/>
      <c r="AS6" s="2298"/>
      <c r="AT6" s="2298"/>
      <c r="AU6" s="2298"/>
      <c r="AV6" s="2298"/>
      <c r="AW6" s="2298"/>
      <c r="AX6" s="2298"/>
      <c r="AY6" s="2298"/>
      <c r="AZ6" s="2298"/>
      <c r="BA6" s="2298"/>
      <c r="BB6" s="2299"/>
      <c r="BC6" s="1386"/>
      <c r="BE6" s="501"/>
      <c r="BF6" s="501" t="str">
        <f>IF(T6="","",T6)</f>
        <v/>
      </c>
      <c r="BG6" s="501"/>
      <c r="BH6" s="501"/>
      <c r="BI6" s="512">
        <v>0</v>
      </c>
    </row>
    <row s="1643" customFormat="1" customHeight="1" ht="14.25" hidden="1">
      <c r="A7" s="1344"/>
      <c r="B7" s="1344"/>
      <c r="C7" s="1344"/>
      <c r="D7" s="1344"/>
      <c r="E7" s="2260"/>
      <c r="F7" s="2260"/>
      <c r="G7" s="2260"/>
      <c r="H7" s="2260"/>
      <c r="I7" s="2287"/>
      <c r="J7" s="2257" t="str">
        <f>S5&amp;".1"</f>
        <v>.1</v>
      </c>
      <c r="K7" s="1344"/>
      <c r="L7" s="1347"/>
      <c r="M7" s="511"/>
      <c r="N7" s="511"/>
      <c r="O7" s="511"/>
      <c r="P7" s="2258"/>
      <c r="Q7" s="2258">
        <v>1</v>
      </c>
      <c r="R7" s="358"/>
      <c r="S7" s="1043"/>
      <c r="T7" s="1400"/>
      <c r="U7" s="1385"/>
      <c r="V7" s="2298"/>
      <c r="W7" s="2298"/>
      <c r="X7" s="2298"/>
      <c r="Y7" s="2298"/>
      <c r="Z7" s="2298"/>
      <c r="AA7" s="2298"/>
      <c r="AB7" s="2298"/>
      <c r="AC7" s="2299"/>
      <c r="AD7" s="2297"/>
      <c r="AE7" s="2298"/>
      <c r="AF7" s="2298"/>
      <c r="AG7" s="2298"/>
      <c r="AH7" s="2298"/>
      <c r="AI7" s="2298"/>
      <c r="AJ7" s="2298"/>
      <c r="AK7" s="2298"/>
      <c r="AL7" s="2298"/>
      <c r="AM7" s="2298"/>
      <c r="AN7" s="2298"/>
      <c r="AO7" s="2298"/>
      <c r="AP7" s="2298"/>
      <c r="AQ7" s="2298"/>
      <c r="AR7" s="2298"/>
      <c r="AS7" s="2298"/>
      <c r="AT7" s="2298"/>
      <c r="AU7" s="2298"/>
      <c r="AV7" s="2298"/>
      <c r="AW7" s="2298"/>
      <c r="AX7" s="2298"/>
      <c r="AY7" s="2298"/>
      <c r="AZ7" s="2298"/>
      <c r="BA7" s="2298"/>
      <c r="BB7" s="2299"/>
      <c r="BC7" s="1386"/>
      <c r="BE7" s="501"/>
      <c r="BF7" s="501" t="str">
        <f>IF(T7="","",T7)</f>
        <v/>
      </c>
      <c r="BG7" s="501"/>
      <c r="BH7" s="501"/>
      <c r="BI7" s="512">
        <v>0</v>
      </c>
    </row>
    <row customHeight="1" ht="11.25" hidden="1">
      <c r="A8" s="1364"/>
      <c r="B8" s="1364"/>
      <c r="C8" s="1364"/>
      <c r="D8" s="1364"/>
      <c r="E8" s="2260"/>
      <c r="F8" s="2260"/>
      <c r="G8" s="2260"/>
      <c r="H8" s="2260"/>
      <c r="I8" s="2287"/>
      <c r="J8" s="2287"/>
      <c r="K8" s="2257">
        <f>S4&amp;".1"</f>
      </c>
      <c r="L8" s="1365"/>
      <c r="P8" s="2258"/>
      <c r="Q8" s="2258"/>
      <c r="R8" s="2348">
        <v>1</v>
      </c>
      <c r="S8" s="2342">
        <f>$K8</f>
      </c>
      <c r="T8" s="2361"/>
      <c r="U8" s="301"/>
      <c r="V8" s="752"/>
      <c r="W8" s="1258"/>
      <c r="X8" s="752"/>
      <c r="Y8" s="1258"/>
      <c r="Z8" s="1735"/>
      <c r="AA8" s="1470" t="s">
        <v>65</v>
      </c>
      <c r="AB8" s="1735"/>
      <c r="AC8" s="1470" t="s">
        <v>65</v>
      </c>
      <c r="AD8" s="2186" t="s">
        <v>65</v>
      </c>
      <c r="AE8" s="2327"/>
      <c r="AF8" s="2206">
        <v>1</v>
      </c>
      <c r="AG8" s="2364"/>
      <c r="AH8" s="2108" t="s">
        <v>65</v>
      </c>
      <c r="AI8" s="2327"/>
      <c r="AJ8" s="2206">
        <v>1</v>
      </c>
      <c r="AK8" s="2328" t="s">
        <v>28</v>
      </c>
      <c r="AL8" s="2108" t="s">
        <v>65</v>
      </c>
      <c r="AM8" s="2193"/>
      <c r="AN8" s="2206">
        <v>1</v>
      </c>
      <c r="AO8" s="2358"/>
      <c r="AP8" s="2359" t="s">
        <v>65</v>
      </c>
      <c r="AQ8" s="312"/>
      <c r="AR8" s="1487">
        <v>1</v>
      </c>
      <c r="AS8" s="1493" t="s">
        <v>28</v>
      </c>
      <c r="AT8" s="752"/>
      <c r="AU8" s="1258"/>
      <c r="AV8" s="752"/>
      <c r="AW8" s="1258"/>
      <c r="AX8" s="1735"/>
      <c r="AY8" s="1470" t="s">
        <v>65</v>
      </c>
      <c r="AZ8" s="1735"/>
      <c r="BA8" s="1470" t="s">
        <v>65</v>
      </c>
      <c r="BB8" s="1349"/>
      <c r="BC8" s="2254" t="s">
        <v>632</v>
      </c>
      <c r="BE8" s="501"/>
      <c r="BF8" s="501" t="str">
        <f>IF(T8="","",T8)</f>
        <v/>
      </c>
      <c r="BG8" s="501"/>
      <c r="BH8" s="501"/>
      <c r="BI8" s="1156">
        <v>0</v>
      </c>
    </row>
    <row customHeight="1" ht="11.25" hidden="1">
      <c r="A9" s="1364"/>
      <c r="B9" s="1364"/>
      <c r="C9" s="1364"/>
      <c r="D9" s="1364"/>
      <c r="E9" s="2260"/>
      <c r="F9" s="2260"/>
      <c r="G9" s="2260"/>
      <c r="H9" s="2260"/>
      <c r="I9" s="2287"/>
      <c r="J9" s="2287"/>
      <c r="K9" s="2257"/>
      <c r="L9" s="1365"/>
      <c r="P9" s="2258"/>
      <c r="Q9" s="2258"/>
      <c r="R9" s="2348"/>
      <c r="S9" s="2343"/>
      <c r="T9" s="2362"/>
      <c r="U9" s="301"/>
      <c r="V9" s="1394"/>
      <c r="W9" s="1497"/>
      <c r="X9" s="1394"/>
      <c r="Y9" s="1497"/>
      <c r="Z9" s="1394"/>
      <c r="AA9" s="1394"/>
      <c r="AB9" s="1394"/>
      <c r="AC9" s="1394"/>
      <c r="AD9" s="2187"/>
      <c r="AE9" s="2327"/>
      <c r="AF9" s="2206"/>
      <c r="AG9" s="2364"/>
      <c r="AH9" s="2108"/>
      <c r="AI9" s="2327"/>
      <c r="AJ9" s="2206"/>
      <c r="AK9" s="2328"/>
      <c r="AL9" s="2108"/>
      <c r="AM9" s="2201"/>
      <c r="AN9" s="2206"/>
      <c r="AO9" s="2358"/>
      <c r="AP9" s="2360"/>
      <c r="AQ9" s="317"/>
      <c r="AR9" s="417"/>
      <c r="AS9" s="417" t="s">
        <v>633</v>
      </c>
      <c r="AT9" s="1394"/>
      <c r="AU9" s="1497"/>
      <c r="AV9" s="1394"/>
      <c r="AW9" s="1497"/>
      <c r="AX9" s="1394"/>
      <c r="AY9" s="1394"/>
      <c r="AZ9" s="1394"/>
      <c r="BA9" s="1394"/>
      <c r="BB9" s="1398"/>
      <c r="BC9" s="2255"/>
      <c r="BE9" s="501"/>
      <c r="BF9" s="501"/>
      <c r="BG9" s="501"/>
      <c r="BH9" s="501"/>
      <c r="BI9" s="1156">
        <v>0</v>
      </c>
    </row>
    <row customHeight="1" ht="11.25" hidden="1">
      <c r="A10" s="1364"/>
      <c r="B10" s="1364"/>
      <c r="C10" s="1364"/>
      <c r="D10" s="1364"/>
      <c r="E10" s="2260"/>
      <c r="F10" s="2260"/>
      <c r="G10" s="2260"/>
      <c r="H10" s="2260"/>
      <c r="I10" s="2287"/>
      <c r="J10" s="2287"/>
      <c r="K10" s="2257"/>
      <c r="L10" s="1365"/>
      <c r="P10" s="2258"/>
      <c r="Q10" s="2258"/>
      <c r="R10" s="2348"/>
      <c r="S10" s="2343"/>
      <c r="T10" s="2362"/>
      <c r="U10" s="301"/>
      <c r="V10" s="1394"/>
      <c r="W10" s="1497"/>
      <c r="X10" s="1394"/>
      <c r="Y10" s="1497"/>
      <c r="Z10" s="1394"/>
      <c r="AA10" s="1394"/>
      <c r="AB10" s="1394"/>
      <c r="AC10" s="1394"/>
      <c r="AD10" s="2187"/>
      <c r="AE10" s="2327"/>
      <c r="AF10" s="2206"/>
      <c r="AG10" s="2364"/>
      <c r="AH10" s="2108"/>
      <c r="AI10" s="2327"/>
      <c r="AJ10" s="2206"/>
      <c r="AK10" s="2328"/>
      <c r="AL10" s="2108"/>
      <c r="AM10" s="317"/>
      <c r="AN10" s="1501"/>
      <c r="AO10" s="1501" t="s">
        <v>634</v>
      </c>
      <c r="AP10" s="417"/>
      <c r="AQ10" s="417"/>
      <c r="AR10" s="417"/>
      <c r="AS10" s="1394"/>
      <c r="AT10" s="1394"/>
      <c r="AU10" s="1497"/>
      <c r="AV10" s="1394"/>
      <c r="AW10" s="1497"/>
      <c r="AX10" s="1394"/>
      <c r="AY10" s="1394"/>
      <c r="AZ10" s="1394"/>
      <c r="BA10" s="1394"/>
      <c r="BB10" s="1398"/>
      <c r="BC10" s="2255"/>
      <c r="BE10" s="501"/>
      <c r="BF10" s="501"/>
      <c r="BG10" s="501"/>
      <c r="BH10" s="501"/>
      <c r="BI10" s="1156">
        <v>0</v>
      </c>
    </row>
    <row customHeight="1" ht="11.25" hidden="1">
      <c r="A11" s="1364"/>
      <c r="B11" s="1364"/>
      <c r="C11" s="1364"/>
      <c r="D11" s="1364"/>
      <c r="E11" s="2260"/>
      <c r="F11" s="2260"/>
      <c r="G11" s="2260"/>
      <c r="H11" s="2260"/>
      <c r="I11" s="2287"/>
      <c r="J11" s="2287"/>
      <c r="K11" s="2257"/>
      <c r="L11" s="1365"/>
      <c r="P11" s="2258"/>
      <c r="Q11" s="2258"/>
      <c r="R11" s="2348"/>
      <c r="S11" s="2343"/>
      <c r="T11" s="2362"/>
      <c r="U11" s="301"/>
      <c r="V11" s="1394"/>
      <c r="W11" s="1497"/>
      <c r="X11" s="1394"/>
      <c r="Y11" s="1497"/>
      <c r="Z11" s="1394"/>
      <c r="AA11" s="1394"/>
      <c r="AB11" s="1394"/>
      <c r="AC11" s="1394"/>
      <c r="AD11" s="2187"/>
      <c r="AE11" s="2327"/>
      <c r="AF11" s="2206"/>
      <c r="AG11" s="2364"/>
      <c r="AH11" s="2108"/>
      <c r="AI11" s="295"/>
      <c r="AJ11" s="416"/>
      <c r="AK11" s="314" t="s">
        <v>635</v>
      </c>
      <c r="AL11" s="1394"/>
      <c r="AM11" s="1394"/>
      <c r="AN11" s="1394"/>
      <c r="AO11" s="1394"/>
      <c r="AP11" s="1394"/>
      <c r="AQ11" s="1394"/>
      <c r="AR11" s="1394"/>
      <c r="AS11" s="1394"/>
      <c r="AT11" s="1394"/>
      <c r="AU11" s="1497"/>
      <c r="AV11" s="1394"/>
      <c r="AW11" s="1497"/>
      <c r="AX11" s="1394"/>
      <c r="AY11" s="1394"/>
      <c r="AZ11" s="1394"/>
      <c r="BA11" s="1394"/>
      <c r="BB11" s="1398"/>
      <c r="BC11" s="2255"/>
      <c r="BE11" s="501"/>
      <c r="BF11" s="501"/>
      <c r="BG11" s="501"/>
      <c r="BH11" s="501"/>
      <c r="BI11" s="1156">
        <v>0</v>
      </c>
    </row>
    <row customHeight="1" ht="11.25" hidden="1">
      <c r="A12" s="1364"/>
      <c r="B12" s="1364"/>
      <c r="C12" s="1364"/>
      <c r="D12" s="1364"/>
      <c r="E12" s="2260"/>
      <c r="F12" s="2260"/>
      <c r="G12" s="2260"/>
      <c r="H12" s="2260"/>
      <c r="I12" s="2287"/>
      <c r="J12" s="2287"/>
      <c r="K12" s="2257"/>
      <c r="L12" s="1365"/>
      <c r="P12" s="2258"/>
      <c r="Q12" s="2258"/>
      <c r="R12" s="2348"/>
      <c r="S12" s="2344"/>
      <c r="T12" s="2363"/>
      <c r="U12" s="301"/>
      <c r="V12" s="1394"/>
      <c r="W12" s="1395" t="str">
        <f>Z8&amp;"-"&amp;AB8</f>
        <v>-</v>
      </c>
      <c r="X12" s="1394"/>
      <c r="Y12" s="1395" t="str">
        <f>AB8&amp;"-"&amp;AD8</f>
        <v>-да</v>
      </c>
      <c r="Z12" s="1394"/>
      <c r="AA12" s="1394"/>
      <c r="AB12" s="1394"/>
      <c r="AC12" s="1394"/>
      <c r="AD12" s="2113"/>
      <c r="AE12" s="313"/>
      <c r="AF12" s="315"/>
      <c r="AG12" s="417" t="s">
        <v>636</v>
      </c>
      <c r="AH12" s="1394"/>
      <c r="AI12" s="1394"/>
      <c r="AJ12" s="1394"/>
      <c r="AK12" s="1394"/>
      <c r="AL12" s="1394"/>
      <c r="AM12" s="1394"/>
      <c r="AN12" s="1394"/>
      <c r="AO12" s="1394"/>
      <c r="AP12" s="1394"/>
      <c r="AQ12" s="1394"/>
      <c r="AR12" s="1394"/>
      <c r="AS12" s="1394"/>
      <c r="AT12" s="1394"/>
      <c r="AU12" s="1395" t="str">
        <f>AX8&amp;"-"&amp;AZ8</f>
        <v>-</v>
      </c>
      <c r="AV12" s="1394"/>
      <c r="AW12" s="1395" t="str">
        <f>AZ8&amp;"-"&amp;BB8</f>
        <v>-</v>
      </c>
      <c r="AX12" s="1394"/>
      <c r="AY12" s="1394"/>
      <c r="AZ12" s="1394"/>
      <c r="BA12" s="1394"/>
      <c r="BB12" s="1397" t="str">
        <f>BE8&amp;"-"&amp;BG8</f>
        <v>-</v>
      </c>
      <c r="BC12" s="2255"/>
      <c r="BE12" s="501"/>
      <c r="BF12" s="501" t="str">
        <f>IF(T12="","",T12)</f>
        <v/>
      </c>
      <c r="BG12" s="501"/>
      <c r="BH12" s="501"/>
      <c r="BI12" s="1156">
        <v>0</v>
      </c>
    </row>
    <row customHeight="1" ht="11.25" hidden="1">
      <c r="A13" s="1364"/>
      <c r="B13" s="1364"/>
      <c r="C13" s="1364"/>
      <c r="D13" s="1364"/>
      <c r="E13" s="2260"/>
      <c r="F13" s="2260"/>
      <c r="G13" s="2260"/>
      <c r="H13" s="2260"/>
      <c r="I13" s="2287"/>
      <c r="J13" s="2257"/>
      <c r="K13" s="1364"/>
      <c r="L13" s="1365"/>
      <c r="P13" s="2258"/>
      <c r="Q13" s="2258"/>
      <c r="R13" s="357"/>
      <c r="S13" s="1279"/>
      <c r="T13" s="288" t="s">
        <v>599</v>
      </c>
      <c r="U13" s="368"/>
      <c r="V13" s="368"/>
      <c r="W13" s="368"/>
      <c r="X13" s="368"/>
      <c r="Y13" s="368"/>
      <c r="Z13" s="368"/>
      <c r="AA13" s="368"/>
      <c r="AB13" s="368"/>
      <c r="AC13" s="368"/>
      <c r="AD13" s="1506"/>
      <c r="AE13" s="368"/>
      <c r="AF13" s="368"/>
      <c r="AG13" s="368"/>
      <c r="AH13" s="368"/>
      <c r="AI13" s="368"/>
      <c r="AJ13" s="368"/>
      <c r="AK13" s="368"/>
      <c r="AL13" s="368"/>
      <c r="AM13" s="368"/>
      <c r="AN13" s="368"/>
      <c r="AO13" s="368"/>
      <c r="AP13" s="368"/>
      <c r="AQ13" s="368"/>
      <c r="AR13" s="368"/>
      <c r="AS13" s="368"/>
      <c r="AT13" s="368"/>
      <c r="AU13" s="368"/>
      <c r="AV13" s="368"/>
      <c r="AW13" s="368"/>
      <c r="AX13" s="368"/>
      <c r="AY13" s="368"/>
      <c r="AZ13" s="368"/>
      <c r="BA13" s="368"/>
      <c r="BB13" s="325"/>
      <c r="BC13" s="2256"/>
      <c r="BE13" s="501"/>
      <c r="BF13" s="501" t="str">
        <f>IF(T13="","",T13)</f>
        <v>Добавить строку</v>
      </c>
      <c r="BG13" s="501"/>
      <c r="BH13" s="501"/>
      <c r="BI13" s="1156">
        <v>0</v>
      </c>
    </row>
    <row s="1643" customFormat="1" customHeight="1" ht="14.25" hidden="1">
      <c r="A14" s="1344"/>
      <c r="B14" s="1344"/>
      <c r="C14" s="1344"/>
      <c r="D14" s="1344"/>
      <c r="E14" s="2260"/>
      <c r="F14" s="2260"/>
      <c r="G14" s="2260"/>
      <c r="H14" s="2260"/>
      <c r="I14" s="2257"/>
      <c r="J14" s="1344"/>
      <c r="K14" s="1344"/>
      <c r="L14" s="1347"/>
      <c r="M14" s="511"/>
      <c r="N14" s="511"/>
      <c r="O14" s="511"/>
      <c r="P14" s="2258"/>
      <c r="Q14" s="1482"/>
      <c r="R14" s="357"/>
      <c r="S14" s="1387"/>
      <c r="T14" s="1388"/>
      <c r="U14" s="1389"/>
      <c r="V14" s="1389"/>
      <c r="W14" s="1389"/>
      <c r="X14" s="1389"/>
      <c r="Y14" s="1389"/>
      <c r="Z14" s="1389"/>
      <c r="AA14" s="1389"/>
      <c r="AB14" s="1389"/>
      <c r="AC14" s="1389"/>
      <c r="AD14" s="1389"/>
      <c r="AE14" s="1389"/>
      <c r="AF14" s="1389"/>
      <c r="AG14" s="1389"/>
      <c r="AH14" s="1389"/>
      <c r="AI14" s="1389"/>
      <c r="AJ14" s="1389"/>
      <c r="AK14" s="1389"/>
      <c r="AL14" s="1389"/>
      <c r="AM14" s="1389"/>
      <c r="AN14" s="1389"/>
      <c r="AO14" s="1389"/>
      <c r="AP14" s="1389"/>
      <c r="AQ14" s="1389"/>
      <c r="AR14" s="1389"/>
      <c r="AS14" s="1389"/>
      <c r="AT14" s="1389"/>
      <c r="AU14" s="1389"/>
      <c r="AV14" s="1389"/>
      <c r="AW14" s="1389"/>
      <c r="AX14" s="1389"/>
      <c r="AY14" s="1389"/>
      <c r="AZ14" s="1389"/>
      <c r="BA14" s="1389"/>
      <c r="BB14" s="1389"/>
      <c r="BC14" s="1390"/>
      <c r="BE14" s="501"/>
      <c r="BF14" s="501" t="str">
        <f>IF(T14="","",T14)</f>
        <v/>
      </c>
      <c r="BG14" s="501"/>
      <c r="BH14" s="501"/>
      <c r="BI14" s="512">
        <v>0</v>
      </c>
    </row>
    <row s="1643" customFormat="1" customHeight="1" ht="14.25" hidden="1">
      <c r="A15" s="1344"/>
      <c r="B15" s="1344"/>
      <c r="C15" s="1344"/>
      <c r="D15" s="1344"/>
      <c r="E15" s="2260"/>
      <c r="F15" s="2260"/>
      <c r="G15" s="2260"/>
      <c r="H15" s="2259"/>
      <c r="I15" s="1344"/>
      <c r="J15" s="1344"/>
      <c r="K15" s="1344"/>
      <c r="L15" s="1347"/>
      <c r="M15" s="1316"/>
      <c r="N15" s="1316"/>
      <c r="O15" s="519"/>
      <c r="P15" s="381"/>
      <c r="Q15" s="1345"/>
      <c r="R15" s="1402"/>
      <c r="S15" s="1387"/>
      <c r="T15" s="1388"/>
      <c r="U15" s="1389"/>
      <c r="V15" s="1389"/>
      <c r="W15" s="1389"/>
      <c r="X15" s="1389"/>
      <c r="Y15" s="1389"/>
      <c r="Z15" s="1389"/>
      <c r="AA15" s="1389"/>
      <c r="AB15" s="1389"/>
      <c r="AC15" s="1389"/>
      <c r="AD15" s="1389"/>
      <c r="AE15" s="1389"/>
      <c r="AF15" s="1389"/>
      <c r="AG15" s="1389"/>
      <c r="AH15" s="1389"/>
      <c r="AI15" s="1389"/>
      <c r="AJ15" s="1389"/>
      <c r="AK15" s="1389"/>
      <c r="AL15" s="1389"/>
      <c r="AM15" s="1389"/>
      <c r="AN15" s="1389"/>
      <c r="AO15" s="1389"/>
      <c r="AP15" s="1389"/>
      <c r="AQ15" s="1389"/>
      <c r="AR15" s="1389"/>
      <c r="AS15" s="1389"/>
      <c r="AT15" s="1389"/>
      <c r="AU15" s="1389"/>
      <c r="AV15" s="1389"/>
      <c r="AW15" s="1389"/>
      <c r="AX15" s="1389"/>
      <c r="AY15" s="1389"/>
      <c r="AZ15" s="1389"/>
      <c r="BA15" s="1389"/>
      <c r="BB15" s="1389"/>
      <c r="BC15" s="1390"/>
      <c r="BE15" s="501"/>
      <c r="BF15" s="501" t="str">
        <f>IF(T15="","",T15)</f>
        <v/>
      </c>
      <c r="BG15" s="501"/>
      <c r="BH15" s="501"/>
      <c r="BI15" s="512">
        <v>0</v>
      </c>
    </row>
    <row s="1643" customFormat="1" customHeight="1" ht="14.25" hidden="1">
      <c r="A16" s="1344"/>
      <c r="B16" s="1344"/>
      <c r="C16" s="1344"/>
      <c r="D16" s="1315"/>
      <c r="E16" s="2260"/>
      <c r="F16" s="2260"/>
      <c r="G16" s="2259"/>
      <c r="H16" s="1315"/>
      <c r="I16" s="1315"/>
      <c r="J16" s="1315"/>
      <c r="K16" s="1315"/>
      <c r="L16" s="1495"/>
      <c r="M16" s="1316"/>
      <c r="N16" s="1316"/>
      <c r="P16" s="1317"/>
      <c r="Q16" s="1318"/>
      <c r="R16" s="1317"/>
      <c r="S16" s="1323"/>
      <c r="T16" s="1326"/>
      <c r="U16" s="1325"/>
      <c r="V16" s="1325"/>
      <c r="W16" s="1325"/>
      <c r="X16" s="1325"/>
      <c r="Y16" s="1325"/>
      <c r="Z16" s="1325"/>
      <c r="AA16" s="1325"/>
      <c r="AB16" s="1325"/>
      <c r="AC16" s="1325"/>
      <c r="AD16" s="1325"/>
      <c r="AE16" s="1325"/>
      <c r="AF16" s="1325"/>
      <c r="AG16" s="1325"/>
      <c r="AH16" s="1325"/>
      <c r="AI16" s="1325"/>
      <c r="AJ16" s="1325"/>
      <c r="AK16" s="1325"/>
      <c r="AL16" s="1325"/>
      <c r="AM16" s="1325"/>
      <c r="AN16" s="1325"/>
      <c r="AO16" s="1325"/>
      <c r="AP16" s="1325"/>
      <c r="AQ16" s="1325"/>
      <c r="AR16" s="1325"/>
      <c r="AS16" s="1325"/>
      <c r="AT16" s="1325"/>
      <c r="AU16" s="1325"/>
      <c r="AV16" s="1325"/>
      <c r="AW16" s="1325"/>
      <c r="AX16" s="1325"/>
      <c r="AY16" s="1325"/>
      <c r="AZ16" s="1325"/>
      <c r="BA16" s="1325"/>
      <c r="BB16" s="1325"/>
      <c r="BC16" s="1325"/>
      <c r="BE16" s="790"/>
      <c r="BF16" s="790" t="str">
        <f>IF(T16="","",T16)</f>
        <v/>
      </c>
      <c r="BG16" s="790"/>
      <c r="BH16" s="790"/>
      <c r="BI16" s="519">
        <v>0</v>
      </c>
    </row>
    <row s="1643" customFormat="1" customHeight="1" ht="14.25" hidden="1">
      <c r="A17" s="1344"/>
      <c r="B17" s="1344"/>
      <c r="C17" s="1315"/>
      <c r="D17" s="1315"/>
      <c r="E17" s="2260"/>
      <c r="F17" s="2259"/>
      <c r="G17" s="1315"/>
      <c r="H17" s="1315"/>
      <c r="I17" s="1315"/>
      <c r="J17" s="1315"/>
      <c r="K17" s="1315"/>
      <c r="L17" s="1495"/>
      <c r="M17" s="1322"/>
      <c r="N17" s="1322"/>
      <c r="P17" s="1317"/>
      <c r="Q17" s="1318"/>
      <c r="R17" s="1317"/>
      <c r="S17" s="1323"/>
      <c r="T17" s="1326" t="s">
        <v>178</v>
      </c>
      <c r="U17" s="1325"/>
      <c r="V17" s="1325"/>
      <c r="W17" s="1325"/>
      <c r="X17" s="1325"/>
      <c r="Y17" s="1325"/>
      <c r="Z17" s="1325"/>
      <c r="AA17" s="1325"/>
      <c r="AB17" s="1325"/>
      <c r="AC17" s="1325"/>
      <c r="AD17" s="1325"/>
      <c r="AE17" s="1325"/>
      <c r="AF17" s="1325"/>
      <c r="AG17" s="1325"/>
      <c r="AH17" s="1325"/>
      <c r="AI17" s="1325"/>
      <c r="AJ17" s="1325"/>
      <c r="AK17" s="1325"/>
      <c r="AL17" s="1325"/>
      <c r="AM17" s="1325"/>
      <c r="AN17" s="1325"/>
      <c r="AO17" s="1325"/>
      <c r="AP17" s="1325"/>
      <c r="AQ17" s="1325"/>
      <c r="AR17" s="1325"/>
      <c r="AS17" s="1325"/>
      <c r="AT17" s="1325"/>
      <c r="AU17" s="1325"/>
      <c r="AV17" s="1325"/>
      <c r="AW17" s="1325"/>
      <c r="AX17" s="1325"/>
      <c r="AY17" s="1325"/>
      <c r="AZ17" s="1325"/>
      <c r="BA17" s="1325"/>
      <c r="BB17" s="1325"/>
      <c r="BC17" s="1325"/>
      <c r="BE17" s="790"/>
      <c r="BF17" s="790" t="str">
        <f>IF(T17="","",T17)</f>
        <v>Добавить централизованную систему для дифференциации</v>
      </c>
      <c r="BG17" s="790"/>
      <c r="BH17" s="790"/>
      <c r="BI17" s="519">
        <v>0</v>
      </c>
    </row>
    <row s="1643" customFormat="1" customHeight="1" ht="14.25" hidden="1">
      <c r="A18" s="1344"/>
      <c r="B18" s="1344"/>
      <c r="C18" s="1344"/>
      <c r="D18" s="1344"/>
      <c r="E18" s="2259"/>
      <c r="F18" s="1344"/>
      <c r="G18" s="1344"/>
      <c r="H18" s="1344"/>
      <c r="I18" s="1344"/>
      <c r="J18" s="1344"/>
      <c r="K18" s="1344"/>
      <c r="L18" s="1347"/>
      <c r="M18" s="1322"/>
      <c r="N18" s="1322"/>
      <c r="O18" s="519"/>
      <c r="P18" s="381"/>
      <c r="Q18" s="1345"/>
      <c r="R18" s="381"/>
      <c r="S18" s="1323"/>
      <c r="T18" s="1326" t="s">
        <v>183</v>
      </c>
      <c r="U18" s="1325"/>
      <c r="V18" s="1325"/>
      <c r="W18" s="1325"/>
      <c r="X18" s="1325"/>
      <c r="Y18" s="1325"/>
      <c r="Z18" s="1325"/>
      <c r="AA18" s="1325"/>
      <c r="AB18" s="1325"/>
      <c r="AC18" s="1325"/>
      <c r="AD18" s="1325"/>
      <c r="AE18" s="1325"/>
      <c r="AF18" s="1325"/>
      <c r="AG18" s="1325"/>
      <c r="AH18" s="1325"/>
      <c r="AI18" s="1325"/>
      <c r="AJ18" s="1325"/>
      <c r="AK18" s="1325"/>
      <c r="AL18" s="1325"/>
      <c r="AM18" s="1325"/>
      <c r="AN18" s="1325"/>
      <c r="AO18" s="1325"/>
      <c r="AP18" s="1325"/>
      <c r="AQ18" s="1325"/>
      <c r="AR18" s="1325"/>
      <c r="AS18" s="1325"/>
      <c r="AT18" s="1325"/>
      <c r="AU18" s="1325"/>
      <c r="AV18" s="1325"/>
      <c r="AW18" s="1325"/>
      <c r="AX18" s="1325"/>
      <c r="AY18" s="1325"/>
      <c r="AZ18" s="1325"/>
      <c r="BA18" s="1325"/>
      <c r="BB18" s="1325"/>
      <c r="BC18" s="1325"/>
      <c r="BE18" s="501"/>
      <c r="BF18" s="501" t="str">
        <f>IF(T18="","",T18)</f>
        <v>Добавить территорию для дифференциации</v>
      </c>
      <c r="BG18" s="501"/>
      <c r="BH18" s="501"/>
      <c r="BI18" s="512">
        <v>0</v>
      </c>
    </row>
    <row customHeight="1" ht="14.25" hidden="1">
      <c r="AC19" s="328"/>
      <c r="BA19" s="328"/>
      <c r="BI19" s="1156">
        <v>0</v>
      </c>
    </row>
    <row customHeight="1" ht="14.25" hidden="1">
      <c r="AD20" s="1325" t="s">
        <v>19</v>
      </c>
      <c r="AE20" s="1502"/>
      <c r="AF20" s="549">
        <v>1</v>
      </c>
      <c r="AG20" s="1503"/>
      <c r="AH20" s="1325" t="s">
        <v>19</v>
      </c>
      <c r="AI20" s="1502"/>
      <c r="AJ20" s="549">
        <v>1</v>
      </c>
      <c r="AK20" s="1503"/>
      <c r="AL20" s="1325" t="s">
        <v>19</v>
      </c>
      <c r="AM20" s="1504"/>
      <c r="AN20" s="549">
        <v>1</v>
      </c>
      <c r="AO20" s="1505"/>
      <c r="AP20" s="1325" t="s">
        <v>19</v>
      </c>
      <c r="AQ20" s="1504"/>
      <c r="AR20" s="549">
        <v>1</v>
      </c>
      <c r="AS20" s="1505"/>
      <c r="AT20" s="326"/>
      <c r="AU20" s="385"/>
      <c r="AV20" s="326"/>
      <c r="AW20" s="385"/>
      <c r="AX20" s="1737"/>
      <c r="AY20" s="1486" t="s">
        <v>65</v>
      </c>
      <c r="AZ20" s="1737"/>
      <c r="BA20" s="1486" t="s">
        <v>65</v>
      </c>
      <c r="BI20" s="1156">
        <v>0</v>
      </c>
    </row>
    <row customHeight="1" ht="14.25" hidden="1">
      <c r="BD21" s="497"/>
      <c r="BE21" s="497"/>
      <c r="BF21" s="497"/>
      <c r="BG21" s="497"/>
      <c r="BH21" s="497"/>
      <c r="BI21" s="1156">
        <v>0</v>
      </c>
    </row>
    <row customHeight="1" ht="14.25" hidden="1">
      <c r="O22" s="1368" t="s">
        <v>544</v>
      </c>
      <c r="Z22" s="1346"/>
      <c r="AB22" s="1346"/>
      <c r="AC22" s="328"/>
      <c r="AX22" s="1346"/>
      <c r="AZ22" s="1346"/>
      <c r="BA22" s="328"/>
      <c r="BD22" s="497"/>
      <c r="BE22" s="497"/>
      <c r="BF22" s="497"/>
      <c r="BG22" s="497"/>
      <c r="BH22" s="497"/>
      <c r="BI22" s="1156">
        <v>0</v>
      </c>
    </row>
    <row customHeight="1" ht="14.25" hidden="1">
      <c r="AC23" s="328"/>
      <c r="BA23" s="328"/>
      <c r="BD23" s="497"/>
      <c r="BE23" s="497"/>
      <c r="BF23" s="497"/>
      <c r="BG23" s="497"/>
      <c r="BH23" s="497"/>
      <c r="BI23" s="1156">
        <v>0</v>
      </c>
    </row>
    <row s="1510" customFormat="1" customHeight="1" ht="14.25" hidden="1">
      <c r="M24" s="1509"/>
      <c r="N24" s="1509"/>
      <c r="O24" s="1510" t="s">
        <v>545</v>
      </c>
      <c r="P24" s="1509"/>
      <c r="Q24" s="1511"/>
      <c r="R24" s="1511"/>
      <c r="AA24" s="1508" t="s">
        <v>547</v>
      </c>
      <c r="AC24" s="1508" t="s">
        <v>548</v>
      </c>
      <c r="AD24" s="1508" t="s">
        <v>600</v>
      </c>
      <c r="AH24" s="1508" t="s">
        <v>600</v>
      </c>
      <c r="AK24" s="1508" t="s">
        <v>637</v>
      </c>
      <c r="AL24" s="1508" t="s">
        <v>600</v>
      </c>
      <c r="AP24" s="1508" t="s">
        <v>600</v>
      </c>
      <c r="AY24" s="1508" t="s">
        <v>547</v>
      </c>
      <c r="BA24" s="1508" t="s">
        <v>548</v>
      </c>
      <c r="BD24" s="1512"/>
      <c r="BE24" s="1512"/>
      <c r="BF24" s="1512"/>
      <c r="BG24" s="1512"/>
      <c r="BH24" s="1512"/>
      <c r="BI24" s="1508">
        <v>0</v>
      </c>
    </row>
    <row customHeight="1" ht="14.25" hidden="1">
      <c r="O25" s="1365"/>
      <c r="BD25" s="497"/>
      <c r="BE25" s="497"/>
      <c r="BF25" s="497"/>
      <c r="BG25" s="497"/>
      <c r="BH25" s="497"/>
      <c r="BI25" s="1156">
        <v>0</v>
      </c>
    </row>
    <row customHeight="1" ht="14.25" hidden="1">
      <c r="O26" s="1365"/>
      <c r="BD26" s="497"/>
      <c r="BE26" s="497"/>
      <c r="BF26" s="497"/>
      <c r="BG26" s="497"/>
      <c r="BH26" s="497"/>
      <c r="BI26" s="1156">
        <v>0</v>
      </c>
    </row>
    <row customHeight="1" ht="14.699999999999998">
      <c r="Q27" s="292"/>
      <c r="R27" s="377"/>
      <c r="S27" s="1276"/>
      <c r="T27" s="364"/>
      <c r="U27" s="364"/>
      <c r="V27" s="510"/>
      <c r="W27" s="510"/>
      <c r="X27" s="510"/>
      <c r="Y27" s="510"/>
      <c r="Z27" s="510"/>
      <c r="AA27" s="510"/>
      <c r="AB27" s="510"/>
      <c r="AC27" s="510"/>
      <c r="AD27" s="510"/>
      <c r="AE27" s="510"/>
      <c r="AF27" s="510"/>
      <c r="AG27" s="510"/>
      <c r="AH27" s="510"/>
      <c r="AI27" s="510"/>
      <c r="AJ27" s="510"/>
      <c r="AK27" s="510"/>
      <c r="AL27" s="510"/>
      <c r="AM27" s="510"/>
      <c r="AN27" s="510"/>
      <c r="AO27" s="510"/>
      <c r="AP27" s="510"/>
      <c r="AQ27" s="510"/>
      <c r="AR27" s="510"/>
      <c r="AS27" s="510"/>
      <c r="AT27" s="510"/>
      <c r="AU27" s="510"/>
      <c r="AV27" s="510"/>
      <c r="AW27" s="510"/>
      <c r="AX27" s="510"/>
      <c r="AY27" s="510"/>
      <c r="AZ27" s="510"/>
      <c r="BA27" s="510"/>
      <c r="BI27" s="1156">
        <v>14</v>
      </c>
    </row>
    <row customHeight="1" ht="14.699999999999998">
      <c r="Q28" s="292"/>
      <c r="R28" s="377"/>
      <c r="S28" s="2249" t="str">
        <f>IF(TEMPLATE_GROUP="P",PT_P_FORM_HOTVSNA_5_NAME_FORM,PT_R_FORM_HOTVSNA_17_NAME_FORM)</f>
        <v>Форма 3. Информация об установленных тарифах на подключение (технологическое присоединение) к централизованной системе горячего водоснабжения</v>
      </c>
      <c r="T28" s="2249"/>
      <c r="U28" s="2249"/>
      <c r="V28" s="2249"/>
      <c r="W28" s="2249"/>
      <c r="X28" s="2249"/>
      <c r="Y28" s="2249"/>
      <c r="Z28" s="2249"/>
      <c r="AA28" s="2249"/>
      <c r="AB28" s="2249"/>
      <c r="AC28" s="2249"/>
      <c r="AD28" s="2249"/>
      <c r="AE28" s="2249"/>
      <c r="AF28" s="2249"/>
      <c r="AG28" s="2249"/>
      <c r="AH28" s="2249"/>
      <c r="AI28" s="2249"/>
      <c r="AJ28" s="2249"/>
      <c r="AK28" s="2249"/>
      <c r="AL28" s="2249"/>
      <c r="AM28" s="2249"/>
      <c r="AN28" s="2249"/>
      <c r="AO28" s="2249"/>
      <c r="AP28" s="2249"/>
      <c r="AQ28" s="2249"/>
      <c r="AR28" s="2249"/>
      <c r="AS28" s="2249"/>
      <c r="AT28" s="2249"/>
      <c r="AU28" s="2249"/>
      <c r="AV28" s="2249"/>
      <c r="AW28" s="2249"/>
      <c r="AX28" s="2249"/>
      <c r="AY28" s="2249"/>
      <c r="AZ28" s="2249"/>
      <c r="BA28" s="1244"/>
      <c r="BI28" s="1156">
        <v>14</v>
      </c>
    </row>
    <row customHeight="1" ht="14.699999999999998">
      <c r="Q29" s="292"/>
      <c r="R29" s="377"/>
      <c r="S29" s="2250" t="str">
        <f>IF(org=0,"Не определено",org)</f>
        <v>ПАО "ТГК-1" (филиал "Кольский")</v>
      </c>
      <c r="T29" s="2250"/>
      <c r="U29" s="2250"/>
      <c r="V29" s="2250"/>
      <c r="W29" s="2250"/>
      <c r="X29" s="2250"/>
      <c r="Y29" s="2250"/>
      <c r="Z29" s="2250"/>
      <c r="AA29" s="2250"/>
      <c r="AB29" s="2250"/>
      <c r="AC29" s="2250"/>
      <c r="AD29" s="2250"/>
      <c r="AE29" s="2250"/>
      <c r="AF29" s="2250"/>
      <c r="AG29" s="2250"/>
      <c r="AH29" s="2250"/>
      <c r="AI29" s="2250"/>
      <c r="AJ29" s="2250"/>
      <c r="AK29" s="2250"/>
      <c r="AL29" s="2250"/>
      <c r="AM29" s="2250"/>
      <c r="AN29" s="2250"/>
      <c r="AO29" s="2250"/>
      <c r="AP29" s="2250"/>
      <c r="AQ29" s="2250"/>
      <c r="AR29" s="2250"/>
      <c r="AS29" s="2250"/>
      <c r="AT29" s="2250"/>
      <c r="AU29" s="2250"/>
      <c r="AV29" s="2250"/>
      <c r="AW29" s="2250"/>
      <c r="AX29" s="2250"/>
      <c r="AY29" s="2250"/>
      <c r="AZ29" s="2250"/>
      <c r="BA29" s="1244"/>
      <c r="BI29" s="1156">
        <v>14</v>
      </c>
    </row>
    <row customHeight="1" ht="14.25">
      <c r="Q30" s="292"/>
      <c r="R30" s="377"/>
      <c r="S30" s="1276"/>
      <c r="T30" s="364"/>
      <c r="U30" s="364"/>
      <c r="V30" s="323"/>
      <c r="W30" s="323"/>
      <c r="X30" s="323"/>
      <c r="Y30" s="323"/>
      <c r="Z30" s="323"/>
      <c r="AA30" s="323"/>
      <c r="AB30" s="323"/>
      <c r="AC30" s="323"/>
      <c r="AD30" s="323"/>
      <c r="AE30" s="323"/>
      <c r="AF30" s="323"/>
      <c r="AG30" s="323"/>
      <c r="AH30" s="323"/>
      <c r="AI30" s="323"/>
      <c r="AJ30" s="323"/>
      <c r="AK30" s="323"/>
      <c r="AL30" s="323"/>
      <c r="AM30" s="323"/>
      <c r="AN30" s="323"/>
      <c r="AO30" s="323"/>
      <c r="AP30" s="323"/>
      <c r="AQ30" s="323"/>
      <c r="AR30" s="323"/>
      <c r="AS30" s="323"/>
      <c r="AT30" s="323"/>
      <c r="AU30" s="323"/>
      <c r="AV30" s="323"/>
      <c r="AW30" s="323"/>
      <c r="AX30" s="323"/>
      <c r="AY30" s="323"/>
      <c r="AZ30" s="323"/>
      <c r="BA30" s="323"/>
      <c r="BB30" s="510"/>
      <c r="BI30" s="1156">
        <v>0</v>
      </c>
    </row>
    <row s="1854" customFormat="1" customHeight="1" ht="25.5">
      <c r="A31" s="1369"/>
      <c r="B31" s="1369"/>
      <c r="C31" s="1369"/>
      <c r="D31" s="1369"/>
      <c r="E31" s="1369"/>
      <c r="F31" s="1369"/>
      <c r="G31" s="1369"/>
      <c r="H31" s="1369"/>
      <c r="I31" s="1369"/>
      <c r="J31" s="1369"/>
      <c r="K31" s="1369"/>
      <c r="L31" s="1370"/>
      <c r="M31" s="1369"/>
      <c r="N31" s="1369"/>
      <c r="O31" s="1369"/>
      <c r="P31" s="1369"/>
      <c r="Q31" s="1369"/>
      <c r="S31" s="2251" t="s">
        <v>42</v>
      </c>
      <c r="T31" s="2251"/>
      <c r="U31" s="1373"/>
      <c r="V31" s="2252" t="str">
        <f>IF(TITLE_NAME_OR_PR_CHANGE="",IF(TITLE_NAME_OR_PR="","",TITLE_NAME_OR_PR),TITLE_NAME_OR_PR_CHANGE)</f>
        <v>Комитет по тарифному регулированию Мурманской области</v>
      </c>
      <c r="W31" s="2252"/>
      <c r="X31" s="2252"/>
      <c r="Y31" s="2252"/>
      <c r="Z31" s="2252"/>
      <c r="AA31" s="2252"/>
      <c r="AB31" s="2252"/>
      <c r="AC31" s="327"/>
      <c r="AD31" s="2252" t="str">
        <f>IF(TITLE_NAME_OR_PR_CHANGE="",IF(TITLE_NAME_OR_PR="","",TITLE_NAME_OR_PR),TITLE_NAME_OR_PR_CHANGE)</f>
        <v>Комитет по тарифному регулированию Мурманской области</v>
      </c>
      <c r="AE31" s="2252"/>
      <c r="AF31" s="2252"/>
      <c r="AG31" s="2252"/>
      <c r="AH31" s="2252"/>
      <c r="AI31" s="2252"/>
      <c r="AJ31" s="2252"/>
      <c r="AK31" s="2252"/>
      <c r="AL31" s="2252"/>
      <c r="AM31" s="2252"/>
      <c r="AN31" s="2252"/>
      <c r="AO31" s="2252"/>
      <c r="AP31" s="2252"/>
      <c r="AQ31" s="2252"/>
      <c r="AR31" s="2252"/>
      <c r="AS31" s="2252"/>
      <c r="AT31" s="2252"/>
      <c r="AU31" s="2252"/>
      <c r="AV31" s="2252"/>
      <c r="AW31" s="2252"/>
      <c r="AX31" s="2252"/>
      <c r="AY31" s="2252"/>
      <c r="AZ31" s="2252"/>
      <c r="BA31" s="327"/>
      <c r="BB31" s="327"/>
      <c r="BC31" s="281"/>
      <c r="BD31" s="369"/>
      <c r="BE31" s="369"/>
      <c r="BF31" s="369"/>
      <c r="BG31" s="369"/>
      <c r="BH31" s="369"/>
      <c r="BI31" s="419">
        <v>0</v>
      </c>
    </row>
    <row s="1854" customFormat="1" customHeight="1" ht="18.75">
      <c r="A32" s="1369"/>
      <c r="B32" s="1369"/>
      <c r="C32" s="1369"/>
      <c r="D32" s="1369"/>
      <c r="E32" s="1369"/>
      <c r="F32" s="1369"/>
      <c r="G32" s="1369"/>
      <c r="H32" s="1369"/>
      <c r="I32" s="1369"/>
      <c r="J32" s="1369"/>
      <c r="K32" s="1369"/>
      <c r="L32" s="1370"/>
      <c r="M32" s="1369"/>
      <c r="N32" s="1369"/>
      <c r="O32" s="1369"/>
      <c r="P32" s="1369"/>
      <c r="Q32" s="1369"/>
      <c r="S32" s="2251" t="s">
        <v>550</v>
      </c>
      <c r="T32" s="2251"/>
      <c r="U32" s="1373"/>
      <c r="V32" s="2265" t="str">
        <f>IF(TITLE_DATE_PR_CHANGE="",IF(TITLE_DATE_PR="","",TITLE_DATE_PR),TITLE_DATE_PR_CHANGE)</f>
        <v>46010</v>
      </c>
      <c r="W32" s="2265"/>
      <c r="X32" s="2265"/>
      <c r="Y32" s="2265"/>
      <c r="Z32" s="2265"/>
      <c r="AA32" s="2265"/>
      <c r="AB32" s="2265"/>
      <c r="AC32" s="327"/>
      <c r="AD32" s="2265" t="str">
        <f>IF(TITLE_DATE_PR_CHANGE="",IF(TITLE_DATE_PR="","",TITLE_DATE_PR),TITLE_DATE_PR_CHANGE)</f>
        <v>46010</v>
      </c>
      <c r="AE32" s="2265"/>
      <c r="AF32" s="2265"/>
      <c r="AG32" s="2265"/>
      <c r="AH32" s="2265"/>
      <c r="AI32" s="2265"/>
      <c r="AJ32" s="2265"/>
      <c r="AK32" s="2265"/>
      <c r="AL32" s="2265"/>
      <c r="AM32" s="2265"/>
      <c r="AN32" s="2265"/>
      <c r="AO32" s="2265"/>
      <c r="AP32" s="2265"/>
      <c r="AQ32" s="2265"/>
      <c r="AR32" s="2265"/>
      <c r="AS32" s="2265"/>
      <c r="AT32" s="2265"/>
      <c r="AU32" s="2265"/>
      <c r="AV32" s="2265"/>
      <c r="AW32" s="2265"/>
      <c r="AX32" s="2265"/>
      <c r="AY32" s="2265"/>
      <c r="AZ32" s="2265"/>
      <c r="BA32" s="327"/>
      <c r="BB32" s="327"/>
      <c r="BC32" s="281"/>
      <c r="BD32" s="369"/>
      <c r="BE32" s="369"/>
      <c r="BF32" s="369"/>
      <c r="BG32" s="369"/>
      <c r="BH32" s="369"/>
      <c r="BI32" s="419">
        <v>0</v>
      </c>
    </row>
    <row s="1854" customFormat="1" customHeight="1" ht="18.75">
      <c r="A33" s="1369"/>
      <c r="B33" s="1369"/>
      <c r="C33" s="1369"/>
      <c r="D33" s="1369"/>
      <c r="E33" s="1369"/>
      <c r="F33" s="1369"/>
      <c r="G33" s="1369"/>
      <c r="H33" s="1369"/>
      <c r="I33" s="1369"/>
      <c r="J33" s="1369"/>
      <c r="K33" s="1369"/>
      <c r="L33" s="1370"/>
      <c r="M33" s="1369"/>
      <c r="N33" s="1369"/>
      <c r="O33" s="1369"/>
      <c r="P33" s="1369"/>
      <c r="Q33" s="1369"/>
      <c r="S33" s="2251" t="s">
        <v>551</v>
      </c>
      <c r="T33" s="2251"/>
      <c r="U33" s="1373"/>
      <c r="V33" s="2252" t="str">
        <f>IF(TITLE_NUMBER_PR_CHANGE="",IF(TITLE_NUMBER_PR="","",TITLE_NUMBER_PR),TITLE_NUMBER_PR_CHANGE)</f>
        <v>53/77; 53/49</v>
      </c>
      <c r="W33" s="2252"/>
      <c r="X33" s="2252"/>
      <c r="Y33" s="2252"/>
      <c r="Z33" s="2252"/>
      <c r="AA33" s="2252"/>
      <c r="AB33" s="2252"/>
      <c r="AC33" s="327"/>
      <c r="AD33" s="2252" t="str">
        <f>IF(TITLE_NUMBER_PR_CHANGE="",IF(TITLE_NUMBER_PR="","",TITLE_NUMBER_PR),TITLE_NUMBER_PR_CHANGE)</f>
        <v>53/77; 53/49</v>
      </c>
      <c r="AE33" s="2252"/>
      <c r="AF33" s="2252"/>
      <c r="AG33" s="2252"/>
      <c r="AH33" s="2252"/>
      <c r="AI33" s="2252"/>
      <c r="AJ33" s="2252"/>
      <c r="AK33" s="2252"/>
      <c r="AL33" s="2252"/>
      <c r="AM33" s="2252"/>
      <c r="AN33" s="2252"/>
      <c r="AO33" s="2252"/>
      <c r="AP33" s="2252"/>
      <c r="AQ33" s="2252"/>
      <c r="AR33" s="2252"/>
      <c r="AS33" s="2252"/>
      <c r="AT33" s="2252"/>
      <c r="AU33" s="2252"/>
      <c r="AV33" s="2252"/>
      <c r="AW33" s="2252"/>
      <c r="AX33" s="2252"/>
      <c r="AY33" s="2252"/>
      <c r="AZ33" s="2252"/>
      <c r="BA33" s="327"/>
      <c r="BB33" s="327"/>
      <c r="BC33" s="281"/>
      <c r="BD33" s="369"/>
      <c r="BE33" s="369"/>
      <c r="BF33" s="369"/>
      <c r="BG33" s="369"/>
      <c r="BH33" s="369"/>
      <c r="BI33" s="419">
        <v>0</v>
      </c>
    </row>
    <row s="1854" customFormat="1" customHeight="1" ht="18.75">
      <c r="A34" s="1369"/>
      <c r="B34" s="1369"/>
      <c r="C34" s="1369"/>
      <c r="D34" s="1369"/>
      <c r="E34" s="1369"/>
      <c r="F34" s="1369"/>
      <c r="G34" s="1369"/>
      <c r="H34" s="1369"/>
      <c r="I34" s="1369"/>
      <c r="J34" s="1369"/>
      <c r="K34" s="1369"/>
      <c r="L34" s="1370"/>
      <c r="M34" s="1369"/>
      <c r="N34" s="1369"/>
      <c r="O34" s="1369"/>
      <c r="P34" s="1369"/>
      <c r="Q34" s="1369"/>
      <c r="S34" s="2251" t="s">
        <v>44</v>
      </c>
      <c r="T34" s="2251"/>
      <c r="U34" s="1373"/>
      <c r="V34" s="2252" t="str">
        <f>IF(TITLE_IST_PUB_CHANGE="",IF(TITLE_IST_PUB="","",TITLE_IST_PUB),TITLE_IST_PUB_CHANGE)</f>
        <v>Официальный электронный бюллетень Правительства Мурманской области</v>
      </c>
      <c r="W34" s="2252"/>
      <c r="X34" s="2252"/>
      <c r="Y34" s="2252"/>
      <c r="Z34" s="2252"/>
      <c r="AA34" s="2252"/>
      <c r="AB34" s="2252"/>
      <c r="AC34" s="327"/>
      <c r="AD34" s="2252" t="str">
        <f>IF(TITLE_IST_PUB_CHANGE="",IF(TITLE_IST_PUB="","",TITLE_IST_PUB),TITLE_IST_PUB_CHANGE)</f>
        <v>Официальный электронный бюллетень Правительства Мурманской области</v>
      </c>
      <c r="AE34" s="2252"/>
      <c r="AF34" s="2252"/>
      <c r="AG34" s="2252"/>
      <c r="AH34" s="2252"/>
      <c r="AI34" s="2252"/>
      <c r="AJ34" s="2252"/>
      <c r="AK34" s="2252"/>
      <c r="AL34" s="2252"/>
      <c r="AM34" s="2252"/>
      <c r="AN34" s="2252"/>
      <c r="AO34" s="2252"/>
      <c r="AP34" s="2252"/>
      <c r="AQ34" s="2252"/>
      <c r="AR34" s="2252"/>
      <c r="AS34" s="2252"/>
      <c r="AT34" s="2252"/>
      <c r="AU34" s="2252"/>
      <c r="AV34" s="2252"/>
      <c r="AW34" s="2252"/>
      <c r="AX34" s="2252"/>
      <c r="AY34" s="2252"/>
      <c r="AZ34" s="2252"/>
      <c r="BA34" s="327"/>
      <c r="BB34" s="327"/>
      <c r="BC34" s="281"/>
      <c r="BD34" s="369"/>
      <c r="BE34" s="369"/>
      <c r="BF34" s="369"/>
      <c r="BG34" s="369"/>
      <c r="BH34" s="369"/>
      <c r="BI34" s="419">
        <v>0</v>
      </c>
    </row>
    <row customHeight="1" ht="14.25" hidden="1">
      <c r="Q35" s="292"/>
      <c r="R35" s="377"/>
      <c r="S35" s="1276"/>
      <c r="T35" s="364"/>
      <c r="U35" s="364"/>
      <c r="V35" s="323"/>
      <c r="W35" s="323"/>
      <c r="X35" s="323"/>
      <c r="Y35" s="323"/>
      <c r="Z35" s="323"/>
      <c r="AA35" s="323"/>
      <c r="AB35" s="323"/>
      <c r="AC35" s="323"/>
      <c r="AD35" s="323"/>
      <c r="AE35" s="323"/>
      <c r="AF35" s="323"/>
      <c r="AG35" s="323"/>
      <c r="AH35" s="323"/>
      <c r="AI35" s="323"/>
      <c r="AJ35" s="323"/>
      <c r="AK35" s="323"/>
      <c r="AL35" s="323"/>
      <c r="AM35" s="323"/>
      <c r="AN35" s="323"/>
      <c r="AO35" s="323"/>
      <c r="AP35" s="323"/>
      <c r="AQ35" s="323"/>
      <c r="AR35" s="323"/>
      <c r="AS35" s="323"/>
      <c r="AT35" s="323"/>
      <c r="AU35" s="323"/>
      <c r="AV35" s="323"/>
      <c r="AW35" s="323"/>
      <c r="AX35" s="323"/>
      <c r="AY35" s="323"/>
      <c r="AZ35" s="323"/>
      <c r="BA35" s="323"/>
      <c r="BB35" s="510"/>
      <c r="BI35" s="1156">
        <v>0</v>
      </c>
    </row>
    <row s="1854" customFormat="1" customHeight="1" ht="18.75" hidden="1">
      <c r="A36" s="1369"/>
      <c r="B36" s="1369"/>
      <c r="C36" s="1369"/>
      <c r="D36" s="1369"/>
      <c r="E36" s="1369"/>
      <c r="F36" s="1369"/>
      <c r="G36" s="1369"/>
      <c r="H36" s="1369"/>
      <c r="I36" s="1369"/>
      <c r="J36" s="1369"/>
      <c r="K36" s="1369"/>
      <c r="L36" s="1370"/>
      <c r="M36" s="1369"/>
      <c r="N36" s="1369"/>
      <c r="O36" s="1369"/>
      <c r="P36" s="1369"/>
      <c r="Q36" s="1369"/>
      <c r="S36" s="2251" t="s">
        <v>550</v>
      </c>
      <c r="T36" s="2251"/>
      <c r="U36" s="1373"/>
      <c r="V36" s="2265" t="str">
        <f>IF(TITLE_DATE_PR_CHANGE="",IF(TITLE_DATE_PR="","",TITLE_DATE_PR),TITLE_DATE_PR_CHANGE)</f>
        <v>46010</v>
      </c>
      <c r="W36" s="2265"/>
      <c r="X36" s="2265"/>
      <c r="Y36" s="2265"/>
      <c r="Z36" s="2265"/>
      <c r="AA36" s="2265"/>
      <c r="AB36" s="2265"/>
      <c r="AC36" s="327"/>
      <c r="AD36" s="2265" t="str">
        <f>IF(TITLE_DATE_PR_CHANGE="",IF(TITLE_DATE_PR="","",TITLE_DATE_PR),TITLE_DATE_PR_CHANGE)</f>
        <v>46010</v>
      </c>
      <c r="AE36" s="2265"/>
      <c r="AF36" s="2265"/>
      <c r="AG36" s="2265"/>
      <c r="AH36" s="2265"/>
      <c r="AI36" s="2265"/>
      <c r="AJ36" s="2265"/>
      <c r="AK36" s="2265"/>
      <c r="AL36" s="2265"/>
      <c r="AM36" s="2265"/>
      <c r="AN36" s="2265"/>
      <c r="AO36" s="2265"/>
      <c r="AP36" s="2265"/>
      <c r="AQ36" s="2265"/>
      <c r="AR36" s="2265"/>
      <c r="AS36" s="2265"/>
      <c r="AT36" s="2265"/>
      <c r="AU36" s="2265"/>
      <c r="AV36" s="2265"/>
      <c r="AW36" s="2265"/>
      <c r="AX36" s="2265"/>
      <c r="AY36" s="2265"/>
      <c r="AZ36" s="2265"/>
      <c r="BA36" s="327"/>
      <c r="BB36" s="327"/>
      <c r="BC36" s="281"/>
      <c r="BD36" s="369"/>
      <c r="BE36" s="369"/>
      <c r="BF36" s="369"/>
      <c r="BG36" s="369"/>
      <c r="BH36" s="369"/>
      <c r="BI36" s="419">
        <v>0</v>
      </c>
    </row>
    <row s="1854" customFormat="1" customHeight="1" ht="18.75" hidden="1">
      <c r="A37" s="1369"/>
      <c r="B37" s="1369"/>
      <c r="C37" s="1369"/>
      <c r="D37" s="1369"/>
      <c r="E37" s="1369"/>
      <c r="F37" s="1369"/>
      <c r="G37" s="1369"/>
      <c r="H37" s="1369"/>
      <c r="I37" s="1369"/>
      <c r="J37" s="1369"/>
      <c r="K37" s="1369"/>
      <c r="L37" s="1370"/>
      <c r="M37" s="1369"/>
      <c r="N37" s="1369"/>
      <c r="O37" s="1369"/>
      <c r="P37" s="1369"/>
      <c r="Q37" s="1369"/>
      <c r="S37" s="2251" t="s">
        <v>551</v>
      </c>
      <c r="T37" s="2251"/>
      <c r="U37" s="1373"/>
      <c r="V37" s="2252" t="str">
        <f>IF(TITLE_NUMBER_PR_CHANGE="",IF(TITLE_NUMBER_PR="","",TITLE_NUMBER_PR),TITLE_NUMBER_PR_CHANGE)</f>
        <v>53/77; 53/49</v>
      </c>
      <c r="W37" s="2252"/>
      <c r="X37" s="2252"/>
      <c r="Y37" s="2252"/>
      <c r="Z37" s="2252"/>
      <c r="AA37" s="2252"/>
      <c r="AB37" s="2252"/>
      <c r="AC37" s="327"/>
      <c r="AD37" s="2252" t="str">
        <f>IF(TITLE_NUMBER_PR_CHANGE="",IF(TITLE_NUMBER_PR="","",TITLE_NUMBER_PR),TITLE_NUMBER_PR_CHANGE)</f>
        <v>53/77; 53/49</v>
      </c>
      <c r="AE37" s="2252"/>
      <c r="AF37" s="2252"/>
      <c r="AG37" s="2252"/>
      <c r="AH37" s="2252"/>
      <c r="AI37" s="2252"/>
      <c r="AJ37" s="2252"/>
      <c r="AK37" s="2252"/>
      <c r="AL37" s="2252"/>
      <c r="AM37" s="2252"/>
      <c r="AN37" s="2252"/>
      <c r="AO37" s="2252"/>
      <c r="AP37" s="2252"/>
      <c r="AQ37" s="2252"/>
      <c r="AR37" s="2252"/>
      <c r="AS37" s="2252"/>
      <c r="AT37" s="2252"/>
      <c r="AU37" s="2252"/>
      <c r="AV37" s="2252"/>
      <c r="AW37" s="2252"/>
      <c r="AX37" s="2252"/>
      <c r="AY37" s="2252"/>
      <c r="AZ37" s="2252"/>
      <c r="BA37" s="327"/>
      <c r="BB37" s="327"/>
      <c r="BC37" s="281"/>
      <c r="BD37" s="369"/>
      <c r="BE37" s="369"/>
      <c r="BF37" s="369"/>
      <c r="BG37" s="369"/>
      <c r="BH37" s="369"/>
      <c r="BI37" s="419">
        <v>0</v>
      </c>
    </row>
    <row s="1854" customFormat="1" customHeight="1" ht="0">
      <c r="A38" s="1369"/>
      <c r="B38" s="1369"/>
      <c r="C38" s="1369"/>
      <c r="D38" s="1369"/>
      <c r="E38" s="1369"/>
      <c r="F38" s="1369"/>
      <c r="G38" s="1369"/>
      <c r="H38" s="1369"/>
      <c r="I38" s="1369"/>
      <c r="J38" s="1369"/>
      <c r="K38" s="1369"/>
      <c r="L38" s="1370"/>
      <c r="M38" s="1369"/>
      <c r="N38" s="1369"/>
      <c r="O38" s="1369"/>
      <c r="P38" s="1369"/>
      <c r="Q38" s="1369"/>
      <c r="S38" s="324"/>
      <c r="T38" s="324"/>
      <c r="U38" s="1489"/>
      <c r="V38" s="327"/>
      <c r="W38" s="327"/>
      <c r="X38" s="327"/>
      <c r="Y38" s="327"/>
      <c r="Z38" s="327"/>
      <c r="AA38" s="327"/>
      <c r="AB38" s="327"/>
      <c r="AC38" s="279" t="s">
        <v>554</v>
      </c>
      <c r="AD38" s="327"/>
      <c r="AE38" s="327"/>
      <c r="AF38" s="327"/>
      <c r="AG38" s="327"/>
      <c r="AH38" s="327"/>
      <c r="AI38" s="327"/>
      <c r="AJ38" s="327"/>
      <c r="AK38" s="327"/>
      <c r="AL38" s="327"/>
      <c r="AM38" s="327"/>
      <c r="AN38" s="327"/>
      <c r="AO38" s="327"/>
      <c r="AP38" s="327"/>
      <c r="AQ38" s="327"/>
      <c r="AR38" s="327"/>
      <c r="AS38" s="327"/>
      <c r="AT38" s="327"/>
      <c r="AU38" s="327"/>
      <c r="AV38" s="327"/>
      <c r="AW38" s="327"/>
      <c r="AX38" s="327"/>
      <c r="AY38" s="327"/>
      <c r="AZ38" s="327"/>
      <c r="BA38" s="279" t="s">
        <v>554</v>
      </c>
      <c r="BD38" s="369"/>
      <c r="BE38" s="369"/>
      <c r="BF38" s="369"/>
      <c r="BG38" s="369"/>
      <c r="BH38" s="369"/>
      <c r="BI38" s="419">
        <v>0</v>
      </c>
    </row>
    <row customHeight="1" ht="14.699999999999998">
      <c r="Q39" s="292"/>
      <c r="R39" s="377"/>
      <c r="S39" s="1276"/>
      <c r="T39" s="364"/>
      <c r="U39" s="1245"/>
      <c r="V39" s="2253"/>
      <c r="W39" s="2253"/>
      <c r="X39" s="2253"/>
      <c r="Y39" s="2253"/>
      <c r="Z39" s="2253"/>
      <c r="AA39" s="2253"/>
      <c r="AB39" s="2253"/>
      <c r="AC39" s="2253"/>
      <c r="AD39" s="2253"/>
      <c r="AE39" s="2253"/>
      <c r="AF39" s="2253"/>
      <c r="AG39" s="2253"/>
      <c r="AH39" s="2253"/>
      <c r="AI39" s="2253"/>
      <c r="AJ39" s="2253"/>
      <c r="AK39" s="2253"/>
      <c r="AL39" s="2253"/>
      <c r="AM39" s="2253"/>
      <c r="AN39" s="2253"/>
      <c r="AO39" s="2253"/>
      <c r="AP39" s="2253"/>
      <c r="AQ39" s="2253"/>
      <c r="AR39" s="2253"/>
      <c r="AS39" s="2253"/>
      <c r="AT39" s="2253"/>
      <c r="AU39" s="2253"/>
      <c r="AV39" s="2253"/>
      <c r="AW39" s="2253"/>
      <c r="AX39" s="2253"/>
      <c r="AY39" s="2253"/>
      <c r="AZ39" s="2253"/>
      <c r="BA39" s="2253"/>
      <c r="BI39" s="1156">
        <v>14</v>
      </c>
    </row>
    <row customHeight="1" ht="14.699999999999998">
      <c r="Q40" s="292"/>
      <c r="R40" s="377"/>
      <c r="S40" s="2128" t="s">
        <v>430</v>
      </c>
      <c r="T40" s="2128"/>
      <c r="U40" s="2128"/>
      <c r="V40" s="2128"/>
      <c r="W40" s="2128"/>
      <c r="X40" s="2128"/>
      <c r="Y40" s="2128"/>
      <c r="Z40" s="2128"/>
      <c r="AA40" s="2128"/>
      <c r="AB40" s="2128"/>
      <c r="AC40" s="2128"/>
      <c r="AD40" s="2128"/>
      <c r="AE40" s="2128"/>
      <c r="AF40" s="2128"/>
      <c r="AG40" s="2128"/>
      <c r="AH40" s="2128"/>
      <c r="AI40" s="2128"/>
      <c r="AJ40" s="2128"/>
      <c r="AK40" s="2128"/>
      <c r="AL40" s="2128"/>
      <c r="AM40" s="2128"/>
      <c r="AN40" s="2128"/>
      <c r="AO40" s="2128"/>
      <c r="AP40" s="2128"/>
      <c r="AQ40" s="2128"/>
      <c r="AR40" s="2128"/>
      <c r="AS40" s="2128"/>
      <c r="AT40" s="2128"/>
      <c r="AU40" s="2128"/>
      <c r="AV40" s="2128"/>
      <c r="AW40" s="2128"/>
      <c r="AX40" s="2128"/>
      <c r="AY40" s="2128"/>
      <c r="AZ40" s="2128"/>
      <c r="BA40" s="2128"/>
      <c r="BB40" s="2128"/>
      <c r="BC40" s="2128" t="s">
        <v>431</v>
      </c>
      <c r="BI40" s="1156">
        <v>14</v>
      </c>
    </row>
    <row customHeight="1" ht="14.699999999999998">
      <c r="Q41" s="292"/>
      <c r="R41" s="377"/>
      <c r="S41" s="2274" t="s">
        <v>92</v>
      </c>
      <c r="T41" s="2210" t="s">
        <v>638</v>
      </c>
      <c r="U41" s="302"/>
      <c r="V41" s="2275" t="s">
        <v>556</v>
      </c>
      <c r="W41" s="2276"/>
      <c r="X41" s="2276"/>
      <c r="Y41" s="2276"/>
      <c r="Z41" s="2276"/>
      <c r="AA41" s="2276"/>
      <c r="AB41" s="2277"/>
      <c r="AC41" s="2278" t="s">
        <v>557</v>
      </c>
      <c r="AD41" s="2329" t="s">
        <v>639</v>
      </c>
      <c r="AE41" s="2292"/>
      <c r="AF41" s="2292"/>
      <c r="AG41" s="2330"/>
      <c r="AH41" s="2329" t="s">
        <v>640</v>
      </c>
      <c r="AI41" s="2292"/>
      <c r="AJ41" s="2292"/>
      <c r="AK41" s="2330"/>
      <c r="AL41" s="2329" t="s">
        <v>641</v>
      </c>
      <c r="AM41" s="2292"/>
      <c r="AN41" s="2292"/>
      <c r="AO41" s="2330"/>
      <c r="AP41" s="2329" t="s">
        <v>642</v>
      </c>
      <c r="AQ41" s="2292"/>
      <c r="AR41" s="2292"/>
      <c r="AS41" s="2330"/>
      <c r="AT41" s="2275" t="s">
        <v>556</v>
      </c>
      <c r="AU41" s="2276"/>
      <c r="AV41" s="2276"/>
      <c r="AW41" s="2276"/>
      <c r="AX41" s="2276"/>
      <c r="AY41" s="2276"/>
      <c r="AZ41" s="2277"/>
      <c r="BA41" s="2278" t="s">
        <v>557</v>
      </c>
      <c r="BB41" s="2281" t="s">
        <v>559</v>
      </c>
      <c r="BC41" s="2128"/>
      <c r="BI41" s="1156">
        <v>14</v>
      </c>
    </row>
    <row customHeight="1" ht="35.699999999999996">
      <c r="Q42" s="292"/>
      <c r="R42" s="377"/>
      <c r="S42" s="2274"/>
      <c r="T42" s="2210"/>
      <c r="U42" s="1032"/>
      <c r="V42" s="2193" t="s">
        <v>643</v>
      </c>
      <c r="W42" s="2194"/>
      <c r="X42" s="2193" t="s">
        <v>644</v>
      </c>
      <c r="Y42" s="2194"/>
      <c r="Z42" s="2295" t="s">
        <v>645</v>
      </c>
      <c r="AA42" s="2314"/>
      <c r="AB42" s="2315"/>
      <c r="AC42" s="2279"/>
      <c r="AD42" s="2331"/>
      <c r="AE42" s="2332"/>
      <c r="AF42" s="2332"/>
      <c r="AG42" s="2333"/>
      <c r="AH42" s="2331"/>
      <c r="AI42" s="2332"/>
      <c r="AJ42" s="2332"/>
      <c r="AK42" s="2333"/>
      <c r="AL42" s="2331"/>
      <c r="AM42" s="2332"/>
      <c r="AN42" s="2332"/>
      <c r="AO42" s="2333"/>
      <c r="AP42" s="2331"/>
      <c r="AQ42" s="2332"/>
      <c r="AR42" s="2332"/>
      <c r="AS42" s="2333"/>
      <c r="AT42" s="2193" t="s">
        <v>643</v>
      </c>
      <c r="AU42" s="2194"/>
      <c r="AV42" s="2193" t="s">
        <v>644</v>
      </c>
      <c r="AW42" s="2194"/>
      <c r="AX42" s="2295" t="s">
        <v>645</v>
      </c>
      <c r="AY42" s="2314"/>
      <c r="AZ42" s="2315"/>
      <c r="BA42" s="2279"/>
      <c r="BB42" s="2282"/>
      <c r="BC42" s="2128"/>
      <c r="BI42" s="1156">
        <v>34</v>
      </c>
    </row>
    <row customHeight="1" ht="14.699999999999998">
      <c r="Q43" s="292"/>
      <c r="R43" s="377"/>
      <c r="S43" s="2274"/>
      <c r="T43" s="2210"/>
      <c r="U43" s="1032"/>
      <c r="V43" s="2201"/>
      <c r="W43" s="2202"/>
      <c r="X43" s="2201"/>
      <c r="Y43" s="2202"/>
      <c r="Z43" s="2296"/>
      <c r="AA43" s="2316"/>
      <c r="AB43" s="2317"/>
      <c r="AC43" s="2279"/>
      <c r="AD43" s="2331"/>
      <c r="AE43" s="2332"/>
      <c r="AF43" s="2332"/>
      <c r="AG43" s="2333"/>
      <c r="AH43" s="2331"/>
      <c r="AI43" s="2332"/>
      <c r="AJ43" s="2332"/>
      <c r="AK43" s="2333"/>
      <c r="AL43" s="2331"/>
      <c r="AM43" s="2332"/>
      <c r="AN43" s="2332"/>
      <c r="AO43" s="2333"/>
      <c r="AP43" s="2331"/>
      <c r="AQ43" s="2332"/>
      <c r="AR43" s="2332"/>
      <c r="AS43" s="2333"/>
      <c r="AT43" s="2201"/>
      <c r="AU43" s="2202"/>
      <c r="AV43" s="2201"/>
      <c r="AW43" s="2202"/>
      <c r="AX43" s="2296"/>
      <c r="AY43" s="2316"/>
      <c r="AZ43" s="2317"/>
      <c r="BA43" s="2279"/>
      <c r="BB43" s="2282"/>
      <c r="BC43" s="2128"/>
      <c r="BI43" s="1156">
        <v>14</v>
      </c>
    </row>
    <row customHeight="1" ht="14.699999999999998">
      <c r="A44" s="1371"/>
      <c r="B44" s="1371" t="s">
        <v>148</v>
      </c>
      <c r="C44" s="1371" t="s">
        <v>149</v>
      </c>
      <c r="D44" s="1371" t="s">
        <v>150</v>
      </c>
      <c r="E44" s="1365" t="s">
        <v>564</v>
      </c>
      <c r="F44" s="1365" t="s">
        <v>565</v>
      </c>
      <c r="G44" s="1365" t="s">
        <v>566</v>
      </c>
      <c r="H44" s="1365" t="s">
        <v>567</v>
      </c>
      <c r="I44" s="1365" t="s">
        <v>568</v>
      </c>
      <c r="J44" s="1365" t="s">
        <v>569</v>
      </c>
      <c r="K44" s="1365" t="s">
        <v>570</v>
      </c>
      <c r="L44" s="1365" t="s">
        <v>545</v>
      </c>
      <c r="Q44" s="292"/>
      <c r="R44" s="377"/>
      <c r="S44" s="2274"/>
      <c r="T44" s="2210"/>
      <c r="U44" s="303"/>
      <c r="V44" s="1480" t="s">
        <v>609</v>
      </c>
      <c r="W44" s="1480" t="s">
        <v>610</v>
      </c>
      <c r="X44" s="1480" t="s">
        <v>609</v>
      </c>
      <c r="Y44" s="1480" t="s">
        <v>610</v>
      </c>
      <c r="Z44" s="1490" t="s">
        <v>573</v>
      </c>
      <c r="AA44" s="2271" t="s">
        <v>574</v>
      </c>
      <c r="AB44" s="2272"/>
      <c r="AC44" s="2280"/>
      <c r="AD44" s="2334"/>
      <c r="AE44" s="2335"/>
      <c r="AF44" s="2335"/>
      <c r="AG44" s="2336"/>
      <c r="AH44" s="2334"/>
      <c r="AI44" s="2335"/>
      <c r="AJ44" s="2335"/>
      <c r="AK44" s="2336"/>
      <c r="AL44" s="2334"/>
      <c r="AM44" s="2335"/>
      <c r="AN44" s="2335"/>
      <c r="AO44" s="2336"/>
      <c r="AP44" s="2334"/>
      <c r="AQ44" s="2335"/>
      <c r="AR44" s="2335"/>
      <c r="AS44" s="2336"/>
      <c r="AT44" s="1480" t="s">
        <v>609</v>
      </c>
      <c r="AU44" s="1480" t="s">
        <v>610</v>
      </c>
      <c r="AV44" s="1480" t="s">
        <v>609</v>
      </c>
      <c r="AW44" s="1480" t="s">
        <v>610</v>
      </c>
      <c r="AX44" s="1490" t="s">
        <v>573</v>
      </c>
      <c r="AY44" s="2271" t="s">
        <v>574</v>
      </c>
      <c r="AZ44" s="2272"/>
      <c r="BA44" s="2280"/>
      <c r="BB44" s="2283"/>
      <c r="BC44" s="2128"/>
      <c r="BI44" s="1156">
        <v>14</v>
      </c>
    </row>
    <row s="1642" customFormat="1" customHeight="1" ht="0">
      <c r="A45" s="1371"/>
      <c r="B45" s="1371"/>
      <c r="C45" s="1371"/>
      <c r="D45" s="1371"/>
      <c r="E45" s="1371"/>
      <c r="F45" s="1371"/>
      <c r="G45" s="1371"/>
      <c r="H45" s="1371"/>
      <c r="I45" s="1371"/>
      <c r="J45" s="1371"/>
      <c r="K45" s="1371"/>
      <c r="L45" s="1365"/>
      <c r="M45" s="1363"/>
      <c r="N45" s="1363"/>
      <c r="O45" s="1363"/>
      <c r="P45" s="511"/>
      <c r="Q45" s="1255"/>
      <c r="R45" s="1255">
        <v>1</v>
      </c>
      <c r="S45" s="1278" t="s">
        <v>123</v>
      </c>
      <c r="T45" s="1256" t="s">
        <v>107</v>
      </c>
      <c r="U45" s="1246" t="str">
        <f>OFFSET(U45,0,-1)</f>
        <v>2</v>
      </c>
      <c r="V45" s="1483">
        <f>OFFSET(V45,0,-1)+1</f>
        <v>3</v>
      </c>
      <c r="W45" s="1483">
        <f>OFFSET(W45,0,-1)+1</f>
        <v>4</v>
      </c>
      <c r="X45" s="1483">
        <f>OFFSET(X45,0,-1)+1</f>
        <v>5</v>
      </c>
      <c r="Y45" s="1483">
        <f>OFFSET(Y45,0,-1)+1</f>
        <v>6</v>
      </c>
      <c r="Z45" s="1483">
        <f>OFFSET(Z45,0,-1)+1</f>
        <v>7</v>
      </c>
      <c r="AA45" s="2273">
        <f>OFFSET(AA45,0,-1)+1</f>
        <v>8</v>
      </c>
      <c r="AB45" s="2273"/>
      <c r="AC45" s="1483">
        <f>OFFSET(AC45,0,-2)+1</f>
        <v>9</v>
      </c>
      <c r="AD45" s="1483">
        <f>OFFSET(AD45,0,-1)+1</f>
        <v>10</v>
      </c>
      <c r="AE45" s="1483"/>
      <c r="AF45" s="1483"/>
      <c r="AG45" s="1483"/>
      <c r="AH45" s="1483"/>
      <c r="AI45" s="1483"/>
      <c r="AJ45" s="1483"/>
      <c r="AK45" s="1483"/>
      <c r="AL45" s="1483"/>
      <c r="AM45" s="1483"/>
      <c r="AN45" s="1483"/>
      <c r="AO45" s="1483"/>
      <c r="AP45" s="1483"/>
      <c r="AQ45" s="1483"/>
      <c r="AR45" s="1483"/>
      <c r="AS45" s="1483"/>
      <c r="AT45" s="1483"/>
      <c r="AU45" s="1483"/>
      <c r="AV45" s="1483"/>
      <c r="AW45" s="1483">
        <f>OFFSET(AW45,0,-1)+1</f>
        <v>1</v>
      </c>
      <c r="AX45" s="1483">
        <f>OFFSET(AX45,0,-1)+1</f>
        <v>2</v>
      </c>
      <c r="AY45" s="2273">
        <f>OFFSET(AY45,0,-1)+1</f>
        <v>3</v>
      </c>
      <c r="AZ45" s="2273"/>
      <c r="BA45" s="1483">
        <f>OFFSET(BA45,0,-2)+1</f>
        <v>4</v>
      </c>
      <c r="BB45" s="1246">
        <f>OFFSET(BB45,0,-1)</f>
        <v>4</v>
      </c>
      <c r="BC45" s="1483">
        <f>OFFSET(BC45,0,-1)+1</f>
        <v>5</v>
      </c>
      <c r="BD45" s="512"/>
      <c r="BE45" s="512"/>
      <c r="BF45" s="512"/>
      <c r="BG45" s="512"/>
      <c r="BH45" s="512"/>
      <c r="BI45" s="497">
        <v>0</v>
      </c>
    </row>
    <row customHeight="1" ht="22.049999999999997">
      <c r="A46" s="1364" t="s">
        <v>391</v>
      </c>
      <c r="B46" s="1364"/>
      <c r="C46" s="1364"/>
      <c r="D46" s="1364"/>
      <c r="E46" s="2259">
        <v>1</v>
      </c>
      <c r="F46" s="1364"/>
      <c r="G46" s="1364"/>
      <c r="H46" s="1364"/>
      <c r="I46" s="1364"/>
      <c r="J46" s="1364"/>
      <c r="K46" s="1364"/>
      <c r="L46" s="1365"/>
      <c r="M46" s="1366"/>
      <c r="N46" s="1366"/>
      <c r="O46" s="1366"/>
      <c r="P46" s="1410"/>
      <c r="Q46" s="874"/>
      <c r="R46" s="356"/>
      <c r="S46" s="1494">
        <f>INDEX(PT_DIFFERENTIATION_NUM_NTAR,MATCH(A46,PT_DIFFERENTIATION_NTAR_ID,0))</f>
        <v>0</v>
      </c>
      <c r="T46" s="299" t="s">
        <v>136</v>
      </c>
      <c r="U46" s="301"/>
      <c r="V46" s="2244"/>
      <c r="W46" s="2244"/>
      <c r="X46" s="2244"/>
      <c r="Y46" s="2244"/>
      <c r="Z46" s="2244"/>
      <c r="AA46" s="2244"/>
      <c r="AB46" s="2244"/>
      <c r="AC46" s="2245"/>
      <c r="AD46" s="2243" t="str">
        <f>INDEX(PT_DIFFERENTIATION_NTAR,MATCH(A46,PT_DIFFERENTIATION_NTAR_ID,0))</f>
        <v/>
      </c>
      <c r="AE46" s="2244"/>
      <c r="AF46" s="2244"/>
      <c r="AG46" s="2244"/>
      <c r="AH46" s="2244"/>
      <c r="AI46" s="2244"/>
      <c r="AJ46" s="2244"/>
      <c r="AK46" s="2244"/>
      <c r="AL46" s="2244"/>
      <c r="AM46" s="2244"/>
      <c r="AN46" s="2244"/>
      <c r="AO46" s="2244"/>
      <c r="AP46" s="2244"/>
      <c r="AQ46" s="2244"/>
      <c r="AR46" s="2244"/>
      <c r="AS46" s="2244"/>
      <c r="AT46" s="2244"/>
      <c r="AU46" s="2244"/>
      <c r="AV46" s="2244"/>
      <c r="AW46" s="2244"/>
      <c r="AX46" s="2244"/>
      <c r="AY46" s="2244"/>
      <c r="AZ46" s="2244"/>
      <c r="BA46" s="2244"/>
      <c r="BB46" s="2245"/>
      <c r="BC46" s="125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BE46" s="501"/>
      <c r="BF46" s="501" t="str">
        <f>IF(T46="","",T46)</f>
        <v>Наименование тарифа</v>
      </c>
      <c r="BG46" s="501"/>
      <c r="BH46" s="501"/>
      <c r="BI46" s="1156">
        <v>21</v>
      </c>
    </row>
    <row customHeight="1" ht="22.049999999999997">
      <c r="A47" s="1364" t="s">
        <v>391</v>
      </c>
      <c r="B47" s="1364" t="s">
        <v>392</v>
      </c>
      <c r="C47" s="1364"/>
      <c r="D47" s="1364"/>
      <c r="E47" s="2260"/>
      <c r="F47" s="2259">
        <v>1</v>
      </c>
      <c r="G47" s="1364"/>
      <c r="H47" s="1364"/>
      <c r="I47" s="1364"/>
      <c r="J47" s="1364"/>
      <c r="K47" s="1364"/>
      <c r="L47" s="1365"/>
      <c r="M47" s="1366"/>
      <c r="N47" s="1366"/>
      <c r="O47" s="1366"/>
      <c r="P47" s="1411"/>
      <c r="Q47" s="1412"/>
      <c r="R47" s="354"/>
      <c r="S47" s="1494" t="str">
        <f>INDEX(PT_DIFFERENTIATION_NUM_TER,MATCH(B47,PT_DIFFERENTIATION_TER_ID,0))</f>
        <v>.</v>
      </c>
      <c r="T47" s="309" t="s">
        <v>527</v>
      </c>
      <c r="U47" s="301"/>
      <c r="V47" s="2244"/>
      <c r="W47" s="2244"/>
      <c r="X47" s="2244"/>
      <c r="Y47" s="2244"/>
      <c r="Z47" s="2244"/>
      <c r="AA47" s="2244"/>
      <c r="AB47" s="2244"/>
      <c r="AC47" s="2245"/>
      <c r="AD47" s="2243" t="str">
        <f>INDEX(PT_DIFFERENTIATION_TER,MATCH(B47,PT_DIFFERENTIATION_TER_ID,0))</f>
        <v/>
      </c>
      <c r="AE47" s="2244"/>
      <c r="AF47" s="2244"/>
      <c r="AG47" s="2244"/>
      <c r="AH47" s="2244"/>
      <c r="AI47" s="2244"/>
      <c r="AJ47" s="2244"/>
      <c r="AK47" s="2244"/>
      <c r="AL47" s="2244"/>
      <c r="AM47" s="2244"/>
      <c r="AN47" s="2244"/>
      <c r="AO47" s="2244"/>
      <c r="AP47" s="2244"/>
      <c r="AQ47" s="2244"/>
      <c r="AR47" s="2244"/>
      <c r="AS47" s="2244"/>
      <c r="AT47" s="2244"/>
      <c r="AU47" s="2244"/>
      <c r="AV47" s="2244"/>
      <c r="AW47" s="2244"/>
      <c r="AX47" s="2244"/>
      <c r="AY47" s="2244"/>
      <c r="AZ47" s="2244"/>
      <c r="BA47" s="2244"/>
      <c r="BB47" s="2245"/>
      <c r="BC47" s="1259" t="s">
        <v>528</v>
      </c>
      <c r="BE47" s="501"/>
      <c r="BF47" s="501" t="str">
        <f>IF(T47="","",T47)</f>
        <v>Территория действия тарифа</v>
      </c>
      <c r="BG47" s="501"/>
      <c r="BH47" s="501"/>
      <c r="BI47" s="1156">
        <v>21</v>
      </c>
    </row>
    <row customHeight="1" ht="35.699999999999996">
      <c r="A48" s="1364" t="s">
        <v>391</v>
      </c>
      <c r="B48" s="1364" t="s">
        <v>392</v>
      </c>
      <c r="C48" s="1364" t="s">
        <v>393</v>
      </c>
      <c r="D48" s="1364"/>
      <c r="E48" s="2260"/>
      <c r="F48" s="2260"/>
      <c r="G48" s="2259">
        <v>1</v>
      </c>
      <c r="H48" s="1364"/>
      <c r="I48" s="1364"/>
      <c r="J48" s="1364"/>
      <c r="K48" s="1364"/>
      <c r="L48" s="1365"/>
      <c r="M48" s="1366"/>
      <c r="N48" s="1366"/>
      <c r="O48" s="1366"/>
      <c r="P48" s="1413"/>
      <c r="Q48" s="1412"/>
      <c r="R48" s="354"/>
      <c r="S48" s="1494" t="str">
        <f>INDEX(PT_DIFFERENTIATION_NUM_CS,MATCH(C48,PT_DIFFERENTIATION_CS_ID,0))</f>
        <v>..</v>
      </c>
      <c r="T48" s="310" t="s">
        <v>661</v>
      </c>
      <c r="U48" s="301"/>
      <c r="V48" s="2244"/>
      <c r="W48" s="2244"/>
      <c r="X48" s="2244"/>
      <c r="Y48" s="2244"/>
      <c r="Z48" s="2244"/>
      <c r="AA48" s="2244"/>
      <c r="AB48" s="2244"/>
      <c r="AC48" s="2245"/>
      <c r="AD48" s="2243" t="str">
        <f>INDEX(PT_DIFFERENTIATION_CS,MATCH(C48,PT_DIFFERENTIATION_CS_ID,0))</f>
        <v/>
      </c>
      <c r="AE48" s="2244"/>
      <c r="AF48" s="2244"/>
      <c r="AG48" s="2244"/>
      <c r="AH48" s="2244"/>
      <c r="AI48" s="2244"/>
      <c r="AJ48" s="2244"/>
      <c r="AK48" s="2244"/>
      <c r="AL48" s="2244"/>
      <c r="AM48" s="2244"/>
      <c r="AN48" s="2244"/>
      <c r="AO48" s="2244"/>
      <c r="AP48" s="2244"/>
      <c r="AQ48" s="2244"/>
      <c r="AR48" s="2244"/>
      <c r="AS48" s="2244"/>
      <c r="AT48" s="2244"/>
      <c r="AU48" s="2244"/>
      <c r="AV48" s="2244"/>
      <c r="AW48" s="2244"/>
      <c r="AX48" s="2244"/>
      <c r="AY48" s="2244"/>
      <c r="AZ48" s="2244"/>
      <c r="BA48" s="2244"/>
      <c r="BB48" s="2245"/>
      <c r="BC48" s="1259" t="s">
        <v>662</v>
      </c>
      <c r="BE48" s="501"/>
      <c r="BF48" s="501" t="str">
        <f>IF(T48="","",T48)</f>
        <v>Наименование централизованной системы горячего водоснабжения</v>
      </c>
      <c r="BG48" s="501"/>
      <c r="BH48" s="501"/>
      <c r="BI48" s="1156">
        <v>34</v>
      </c>
    </row>
    <row s="1643" customFormat="1" customHeight="1" ht="0">
      <c r="A49" s="1344" t="s">
        <v>391</v>
      </c>
      <c r="B49" s="1344" t="s">
        <v>392</v>
      </c>
      <c r="C49" s="1344" t="s">
        <v>393</v>
      </c>
      <c r="D49" s="1344" t="s">
        <v>675</v>
      </c>
      <c r="E49" s="2260"/>
      <c r="F49" s="2260"/>
      <c r="G49" s="2260"/>
      <c r="H49" s="2259">
        <v>1</v>
      </c>
      <c r="I49" s="1344"/>
      <c r="J49" s="1344"/>
      <c r="K49" s="1344"/>
      <c r="L49" s="1347"/>
      <c r="M49" s="1316"/>
      <c r="N49" s="1316"/>
      <c r="O49" s="1316"/>
      <c r="P49" s="1498"/>
      <c r="Q49" s="1499"/>
      <c r="R49" s="358"/>
      <c r="S49" s="1043"/>
      <c r="T49" s="1500"/>
      <c r="U49" s="1385"/>
      <c r="V49" s="2298"/>
      <c r="W49" s="2298"/>
      <c r="X49" s="2298"/>
      <c r="Y49" s="2298"/>
      <c r="Z49" s="2298"/>
      <c r="AA49" s="2298"/>
      <c r="AB49" s="2298"/>
      <c r="AC49" s="2299"/>
      <c r="AD49" s="2297"/>
      <c r="AE49" s="2298"/>
      <c r="AF49" s="2298"/>
      <c r="AG49" s="2298"/>
      <c r="AH49" s="2298"/>
      <c r="AI49" s="2298"/>
      <c r="AJ49" s="2298"/>
      <c r="AK49" s="2298"/>
      <c r="AL49" s="2298"/>
      <c r="AM49" s="2298"/>
      <c r="AN49" s="2298"/>
      <c r="AO49" s="2298"/>
      <c r="AP49" s="2298"/>
      <c r="AQ49" s="2298"/>
      <c r="AR49" s="2298"/>
      <c r="AS49" s="2298"/>
      <c r="AT49" s="2298"/>
      <c r="AU49" s="2298"/>
      <c r="AV49" s="2298"/>
      <c r="AW49" s="2298"/>
      <c r="AX49" s="2298"/>
      <c r="AY49" s="2298"/>
      <c r="AZ49" s="2298"/>
      <c r="BA49" s="2298"/>
      <c r="BB49" s="2299"/>
      <c r="BC49" s="1386" t="s">
        <v>532</v>
      </c>
      <c r="BE49" s="501"/>
      <c r="BF49" s="501" t="str">
        <f>IF(T49="","",T49)</f>
        <v/>
      </c>
      <c r="BG49" s="501"/>
      <c r="BH49" s="501"/>
      <c r="BI49" s="512">
        <v>0</v>
      </c>
    </row>
    <row s="1643" customFormat="1" customHeight="1" ht="0">
      <c r="A50" s="1344" t="s">
        <v>391</v>
      </c>
      <c r="B50" s="1344" t="s">
        <v>392</v>
      </c>
      <c r="C50" s="1344" t="s">
        <v>393</v>
      </c>
      <c r="D50" s="1344" t="s">
        <v>675</v>
      </c>
      <c r="E50" s="2260"/>
      <c r="F50" s="2260"/>
      <c r="G50" s="2260"/>
      <c r="H50" s="2260"/>
      <c r="I50" s="2257" t="str">
        <f>S49&amp;".1"</f>
        <v>.1</v>
      </c>
      <c r="J50" s="1344"/>
      <c r="K50" s="1344"/>
      <c r="L50" s="1347" t="s">
        <v>533</v>
      </c>
      <c r="M50" s="511"/>
      <c r="N50" s="511"/>
      <c r="O50" s="511"/>
      <c r="P50" s="2258">
        <v>1</v>
      </c>
      <c r="Q50" s="1482"/>
      <c r="R50" s="357"/>
      <c r="S50" s="1043"/>
      <c r="T50" s="1384"/>
      <c r="U50" s="1385"/>
      <c r="V50" s="2298"/>
      <c r="W50" s="2298"/>
      <c r="X50" s="2298"/>
      <c r="Y50" s="2298"/>
      <c r="Z50" s="2298"/>
      <c r="AA50" s="2298"/>
      <c r="AB50" s="2298"/>
      <c r="AC50" s="2299"/>
      <c r="AD50" s="2297"/>
      <c r="AE50" s="2298"/>
      <c r="AF50" s="2298"/>
      <c r="AG50" s="2298"/>
      <c r="AH50" s="2298"/>
      <c r="AI50" s="2298"/>
      <c r="AJ50" s="2298"/>
      <c r="AK50" s="2298"/>
      <c r="AL50" s="2298"/>
      <c r="AM50" s="2298"/>
      <c r="AN50" s="2298"/>
      <c r="AO50" s="2298"/>
      <c r="AP50" s="2298"/>
      <c r="AQ50" s="2298"/>
      <c r="AR50" s="2298"/>
      <c r="AS50" s="2298"/>
      <c r="AT50" s="2298"/>
      <c r="AU50" s="2298"/>
      <c r="AV50" s="2298"/>
      <c r="AW50" s="2298"/>
      <c r="AX50" s="2298"/>
      <c r="AY50" s="2298"/>
      <c r="AZ50" s="2298"/>
      <c r="BA50" s="2298"/>
      <c r="BB50" s="2299"/>
      <c r="BC50" s="1386"/>
      <c r="BE50" s="501"/>
      <c r="BF50" s="501" t="str">
        <f>IF(T50="","",T50)</f>
        <v/>
      </c>
      <c r="BG50" s="501"/>
      <c r="BH50" s="501"/>
      <c r="BI50" s="512">
        <v>0</v>
      </c>
    </row>
    <row s="1643" customFormat="1" customHeight="1" ht="0">
      <c r="A51" s="1344" t="s">
        <v>391</v>
      </c>
      <c r="B51" s="1344" t="s">
        <v>392</v>
      </c>
      <c r="C51" s="1344" t="s">
        <v>393</v>
      </c>
      <c r="D51" s="1344" t="s">
        <v>675</v>
      </c>
      <c r="E51" s="2260"/>
      <c r="F51" s="2260"/>
      <c r="G51" s="2260"/>
      <c r="H51" s="2260"/>
      <c r="I51" s="2287"/>
      <c r="J51" s="2257" t="str">
        <f>S49&amp;".1"</f>
        <v>.1</v>
      </c>
      <c r="K51" s="1344"/>
      <c r="L51" s="1347"/>
      <c r="M51" s="511"/>
      <c r="N51" s="511"/>
      <c r="O51" s="511"/>
      <c r="P51" s="2258"/>
      <c r="Q51" s="2258">
        <v>1</v>
      </c>
      <c r="R51" s="358"/>
      <c r="S51" s="1043"/>
      <c r="T51" s="1400"/>
      <c r="U51" s="1385"/>
      <c r="V51" s="2298"/>
      <c r="W51" s="2298"/>
      <c r="X51" s="2298"/>
      <c r="Y51" s="2298"/>
      <c r="Z51" s="2298"/>
      <c r="AA51" s="2298"/>
      <c r="AB51" s="2298"/>
      <c r="AC51" s="2299"/>
      <c r="AD51" s="2297"/>
      <c r="AE51" s="2298"/>
      <c r="AF51" s="2298"/>
      <c r="AG51" s="2298"/>
      <c r="AH51" s="2298"/>
      <c r="AI51" s="2298"/>
      <c r="AJ51" s="2298"/>
      <c r="AK51" s="2298"/>
      <c r="AL51" s="2298"/>
      <c r="AM51" s="2298"/>
      <c r="AN51" s="2365"/>
      <c r="AO51" s="2365"/>
      <c r="AP51" s="2298"/>
      <c r="AQ51" s="2298"/>
      <c r="AR51" s="2298"/>
      <c r="AS51" s="2298"/>
      <c r="AT51" s="2298"/>
      <c r="AU51" s="2298"/>
      <c r="AV51" s="2298"/>
      <c r="AW51" s="2298"/>
      <c r="AX51" s="2298"/>
      <c r="AY51" s="2298"/>
      <c r="AZ51" s="2298"/>
      <c r="BA51" s="2298"/>
      <c r="BB51" s="2299"/>
      <c r="BC51" s="1386"/>
      <c r="BE51" s="501"/>
      <c r="BF51" s="501" t="str">
        <f>IF(T51="","",T51)</f>
        <v/>
      </c>
      <c r="BG51" s="501"/>
      <c r="BH51" s="501"/>
      <c r="BI51" s="512">
        <v>0</v>
      </c>
    </row>
    <row customHeight="1" ht="11.549999999999999">
      <c r="A52" s="1364" t="s">
        <v>391</v>
      </c>
      <c r="B52" s="1364" t="s">
        <v>392</v>
      </c>
      <c r="C52" s="1364" t="s">
        <v>393</v>
      </c>
      <c r="D52" s="1364" t="s">
        <v>675</v>
      </c>
      <c r="E52" s="2260"/>
      <c r="F52" s="2260"/>
      <c r="G52" s="2260"/>
      <c r="H52" s="2260"/>
      <c r="I52" s="2287"/>
      <c r="J52" s="2287"/>
      <c r="K52" s="2257" t="str">
        <f>S48&amp;".1"</f>
        <v>...1</v>
      </c>
      <c r="L52" s="1365"/>
      <c r="P52" s="2258"/>
      <c r="Q52" s="2258"/>
      <c r="R52" s="358">
        <v>1</v>
      </c>
      <c r="S52" s="2342" t="str">
        <f>$K52</f>
        <v>...1</v>
      </c>
      <c r="T52" s="2361"/>
      <c r="U52" s="301"/>
      <c r="V52" s="752"/>
      <c r="W52" s="1258"/>
      <c r="X52" s="752"/>
      <c r="Y52" s="1258"/>
      <c r="Z52" s="1735"/>
      <c r="AA52" s="1470" t="s">
        <v>65</v>
      </c>
      <c r="AB52" s="1735"/>
      <c r="AC52" s="1470" t="s">
        <v>65</v>
      </c>
      <c r="AD52" s="2186" t="s">
        <v>65</v>
      </c>
      <c r="AE52" s="2327"/>
      <c r="AF52" s="2206">
        <v>1</v>
      </c>
      <c r="AG52" s="2364"/>
      <c r="AH52" s="2108" t="s">
        <v>65</v>
      </c>
      <c r="AI52" s="2327"/>
      <c r="AJ52" s="2206">
        <v>1</v>
      </c>
      <c r="AK52" s="2328" t="s">
        <v>28</v>
      </c>
      <c r="AL52" s="2108" t="s">
        <v>65</v>
      </c>
      <c r="AM52" s="2193"/>
      <c r="AN52" s="2206">
        <v>1</v>
      </c>
      <c r="AO52" s="2358"/>
      <c r="AP52" s="2359" t="s">
        <v>65</v>
      </c>
      <c r="AQ52" s="312"/>
      <c r="AR52" s="1487">
        <v>1</v>
      </c>
      <c r="AS52" s="1493" t="s">
        <v>28</v>
      </c>
      <c r="AT52" s="752"/>
      <c r="AU52" s="1258"/>
      <c r="AV52" s="752"/>
      <c r="AW52" s="1258"/>
      <c r="AX52" s="1735"/>
      <c r="AY52" s="1470" t="s">
        <v>65</v>
      </c>
      <c r="AZ52" s="1735"/>
      <c r="BA52" s="1470" t="s">
        <v>65</v>
      </c>
      <c r="BB52" s="1349"/>
      <c r="BC52" s="2254" t="s">
        <v>632</v>
      </c>
      <c r="BE52" s="501"/>
      <c r="BF52" s="501" t="str">
        <f>IF(T52="","",T52)</f>
        <v/>
      </c>
      <c r="BG52" s="501"/>
      <c r="BH52" s="501"/>
      <c r="BI52" s="1156">
        <v>11</v>
      </c>
    </row>
    <row customHeight="1" ht="11.549999999999999">
      <c r="A53" s="1364"/>
      <c r="B53" s="1364"/>
      <c r="C53" s="1364"/>
      <c r="D53" s="1364"/>
      <c r="E53" s="2260"/>
      <c r="F53" s="2260"/>
      <c r="G53" s="2260"/>
      <c r="H53" s="2260"/>
      <c r="I53" s="2287"/>
      <c r="J53" s="2287"/>
      <c r="K53" s="2257"/>
      <c r="L53" s="1365"/>
      <c r="P53" s="2258"/>
      <c r="Q53" s="2258"/>
      <c r="R53" s="358"/>
      <c r="S53" s="2343"/>
      <c r="T53" s="2362"/>
      <c r="U53" s="301"/>
      <c r="V53" s="1394"/>
      <c r="W53" s="1497"/>
      <c r="X53" s="1394"/>
      <c r="Y53" s="1497"/>
      <c r="Z53" s="1394"/>
      <c r="AA53" s="1394"/>
      <c r="AB53" s="1394"/>
      <c r="AC53" s="1394"/>
      <c r="AD53" s="2187"/>
      <c r="AE53" s="2327"/>
      <c r="AF53" s="2206"/>
      <c r="AG53" s="2364"/>
      <c r="AH53" s="2108"/>
      <c r="AI53" s="2327"/>
      <c r="AJ53" s="2206"/>
      <c r="AK53" s="2328"/>
      <c r="AL53" s="2108"/>
      <c r="AM53" s="2201"/>
      <c r="AN53" s="2206"/>
      <c r="AO53" s="2358"/>
      <c r="AP53" s="2360"/>
      <c r="AQ53" s="317"/>
      <c r="AR53" s="417"/>
      <c r="AS53" s="417" t="s">
        <v>633</v>
      </c>
      <c r="AT53" s="1394"/>
      <c r="AU53" s="1497"/>
      <c r="AV53" s="1394"/>
      <c r="AW53" s="1497"/>
      <c r="AX53" s="1394"/>
      <c r="AY53" s="1394"/>
      <c r="AZ53" s="1394"/>
      <c r="BA53" s="1394"/>
      <c r="BB53" s="1398"/>
      <c r="BC53" s="2255"/>
      <c r="BE53" s="501"/>
      <c r="BF53" s="501"/>
      <c r="BG53" s="501"/>
      <c r="BH53" s="501"/>
      <c r="BI53" s="1156">
        <v>11</v>
      </c>
    </row>
    <row customHeight="1" ht="11.549999999999999">
      <c r="A54" s="1364" t="s">
        <v>391</v>
      </c>
      <c r="B54" s="1364"/>
      <c r="C54" s="1364"/>
      <c r="D54" s="1364"/>
      <c r="E54" s="2260"/>
      <c r="F54" s="2260"/>
      <c r="G54" s="2260"/>
      <c r="H54" s="2260"/>
      <c r="I54" s="2287"/>
      <c r="J54" s="2287"/>
      <c r="K54" s="2257"/>
      <c r="L54" s="1365"/>
      <c r="P54" s="2258"/>
      <c r="Q54" s="2258"/>
      <c r="R54" s="358"/>
      <c r="S54" s="2343"/>
      <c r="T54" s="2362"/>
      <c r="U54" s="301"/>
      <c r="V54" s="1394"/>
      <c r="W54" s="1497"/>
      <c r="X54" s="1394"/>
      <c r="Y54" s="1497"/>
      <c r="Z54" s="1394"/>
      <c r="AA54" s="1394"/>
      <c r="AB54" s="1394"/>
      <c r="AC54" s="1394"/>
      <c r="AD54" s="2187"/>
      <c r="AE54" s="2327"/>
      <c r="AF54" s="2206"/>
      <c r="AG54" s="2364"/>
      <c r="AH54" s="2108"/>
      <c r="AI54" s="2327"/>
      <c r="AJ54" s="2206"/>
      <c r="AK54" s="2328"/>
      <c r="AL54" s="2108"/>
      <c r="AM54" s="317"/>
      <c r="AN54" s="1501"/>
      <c r="AO54" s="1501" t="s">
        <v>634</v>
      </c>
      <c r="AP54" s="417"/>
      <c r="AQ54" s="417"/>
      <c r="AR54" s="417"/>
      <c r="AS54" s="1394"/>
      <c r="AT54" s="1394"/>
      <c r="AU54" s="1497"/>
      <c r="AV54" s="1394"/>
      <c r="AW54" s="1497"/>
      <c r="AX54" s="1394"/>
      <c r="AY54" s="1394"/>
      <c r="AZ54" s="1394"/>
      <c r="BA54" s="1394"/>
      <c r="BB54" s="1398"/>
      <c r="BC54" s="2255"/>
      <c r="BE54" s="501"/>
      <c r="BF54" s="501"/>
      <c r="BG54" s="501"/>
      <c r="BH54" s="501"/>
      <c r="BI54" s="1156">
        <v>11</v>
      </c>
    </row>
    <row customHeight="1" ht="11.549999999999999">
      <c r="A55" s="1364" t="s">
        <v>391</v>
      </c>
      <c r="B55" s="1364"/>
      <c r="C55" s="1364"/>
      <c r="D55" s="1364"/>
      <c r="E55" s="2260"/>
      <c r="F55" s="2260"/>
      <c r="G55" s="2260"/>
      <c r="H55" s="2260"/>
      <c r="I55" s="2287"/>
      <c r="J55" s="2287"/>
      <c r="K55" s="2257"/>
      <c r="L55" s="1365"/>
      <c r="P55" s="2258"/>
      <c r="Q55" s="2258"/>
      <c r="R55" s="358"/>
      <c r="S55" s="2343"/>
      <c r="T55" s="2362"/>
      <c r="U55" s="301"/>
      <c r="V55" s="1394"/>
      <c r="W55" s="1497"/>
      <c r="X55" s="1394"/>
      <c r="Y55" s="1497"/>
      <c r="Z55" s="1394"/>
      <c r="AA55" s="1394"/>
      <c r="AB55" s="1394"/>
      <c r="AC55" s="1394"/>
      <c r="AD55" s="2187"/>
      <c r="AE55" s="2327"/>
      <c r="AF55" s="2206"/>
      <c r="AG55" s="2364"/>
      <c r="AH55" s="2108"/>
      <c r="AI55" s="295"/>
      <c r="AJ55" s="416"/>
      <c r="AK55" s="314" t="s">
        <v>635</v>
      </c>
      <c r="AL55" s="1394"/>
      <c r="AM55" s="1394"/>
      <c r="AN55" s="1394"/>
      <c r="AO55" s="1394"/>
      <c r="AP55" s="1394"/>
      <c r="AQ55" s="1394"/>
      <c r="AR55" s="1394"/>
      <c r="AS55" s="1394"/>
      <c r="AT55" s="1394"/>
      <c r="AU55" s="1497"/>
      <c r="AV55" s="1394"/>
      <c r="AW55" s="1497"/>
      <c r="AX55" s="1394"/>
      <c r="AY55" s="1394"/>
      <c r="AZ55" s="1394"/>
      <c r="BA55" s="1394"/>
      <c r="BB55" s="1398"/>
      <c r="BC55" s="2255"/>
      <c r="BE55" s="501"/>
      <c r="BF55" s="501"/>
      <c r="BG55" s="501"/>
      <c r="BH55" s="501"/>
      <c r="BI55" s="1156">
        <v>11</v>
      </c>
    </row>
    <row customHeight="1" ht="11.549999999999999">
      <c r="A56" s="1364" t="s">
        <v>391</v>
      </c>
      <c r="B56" s="1364" t="s">
        <v>392</v>
      </c>
      <c r="C56" s="1364" t="s">
        <v>393</v>
      </c>
      <c r="D56" s="1364" t="s">
        <v>675</v>
      </c>
      <c r="E56" s="2260"/>
      <c r="F56" s="2260"/>
      <c r="G56" s="2260"/>
      <c r="H56" s="2260"/>
      <c r="I56" s="2287"/>
      <c r="J56" s="2287"/>
      <c r="K56" s="2257"/>
      <c r="L56" s="1365"/>
      <c r="P56" s="2258"/>
      <c r="Q56" s="2258"/>
      <c r="R56" s="358"/>
      <c r="S56" s="2344"/>
      <c r="T56" s="2363"/>
      <c r="U56" s="301"/>
      <c r="V56" s="1394"/>
      <c r="W56" s="1395" t="str">
        <f>Z52&amp;"-"&amp;AB52</f>
        <v>-</v>
      </c>
      <c r="X56" s="1394"/>
      <c r="Y56" s="1395" t="str">
        <f>AB52&amp;"-"&amp;AD52</f>
        <v>-да</v>
      </c>
      <c r="Z56" s="1394"/>
      <c r="AA56" s="1394"/>
      <c r="AB56" s="1394"/>
      <c r="AC56" s="1394"/>
      <c r="AD56" s="2113"/>
      <c r="AE56" s="313"/>
      <c r="AF56" s="315"/>
      <c r="AG56" s="417" t="s">
        <v>636</v>
      </c>
      <c r="AH56" s="1394"/>
      <c r="AI56" s="1394"/>
      <c r="AJ56" s="1394"/>
      <c r="AK56" s="1394"/>
      <c r="AL56" s="1394"/>
      <c r="AM56" s="1394"/>
      <c r="AN56" s="1394"/>
      <c r="AO56" s="1394"/>
      <c r="AP56" s="1394"/>
      <c r="AQ56" s="1394"/>
      <c r="AR56" s="1394"/>
      <c r="AS56" s="1394"/>
      <c r="AT56" s="1394"/>
      <c r="AU56" s="1395" t="str">
        <f>AX52&amp;"-"&amp;AZ52</f>
        <v>-</v>
      </c>
      <c r="AV56" s="1394"/>
      <c r="AW56" s="1395" t="str">
        <f>AZ52&amp;"-"&amp;BB52</f>
        <v>-</v>
      </c>
      <c r="AX56" s="1394"/>
      <c r="AY56" s="1394"/>
      <c r="AZ56" s="1394"/>
      <c r="BA56" s="1394"/>
      <c r="BB56" s="1397" t="str">
        <f>BE52&amp;"-"&amp;BG52</f>
        <v>-</v>
      </c>
      <c r="BC56" s="2255"/>
      <c r="BE56" s="501"/>
      <c r="BF56" s="501" t="str">
        <f>IF(T56="","",T56)</f>
        <v/>
      </c>
      <c r="BG56" s="501"/>
      <c r="BH56" s="501"/>
      <c r="BI56" s="1156">
        <v>11</v>
      </c>
    </row>
    <row customHeight="1" ht="11.549999999999999">
      <c r="A57" s="1364" t="s">
        <v>391</v>
      </c>
      <c r="B57" s="1364" t="s">
        <v>392</v>
      </c>
      <c r="C57" s="1364" t="s">
        <v>393</v>
      </c>
      <c r="D57" s="1364" t="s">
        <v>675</v>
      </c>
      <c r="E57" s="2260"/>
      <c r="F57" s="2260"/>
      <c r="G57" s="2260"/>
      <c r="H57" s="2260"/>
      <c r="I57" s="2287"/>
      <c r="J57" s="2257"/>
      <c r="K57" s="1364"/>
      <c r="L57" s="1365"/>
      <c r="P57" s="2258"/>
      <c r="Q57" s="2258"/>
      <c r="R57" s="357"/>
      <c r="S57" s="1279"/>
      <c r="T57" s="288" t="s">
        <v>599</v>
      </c>
      <c r="U57" s="368"/>
      <c r="V57" s="368"/>
      <c r="W57" s="368"/>
      <c r="X57" s="368"/>
      <c r="Y57" s="368"/>
      <c r="Z57" s="368"/>
      <c r="AA57" s="368"/>
      <c r="AB57" s="368"/>
      <c r="AC57" s="325"/>
      <c r="AD57" s="1506"/>
      <c r="AE57" s="368"/>
      <c r="AF57" s="368"/>
      <c r="AG57" s="368"/>
      <c r="AH57" s="368"/>
      <c r="AI57" s="368"/>
      <c r="AJ57" s="368"/>
      <c r="AK57" s="368"/>
      <c r="AL57" s="368"/>
      <c r="AM57" s="368"/>
      <c r="AN57" s="368"/>
      <c r="AO57" s="368"/>
      <c r="AP57" s="368"/>
      <c r="AQ57" s="368"/>
      <c r="AR57" s="368"/>
      <c r="AS57" s="368"/>
      <c r="AT57" s="368"/>
      <c r="AU57" s="368"/>
      <c r="AV57" s="368"/>
      <c r="AW57" s="368"/>
      <c r="AX57" s="368"/>
      <c r="AY57" s="368"/>
      <c r="AZ57" s="368"/>
      <c r="BA57" s="368"/>
      <c r="BB57" s="325"/>
      <c r="BC57" s="2256"/>
      <c r="BE57" s="501"/>
      <c r="BF57" s="501" t="str">
        <f>IF(T57="","",T57)</f>
        <v>Добавить строку</v>
      </c>
      <c r="BG57" s="501"/>
      <c r="BH57" s="501"/>
      <c r="BI57" s="1156">
        <v>11</v>
      </c>
    </row>
    <row s="1643" customFormat="1" customHeight="1" ht="0">
      <c r="A58" s="1344" t="s">
        <v>391</v>
      </c>
      <c r="B58" s="1344" t="s">
        <v>392</v>
      </c>
      <c r="C58" s="1344" t="s">
        <v>393</v>
      </c>
      <c r="D58" s="1344" t="s">
        <v>675</v>
      </c>
      <c r="E58" s="2260"/>
      <c r="F58" s="2260"/>
      <c r="G58" s="2260"/>
      <c r="H58" s="2260"/>
      <c r="I58" s="2257"/>
      <c r="J58" s="1344"/>
      <c r="K58" s="1344"/>
      <c r="L58" s="1347"/>
      <c r="M58" s="511"/>
      <c r="N58" s="511"/>
      <c r="O58" s="511"/>
      <c r="P58" s="2258"/>
      <c r="Q58" s="1482"/>
      <c r="R58" s="357"/>
      <c r="S58" s="1387"/>
      <c r="T58" s="1388"/>
      <c r="U58" s="1389"/>
      <c r="V58" s="1389"/>
      <c r="W58" s="1389"/>
      <c r="X58" s="1389"/>
      <c r="Y58" s="1389"/>
      <c r="Z58" s="1389"/>
      <c r="AA58" s="1389"/>
      <c r="AB58" s="1389"/>
      <c r="AC58" s="1389"/>
      <c r="AD58" s="1389"/>
      <c r="AE58" s="1389"/>
      <c r="AF58" s="1389"/>
      <c r="AG58" s="1389"/>
      <c r="AH58" s="1389"/>
      <c r="AI58" s="1389"/>
      <c r="AJ58" s="1389"/>
      <c r="AK58" s="1389"/>
      <c r="AL58" s="1389"/>
      <c r="AM58" s="1389"/>
      <c r="AN58" s="1389"/>
      <c r="AO58" s="1389"/>
      <c r="AP58" s="1389"/>
      <c r="AQ58" s="1389"/>
      <c r="AR58" s="1389"/>
      <c r="AS58" s="1389"/>
      <c r="AT58" s="1389"/>
      <c r="AU58" s="1389"/>
      <c r="AV58" s="1389"/>
      <c r="AW58" s="1389"/>
      <c r="AX58" s="1389"/>
      <c r="AY58" s="1389"/>
      <c r="AZ58" s="1389"/>
      <c r="BA58" s="1389"/>
      <c r="BB58" s="1389"/>
      <c r="BC58" s="1390"/>
      <c r="BE58" s="501"/>
      <c r="BF58" s="501" t="str">
        <f>IF(T58="","",T58)</f>
        <v/>
      </c>
      <c r="BG58" s="501"/>
      <c r="BH58" s="501"/>
      <c r="BI58" s="512">
        <v>0</v>
      </c>
    </row>
    <row s="1643" customFormat="1" customHeight="1" ht="0">
      <c r="A59" s="1344" t="s">
        <v>391</v>
      </c>
      <c r="B59" s="1344" t="s">
        <v>392</v>
      </c>
      <c r="C59" s="1344" t="s">
        <v>393</v>
      </c>
      <c r="D59" s="1344" t="s">
        <v>675</v>
      </c>
      <c r="E59" s="2260"/>
      <c r="F59" s="2260"/>
      <c r="G59" s="2260"/>
      <c r="H59" s="2259"/>
      <c r="I59" s="1344"/>
      <c r="J59" s="1344"/>
      <c r="K59" s="1344"/>
      <c r="L59" s="1347"/>
      <c r="M59" s="1316"/>
      <c r="N59" s="1316"/>
      <c r="O59" s="519"/>
      <c r="P59" s="381"/>
      <c r="Q59" s="1345"/>
      <c r="R59" s="1402"/>
      <c r="S59" s="1387"/>
      <c r="T59" s="1388"/>
      <c r="U59" s="1389"/>
      <c r="V59" s="1389"/>
      <c r="W59" s="1389"/>
      <c r="X59" s="1389"/>
      <c r="Y59" s="1389"/>
      <c r="Z59" s="1389"/>
      <c r="AA59" s="1389"/>
      <c r="AB59" s="1389"/>
      <c r="AC59" s="1389"/>
      <c r="AD59" s="1389"/>
      <c r="AE59" s="1389"/>
      <c r="AF59" s="1389"/>
      <c r="AG59" s="1389"/>
      <c r="AH59" s="1389"/>
      <c r="AI59" s="1389"/>
      <c r="AJ59" s="1389"/>
      <c r="AK59" s="1389"/>
      <c r="AL59" s="1389"/>
      <c r="AM59" s="1389"/>
      <c r="AN59" s="1389"/>
      <c r="AO59" s="1389"/>
      <c r="AP59" s="1389"/>
      <c r="AQ59" s="1389"/>
      <c r="AR59" s="1389"/>
      <c r="AS59" s="1389"/>
      <c r="AT59" s="1389"/>
      <c r="AU59" s="1389"/>
      <c r="AV59" s="1389"/>
      <c r="AW59" s="1389"/>
      <c r="AX59" s="1389"/>
      <c r="AY59" s="1389"/>
      <c r="AZ59" s="1389"/>
      <c r="BA59" s="1389"/>
      <c r="BB59" s="1389"/>
      <c r="BC59" s="1390"/>
      <c r="BE59" s="501"/>
      <c r="BF59" s="501" t="str">
        <f>IF(T59="","",T59)</f>
        <v/>
      </c>
      <c r="BG59" s="501"/>
      <c r="BH59" s="501"/>
      <c r="BI59" s="512">
        <v>0</v>
      </c>
    </row>
    <row s="1643" customFormat="1" customHeight="1" ht="0">
      <c r="A60" s="1344" t="s">
        <v>391</v>
      </c>
      <c r="B60" s="1344" t="s">
        <v>392</v>
      </c>
      <c r="C60" s="1344" t="s">
        <v>393</v>
      </c>
      <c r="D60" s="1315"/>
      <c r="E60" s="2260"/>
      <c r="F60" s="2260"/>
      <c r="G60" s="2259"/>
      <c r="H60" s="1315"/>
      <c r="I60" s="1315"/>
      <c r="J60" s="1315"/>
      <c r="K60" s="1315"/>
      <c r="L60" s="1495"/>
      <c r="M60" s="1316"/>
      <c r="N60" s="1316"/>
      <c r="P60" s="1317"/>
      <c r="Q60" s="1318"/>
      <c r="R60" s="1317"/>
      <c r="S60" s="1323"/>
      <c r="T60" s="1326"/>
      <c r="U60" s="1325"/>
      <c r="V60" s="1325"/>
      <c r="W60" s="1325"/>
      <c r="X60" s="1325"/>
      <c r="Y60" s="1325"/>
      <c r="Z60" s="1325"/>
      <c r="AA60" s="1325"/>
      <c r="AB60" s="1325"/>
      <c r="AC60" s="1325"/>
      <c r="AD60" s="1325"/>
      <c r="AE60" s="1325"/>
      <c r="AF60" s="1325"/>
      <c r="AG60" s="1325"/>
      <c r="AH60" s="1325"/>
      <c r="AI60" s="1325"/>
      <c r="AJ60" s="1325"/>
      <c r="AK60" s="1325"/>
      <c r="AL60" s="1325"/>
      <c r="AM60" s="1325"/>
      <c r="AN60" s="1325"/>
      <c r="AO60" s="1325"/>
      <c r="AP60" s="1325"/>
      <c r="AQ60" s="1325"/>
      <c r="AR60" s="1325"/>
      <c r="AS60" s="1325"/>
      <c r="AT60" s="1325"/>
      <c r="AU60" s="1325"/>
      <c r="AV60" s="1325"/>
      <c r="AW60" s="1325"/>
      <c r="AX60" s="1325"/>
      <c r="AY60" s="1325"/>
      <c r="AZ60" s="1325"/>
      <c r="BA60" s="1325"/>
      <c r="BB60" s="1325"/>
      <c r="BC60" s="1325"/>
      <c r="BE60" s="790"/>
      <c r="BF60" s="790" t="str">
        <f>IF(T60="","",T60)</f>
        <v/>
      </c>
      <c r="BG60" s="790"/>
      <c r="BH60" s="790"/>
      <c r="BI60" s="519">
        <v>0</v>
      </c>
    </row>
    <row s="1643" customFormat="1" customHeight="1" ht="0">
      <c r="A61" s="1344" t="s">
        <v>391</v>
      </c>
      <c r="B61" s="1344" t="s">
        <v>392</v>
      </c>
      <c r="C61" s="1315"/>
      <c r="D61" s="1315"/>
      <c r="E61" s="2260"/>
      <c r="F61" s="2259"/>
      <c r="G61" s="1315"/>
      <c r="H61" s="1315"/>
      <c r="I61" s="1315"/>
      <c r="J61" s="1315"/>
      <c r="K61" s="1315"/>
      <c r="L61" s="1495"/>
      <c r="M61" s="1322"/>
      <c r="N61" s="1322"/>
      <c r="P61" s="1317"/>
      <c r="Q61" s="1318"/>
      <c r="R61" s="1317"/>
      <c r="S61" s="1323"/>
      <c r="T61" s="1326" t="s">
        <v>178</v>
      </c>
      <c r="U61" s="1325"/>
      <c r="V61" s="1325"/>
      <c r="W61" s="1325"/>
      <c r="X61" s="1325"/>
      <c r="Y61" s="1325"/>
      <c r="Z61" s="1325"/>
      <c r="AA61" s="1325"/>
      <c r="AB61" s="1325"/>
      <c r="AC61" s="1325"/>
      <c r="AD61" s="1325"/>
      <c r="AE61" s="1325"/>
      <c r="AF61" s="1325"/>
      <c r="AG61" s="1325"/>
      <c r="AH61" s="1325"/>
      <c r="AI61" s="1325"/>
      <c r="AJ61" s="1325"/>
      <c r="AK61" s="1325"/>
      <c r="AL61" s="1325"/>
      <c r="AM61" s="1325"/>
      <c r="AN61" s="1325"/>
      <c r="AO61" s="1325"/>
      <c r="AP61" s="1325"/>
      <c r="AQ61" s="1325"/>
      <c r="AR61" s="1325"/>
      <c r="AS61" s="1325"/>
      <c r="AT61" s="1325"/>
      <c r="AU61" s="1325"/>
      <c r="AV61" s="1325"/>
      <c r="AW61" s="1325"/>
      <c r="AX61" s="1325"/>
      <c r="AY61" s="1325"/>
      <c r="AZ61" s="1325"/>
      <c r="BA61" s="1325"/>
      <c r="BB61" s="1325"/>
      <c r="BC61" s="1325"/>
      <c r="BE61" s="790"/>
      <c r="BF61" s="790" t="str">
        <f>IF(T61="","",T61)</f>
        <v>Добавить централизованную систему для дифференциации</v>
      </c>
      <c r="BG61" s="790"/>
      <c r="BH61" s="790"/>
      <c r="BI61" s="519">
        <v>0</v>
      </c>
    </row>
    <row s="1643" customFormat="1" customHeight="1" ht="0">
      <c r="A62" s="1344" t="s">
        <v>391</v>
      </c>
      <c r="B62" s="1344"/>
      <c r="C62" s="1344"/>
      <c r="D62" s="1344"/>
      <c r="E62" s="2259"/>
      <c r="F62" s="1344"/>
      <c r="G62" s="1344"/>
      <c r="H62" s="1344"/>
      <c r="I62" s="1344"/>
      <c r="J62" s="1344"/>
      <c r="K62" s="1344"/>
      <c r="L62" s="1347"/>
      <c r="M62" s="1322"/>
      <c r="N62" s="1322"/>
      <c r="O62" s="519"/>
      <c r="P62" s="381"/>
      <c r="Q62" s="1345"/>
      <c r="R62" s="381"/>
      <c r="S62" s="1323"/>
      <c r="T62" s="1326" t="s">
        <v>183</v>
      </c>
      <c r="U62" s="1325"/>
      <c r="V62" s="1325"/>
      <c r="W62" s="1325"/>
      <c r="X62" s="1325"/>
      <c r="Y62" s="1325"/>
      <c r="Z62" s="1325"/>
      <c r="AA62" s="1325"/>
      <c r="AB62" s="1325"/>
      <c r="AC62" s="1325"/>
      <c r="AD62" s="1325"/>
      <c r="AE62" s="1325"/>
      <c r="AF62" s="1325"/>
      <c r="AG62" s="1325"/>
      <c r="AH62" s="1325"/>
      <c r="AI62" s="1325"/>
      <c r="AJ62" s="1325"/>
      <c r="AK62" s="1325"/>
      <c r="AL62" s="1325"/>
      <c r="AM62" s="1325"/>
      <c r="AN62" s="1325"/>
      <c r="AO62" s="1325"/>
      <c r="AP62" s="1325"/>
      <c r="AQ62" s="1325"/>
      <c r="AR62" s="1325"/>
      <c r="AS62" s="1325"/>
      <c r="AT62" s="1325"/>
      <c r="AU62" s="1325"/>
      <c r="AV62" s="1325"/>
      <c r="AW62" s="1325"/>
      <c r="AX62" s="1325"/>
      <c r="AY62" s="1325"/>
      <c r="AZ62" s="1325"/>
      <c r="BA62" s="1325"/>
      <c r="BB62" s="1325"/>
      <c r="BC62" s="1325"/>
      <c r="BE62" s="501"/>
      <c r="BF62" s="501" t="str">
        <f>IF(T62="","",T62)</f>
        <v>Добавить территорию для дифференциации</v>
      </c>
      <c r="BG62" s="501"/>
      <c r="BH62" s="501"/>
      <c r="BI62" s="512">
        <v>0</v>
      </c>
    </row>
    <row s="1643" customFormat="1" customHeight="1" ht="0">
      <c r="A63" s="1315"/>
      <c r="B63" s="1315"/>
      <c r="C63" s="1315"/>
      <c r="D63" s="1315"/>
      <c r="E63" s="1344"/>
      <c r="F63" s="1315"/>
      <c r="G63" s="1315"/>
      <c r="H63" s="1315"/>
      <c r="I63" s="1315"/>
      <c r="J63" s="1315"/>
      <c r="K63" s="1315"/>
      <c r="L63" s="1495"/>
      <c r="M63" s="1322"/>
      <c r="N63" s="1322"/>
      <c r="P63" s="1317"/>
      <c r="Q63" s="1318"/>
      <c r="R63" s="1317"/>
      <c r="S63" s="1323"/>
      <c r="T63" s="1326" t="s">
        <v>222</v>
      </c>
      <c r="U63" s="1325"/>
      <c r="V63" s="1325"/>
      <c r="W63" s="1325"/>
      <c r="X63" s="1325"/>
      <c r="Y63" s="1325"/>
      <c r="Z63" s="1325"/>
      <c r="AA63" s="1325"/>
      <c r="AB63" s="1325"/>
      <c r="AC63" s="1325"/>
      <c r="AD63" s="1325"/>
      <c r="AE63" s="1325"/>
      <c r="AF63" s="1325"/>
      <c r="AG63" s="1325"/>
      <c r="AH63" s="1325"/>
      <c r="AI63" s="1325"/>
      <c r="AJ63" s="1325"/>
      <c r="AK63" s="1325"/>
      <c r="AL63" s="1325"/>
      <c r="AM63" s="1325"/>
      <c r="AN63" s="1325"/>
      <c r="AO63" s="1325"/>
      <c r="AP63" s="1325"/>
      <c r="AQ63" s="1325"/>
      <c r="AR63" s="1325"/>
      <c r="AS63" s="1325"/>
      <c r="AT63" s="1325"/>
      <c r="AU63" s="1325"/>
      <c r="AV63" s="1325"/>
      <c r="AW63" s="1325"/>
      <c r="AX63" s="1325"/>
      <c r="AY63" s="1325"/>
      <c r="AZ63" s="1325"/>
      <c r="BA63" s="1325"/>
      <c r="BB63" s="1325"/>
      <c r="BC63" s="1325"/>
      <c r="BE63" s="790"/>
      <c r="BF63" s="790" t="str">
        <f>IF(T63="","",T63)</f>
        <v>Добавить наименование тарифа</v>
      </c>
      <c r="BG63" s="790"/>
      <c r="BH63" s="790"/>
      <c r="BI63" s="519">
        <v>0</v>
      </c>
    </row>
    <row customHeight="1" ht="11.549999999999999">
      <c r="M64" s="1161"/>
      <c r="N64" s="1161"/>
      <c r="O64" s="538"/>
      <c r="P64" s="1161"/>
      <c r="Q64" s="1161"/>
      <c r="R64" s="1156"/>
      <c r="S64" s="1156"/>
      <c r="BD64" s="1156"/>
      <c r="BE64" s="1156"/>
      <c r="BF64" s="1156"/>
      <c r="BG64" s="1156"/>
      <c r="BH64" s="1156"/>
      <c r="BI64" s="1156">
        <v>11</v>
      </c>
    </row>
    <row customHeight="1" ht="19.95">
      <c r="O65" s="538"/>
      <c r="S65" s="1254"/>
      <c r="T65" s="2286"/>
      <c r="U65" s="2286"/>
      <c r="V65" s="2286"/>
      <c r="W65" s="2286"/>
      <c r="X65" s="2286"/>
      <c r="Y65" s="2286"/>
      <c r="Z65" s="2286"/>
      <c r="AA65" s="2286"/>
      <c r="AB65" s="2286"/>
      <c r="AC65" s="2286"/>
      <c r="AD65" s="2286"/>
      <c r="AE65" s="2286"/>
      <c r="AF65" s="2286"/>
      <c r="AG65" s="2286"/>
      <c r="AH65" s="2286"/>
      <c r="AI65" s="2286"/>
      <c r="AJ65" s="2286"/>
      <c r="AK65" s="2286"/>
      <c r="AL65" s="2286"/>
      <c r="AM65" s="2286"/>
      <c r="AN65" s="2286"/>
      <c r="AO65" s="2286"/>
      <c r="AP65" s="2286"/>
      <c r="AQ65" s="2286"/>
      <c r="AR65" s="2286"/>
      <c r="AS65" s="2286"/>
      <c r="AT65" s="2286"/>
      <c r="AU65" s="2286"/>
      <c r="AV65" s="2286"/>
      <c r="AW65" s="2286"/>
      <c r="AX65" s="2286"/>
      <c r="AY65" s="2286"/>
      <c r="AZ65" s="2286"/>
      <c r="BA65" s="2286"/>
      <c r="BB65" s="2286"/>
      <c r="BC65" s="2286"/>
      <c r="BI65" s="1156">
        <v>19</v>
      </c>
    </row>
    <row customHeight="1" ht="14.699999999999998">
      <c r="O66" s="538"/>
      <c r="T66" s="1481"/>
      <c r="U66" s="1481"/>
      <c r="V66" s="1481"/>
      <c r="W66" s="1481"/>
      <c r="X66" s="1481"/>
      <c r="Y66" s="1481"/>
      <c r="Z66" s="1481"/>
      <c r="AA66" s="1481"/>
      <c r="AB66" s="1481"/>
      <c r="AC66" s="1481"/>
      <c r="AD66" s="1481"/>
      <c r="AE66" s="1481"/>
      <c r="AF66" s="1481"/>
      <c r="AG66" s="1481"/>
      <c r="AH66" s="1481"/>
      <c r="AI66" s="1481"/>
      <c r="AJ66" s="1481"/>
      <c r="AK66" s="1481"/>
      <c r="AL66" s="1481"/>
      <c r="AM66" s="1481"/>
      <c r="AN66" s="1481"/>
      <c r="AO66" s="1481"/>
      <c r="AP66" s="1481"/>
      <c r="AQ66" s="1481"/>
      <c r="AR66" s="1481"/>
      <c r="AS66" s="1481"/>
      <c r="AT66" s="1481"/>
      <c r="AU66" s="1481"/>
      <c r="AV66" s="1481"/>
      <c r="AW66" s="1481"/>
      <c r="AX66" s="1481"/>
      <c r="AY66" s="1481"/>
      <c r="AZ66" s="1481"/>
      <c r="BA66" s="1481"/>
      <c r="BB66" s="1481"/>
      <c r="BC66" s="1481"/>
      <c r="BI66" s="1156">
        <v>14</v>
      </c>
    </row>
    <row customHeight="1" ht="19.95">
      <c r="O67" s="538"/>
      <c r="S67" s="1254"/>
      <c r="T67" s="2286"/>
      <c r="U67" s="2286"/>
      <c r="V67" s="2286"/>
      <c r="W67" s="2286"/>
      <c r="X67" s="2286"/>
      <c r="Y67" s="2286"/>
      <c r="Z67" s="2286"/>
      <c r="AA67" s="2286"/>
      <c r="AB67" s="2286"/>
      <c r="AC67" s="2286"/>
      <c r="AD67" s="2286"/>
      <c r="AE67" s="2286"/>
      <c r="AF67" s="2286"/>
      <c r="AG67" s="2286"/>
      <c r="AH67" s="2286"/>
      <c r="AI67" s="2286"/>
      <c r="AJ67" s="2286"/>
      <c r="AK67" s="2286"/>
      <c r="AL67" s="2286"/>
      <c r="AM67" s="2286"/>
      <c r="AN67" s="2286"/>
      <c r="AO67" s="2286"/>
      <c r="AP67" s="2286"/>
      <c r="AQ67" s="2286"/>
      <c r="AR67" s="2286"/>
      <c r="AS67" s="2286"/>
      <c r="AT67" s="2286"/>
      <c r="AU67" s="2286"/>
      <c r="AV67" s="2286"/>
      <c r="AW67" s="2286"/>
      <c r="AX67" s="2286"/>
      <c r="AY67" s="2286"/>
      <c r="AZ67" s="2286"/>
      <c r="BA67" s="2286"/>
      <c r="BB67" s="2286"/>
      <c r="BC67" s="2286"/>
      <c r="BI67" s="1156">
        <v>19</v>
      </c>
    </row>
    <row customHeight="1" ht="14.699999999999998">
      <c r="O68" s="538"/>
      <c r="BI68" s="1156">
        <v>14</v>
      </c>
    </row>
    <row customHeight="1" ht="14.25" hidden="1">
      <c r="A69" s="1161" t="s">
        <v>86</v>
      </c>
      <c r="B69" s="1161">
        <v>0</v>
      </c>
      <c r="C69" s="1161">
        <v>0</v>
      </c>
      <c r="D69" s="1161">
        <v>0</v>
      </c>
      <c r="E69" s="1161">
        <v>0</v>
      </c>
      <c r="F69" s="1161">
        <v>0</v>
      </c>
      <c r="G69" s="1161">
        <v>0</v>
      </c>
      <c r="H69" s="1161">
        <v>0</v>
      </c>
      <c r="I69" s="1161">
        <v>0</v>
      </c>
      <c r="J69" s="1161">
        <v>0</v>
      </c>
      <c r="K69" s="1161">
        <v>0</v>
      </c>
      <c r="L69" s="1479">
        <v>0</v>
      </c>
      <c r="M69" s="1363">
        <v>0</v>
      </c>
      <c r="N69" s="1363">
        <v>0</v>
      </c>
      <c r="O69" s="1363">
        <v>0</v>
      </c>
      <c r="P69" s="1363">
        <v>0</v>
      </c>
      <c r="Q69" s="1372">
        <v>0</v>
      </c>
      <c r="R69" s="345">
        <v>3</v>
      </c>
      <c r="S69" s="582">
        <v>12</v>
      </c>
      <c r="T69" s="1156">
        <v>31</v>
      </c>
      <c r="U69" s="1156">
        <v>0</v>
      </c>
      <c r="V69" s="1156">
        <v>0</v>
      </c>
      <c r="W69" s="1156">
        <v>0</v>
      </c>
      <c r="X69" s="1156">
        <v>0</v>
      </c>
      <c r="Y69" s="1156">
        <v>0</v>
      </c>
      <c r="Z69" s="1156">
        <v>0</v>
      </c>
      <c r="AA69" s="1156">
        <v>0</v>
      </c>
      <c r="AB69" s="1156">
        <v>0</v>
      </c>
      <c r="AC69" s="1156">
        <v>0</v>
      </c>
      <c r="AD69" s="1156">
        <v>3</v>
      </c>
      <c r="AE69" s="1156">
        <v>3</v>
      </c>
      <c r="AF69" s="1156">
        <v>3</v>
      </c>
      <c r="AG69" s="1156">
        <v>24</v>
      </c>
      <c r="AH69" s="1156">
        <v>3</v>
      </c>
      <c r="AI69" s="1156">
        <v>3</v>
      </c>
      <c r="AJ69" s="1156">
        <v>3</v>
      </c>
      <c r="AK69" s="1156">
        <v>24</v>
      </c>
      <c r="AL69" s="1156">
        <v>3</v>
      </c>
      <c r="AM69" s="1156">
        <v>3</v>
      </c>
      <c r="AN69" s="1156">
        <v>3</v>
      </c>
      <c r="AO69" s="1156">
        <v>18</v>
      </c>
      <c r="AP69" s="1156">
        <v>3</v>
      </c>
      <c r="AQ69" s="1156">
        <v>3</v>
      </c>
      <c r="AR69" s="1156">
        <v>3</v>
      </c>
      <c r="AS69" s="1156">
        <v>18</v>
      </c>
      <c r="AT69" s="1156">
        <v>21</v>
      </c>
      <c r="AU69" s="1156">
        <v>21</v>
      </c>
      <c r="AV69" s="1156">
        <v>21</v>
      </c>
      <c r="AW69" s="1156">
        <v>21</v>
      </c>
      <c r="AX69" s="1156">
        <v>11</v>
      </c>
      <c r="AY69" s="1156">
        <v>3</v>
      </c>
      <c r="AZ69" s="1156">
        <v>11</v>
      </c>
      <c r="BA69" s="1156">
        <v>0</v>
      </c>
      <c r="BB69" s="1156">
        <v>4</v>
      </c>
      <c r="BC69" s="1156">
        <v>115</v>
      </c>
      <c r="BD69" s="512">
        <v>10</v>
      </c>
      <c r="BE69" s="512">
        <v>10</v>
      </c>
      <c r="BF69" s="512">
        <v>10</v>
      </c>
      <c r="BG69" s="512">
        <v>10</v>
      </c>
      <c r="BH69" s="512">
        <v>10</v>
      </c>
      <c r="BI69" s="1156">
        <v>23</v>
      </c>
    </row>
  </sheetData>
  <sheetProtection formatColumns="0" formatRows="0" autoFilter="0" sort="0" insertRows="0" insertColumns="1" deleteRows="0" deleteColumns="0"/>
  <mergeCells count="122">
    <mergeCell ref="T65:BC65"/>
    <mergeCell ref="T67:BC67"/>
    <mergeCell ref="AL52:AL54"/>
    <mergeCell ref="AM52:AM53"/>
    <mergeCell ref="AN52:AN53"/>
    <mergeCell ref="AO52:AO53"/>
    <mergeCell ref="AP52:AP53"/>
    <mergeCell ref="BC52:BC57"/>
    <mergeCell ref="AF52:AF55"/>
    <mergeCell ref="AG52:AG55"/>
    <mergeCell ref="AH52:AH55"/>
    <mergeCell ref="AI52:AI54"/>
    <mergeCell ref="AJ52:AJ54"/>
    <mergeCell ref="AK52:AK54"/>
    <mergeCell ref="I50:I58"/>
    <mergeCell ref="P50:P58"/>
    <mergeCell ref="V50:AC50"/>
    <mergeCell ref="AD50:BB50"/>
    <mergeCell ref="J51:J57"/>
    <mergeCell ref="Q51:Q57"/>
    <mergeCell ref="V51:AC51"/>
    <mergeCell ref="AD51:BB51"/>
    <mergeCell ref="K52:K56"/>
    <mergeCell ref="S52:S56"/>
    <mergeCell ref="T52:T56"/>
    <mergeCell ref="AD52:AD56"/>
    <mergeCell ref="AE52:AE55"/>
    <mergeCell ref="AA45:AB45"/>
    <mergeCell ref="AY45:AZ45"/>
    <mergeCell ref="E46:E62"/>
    <mergeCell ref="V46:AC46"/>
    <mergeCell ref="AD46:BB46"/>
    <mergeCell ref="F47:F61"/>
    <mergeCell ref="V47:AC47"/>
    <mergeCell ref="AL41:AO44"/>
    <mergeCell ref="AP41:AS44"/>
    <mergeCell ref="AT41:AZ41"/>
    <mergeCell ref="BA41:BA44"/>
    <mergeCell ref="BB41:BB44"/>
    <mergeCell ref="V42:W43"/>
    <mergeCell ref="X42:Y43"/>
    <mergeCell ref="Z42:AB43"/>
    <mergeCell ref="AT42:AU43"/>
    <mergeCell ref="AV42:AW43"/>
    <mergeCell ref="AD47:BB47"/>
    <mergeCell ref="G48:G60"/>
    <mergeCell ref="V48:AC48"/>
    <mergeCell ref="AD48:BB48"/>
    <mergeCell ref="H49:H59"/>
    <mergeCell ref="V49:AC49"/>
    <mergeCell ref="AD49:BB49"/>
    <mergeCell ref="V39:AC39"/>
    <mergeCell ref="AD39:BA39"/>
    <mergeCell ref="S40:BB40"/>
    <mergeCell ref="BC40:BC44"/>
    <mergeCell ref="S41:S44"/>
    <mergeCell ref="T41:T44"/>
    <mergeCell ref="V41:AB41"/>
    <mergeCell ref="AC41:AC44"/>
    <mergeCell ref="AD41:AG44"/>
    <mergeCell ref="AH41:AK44"/>
    <mergeCell ref="AX42:AZ43"/>
    <mergeCell ref="AA44:AB44"/>
    <mergeCell ref="AY44:AZ44"/>
    <mergeCell ref="S36:T36"/>
    <mergeCell ref="V36:AB36"/>
    <mergeCell ref="AD36:AZ36"/>
    <mergeCell ref="S37:T37"/>
    <mergeCell ref="V37:AB37"/>
    <mergeCell ref="AD37:AZ37"/>
    <mergeCell ref="S33:T33"/>
    <mergeCell ref="V33:AB33"/>
    <mergeCell ref="AD33:AZ33"/>
    <mergeCell ref="S34:T34"/>
    <mergeCell ref="V34:AB34"/>
    <mergeCell ref="AD34:AZ34"/>
    <mergeCell ref="S28:AZ28"/>
    <mergeCell ref="S29:AZ29"/>
    <mergeCell ref="S31:T31"/>
    <mergeCell ref="V31:AB31"/>
    <mergeCell ref="AD31:AZ31"/>
    <mergeCell ref="S32:T32"/>
    <mergeCell ref="V32:AB32"/>
    <mergeCell ref="AD32:AZ32"/>
    <mergeCell ref="AL8:AL10"/>
    <mergeCell ref="AM8:AM9"/>
    <mergeCell ref="AN8:AN9"/>
    <mergeCell ref="AO8:AO9"/>
    <mergeCell ref="AP8:AP9"/>
    <mergeCell ref="BC8:BC13"/>
    <mergeCell ref="AF8:AF11"/>
    <mergeCell ref="AG8:AG11"/>
    <mergeCell ref="AH8:AH11"/>
    <mergeCell ref="AI8:AI10"/>
    <mergeCell ref="AJ8:AJ10"/>
    <mergeCell ref="AK8:AK10"/>
    <mergeCell ref="K8:K12"/>
    <mergeCell ref="R8:R12"/>
    <mergeCell ref="S8:S12"/>
    <mergeCell ref="T8:T12"/>
    <mergeCell ref="AD8:AD12"/>
    <mergeCell ref="AE8:AE11"/>
    <mergeCell ref="E2:E18"/>
    <mergeCell ref="V2:AC2"/>
    <mergeCell ref="AD2:BB2"/>
    <mergeCell ref="F3:F17"/>
    <mergeCell ref="V3:AC3"/>
    <mergeCell ref="AD3:BB3"/>
    <mergeCell ref="G4:G16"/>
    <mergeCell ref="V4:AC4"/>
    <mergeCell ref="AD4:BB4"/>
    <mergeCell ref="H5:H15"/>
    <mergeCell ref="V5:AC5"/>
    <mergeCell ref="AD5:BB5"/>
    <mergeCell ref="I6:I14"/>
    <mergeCell ref="P6:P14"/>
    <mergeCell ref="V6:AC6"/>
    <mergeCell ref="AD6:BB6"/>
    <mergeCell ref="J7:J13"/>
    <mergeCell ref="Q7:Q13"/>
    <mergeCell ref="V7:AC7"/>
    <mergeCell ref="AD7:BB7"/>
  </mergeCells>
  <dataValidations count="9">
    <dataValidation type="list" allowBlank="1" showInputMessage="1" showErrorMessage="1" errorTitle="Ошибка" error="Выберите значение из списка" sqref="T65589 T131125 T196661 T262197 T327733 T393269 T458805 T524341 T589877 T655413 T720949 T786485 T852021 T917557 T983093">
      <formula1>kind_of_heat_transfer</formula1>
    </dataValidation>
    <dataValidation type="list" allowBlank="1" showInputMessage="1" showErrorMessage="1" errorTitle="Ошибка" error="Выберите значение из списка" sqref="AD917555:AS917555 AD983091:AS983091 AD65587:AS65587 AD131123:AS131123 AD196659:AS196659 AD262195:AS262195 AD327731:AS327731 AD393267:AS393267 AD458803:AS458803 AD524339:AS524339 AD589875:AS589875 AD655411:AS655411 AD720947:AS720947 AD786483:AS786483 AD852019:AS852019">
      <formula1>kind_of_scheme_in</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9 Z131125 Z196661 Z262197 Z327733 Z393269 Z458805 Z524341 Z589877 Z655413 Z720949 Z786485 Z852021 Z917557 Z983093 AB65589 AB131125 AB196661 AB262197 AB327733 AB393269 AB458805 AB524341 AB589877 AB655413 AB720949 AB786485 AB852021 AB917557 AB983093 Z8 AB8 AX65589 AX131125 AX196661 AX262197 AX327733 AX393269 AX458805 AX524341 AX589877 AX655413 AX720949 AX786485 AX852021 AX917557 AX983093 AZ65589 AZ131125 AZ196661 AZ262197 AZ327733 AZ393269 AZ458805 AZ524341 AZ589877 AZ655413 AZ720949 AZ786485 AZ852021 AZ917557 AZ983093 AX52 AX20 AZ8 AZ52 AX8 AZ20 Z52 AB52"/>
    <dataValidation allowBlank="1" promptTitle="checkPeriodRange" sqref="W131126 W196662 W262198 W327734 W393270 W458806 W524342 W589878 W655414 W720950 W786486 W852022 W917558 W983094 AW56 AU12 BB12 AW65590 AW131126 AW196662 AW262198 AW327734 AW393270 AW458806 AW524342 AW589878 AW655414 AW720950 AW786486 AW852022 AW917558 AW983094 Y65590 Y56 W65590 Y131126 Y196662 Y262198 Y327734 Y393270 Y458806 Y524342 Y589878 Y655414 Y720950 Y786486 Y852022 Y917558 Y983094 AU56 Y12 BB56 W12 AW12 W56"/>
    <dataValidation type="textLength" operator="lessThanOrEqual" allowBlank="1" showInputMessage="1" showErrorMessage="1" errorTitle="Ошибка" error="Допускается ввод не более 900 символов!" sqref="BC65583:BC65590 BC131119:BC131126 BC196655:BC196662 BC262191:BC262198 BC327727:BC327734 BC393263:BC393270 BC458799:BC458806 BC524335:BC524342 BC589871:BC589878 BC655407:BC655414 BC720943:BC720950 BC786479:BC786486 BC852015:BC852022 BC917551:BC917558 BC983087:BC983094 AS8 T8:T12 AS52 T52:T56">
      <formula1>900</formula1>
    </dataValidation>
    <dataValidation allowBlank="1" showInputMessage="1" showErrorMessage="1" prompt="Для выбора выполните двойной щелчок левой клавиши мыши по соответствующей ячейке." sqref="AA65589 AA131125 AA196661 AA262197 AA327733 AA393269 AA458805 AA524341 AA589877 AA655413 AA720949 AA786485 AA852021 AA917557 AA983093 AC131125 AC458805 AC196661 AC262197 AC327733 AC393269 AC524341 AC589877 AC655413 AC720949 AC786485 AC852021 AC917557 AC983093 AC65589 AH52:AH53 AY8 AP52 AK52:AL53 AA8 AY65589 AY131125 AY196661 AY262197 AY327733 AY393269 AY458805 AY524341 AY589877 AY655413 AY720949 AY786485 AY852021 AY917557 AY983093 BA458805 BA196661 BA262197 BA327733 BA393269 BA524341 BA589877 BA655413 BA720949 BA786485 BA852021 BA917557 BA983093 BA65589 BA52 AC8:AD8 BA20 BA8 AY52 AK8:AL9 AD20 AG20:AH20 AK20:AL20 AP20 AY20 AH8:AH9 AP8 BA131125 AC52:AD52 AA52"/>
    <dataValidation type="decimal" allowBlank="1" showErrorMessage="1" errorTitle="Ошибка" error="Допускается ввод только действительных чисел!" sqref="AO52:AO53 AG8:AG11 AO8:AO9 AG52:AG55">
      <formula1>-9.99999999999999E+23</formula1>
      <formula2>9.99999999999999E+23</formula2>
    </dataValidation>
    <dataValidation type="list" allowBlank="1" showInputMessage="1" errorTitle="Ошибка" error="Выберите значение из списка" prompt="Выберите значение из списка" sqref="V983092:BB983092 V917556:BB917556 V852020:BB852020 V786484:BB786484 V720948:BB720948 V655412:BB655412 V589876:BB589876 V524340:BB524340 V458804:BB458804 V393268:BB393268 V327732:BB327732 V262196:BB262196 V196660:BB196660 V131124:BB131124 V65588:BB65588">
      <formula1>kind_of_cons</formula1>
    </dataValidation>
    <dataValidation allowBlank="1" sqref="S65591:BC65597 S983095:BC983101 S917559:BC917565 S852023:BC852029 S786487:BC786493 S720951:BC720957 S655415:BC655421 S589879:BC589885 S524343:BC524349 S458807:BC458813 S393271:BC393277 S327735:BC327741 S262199:BC262205 S196663:BC196669 S131127:BC131133"/>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3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A7CFCA8-2E5C-4CAD-3FBC-73FD16A835D8}" mc:Ignorable="x14ac xr xr2 xr3">
  <sheetPr>
    <tabColor theme="9" tint="-0.25"/>
  </sheetPr>
  <dimension ref="A1:AF303"/>
  <sheetViews>
    <sheetView showGridLines="0" zoomScale="90" workbookViewId="0">
      <pane xSplit="8" ySplit="29" topLeftCell="I30" activePane="bottomRight" state="frozen"/>
      <selection pane="bottomLeft" activeCell="A30" sqref="A30"/>
      <selection pane="topRight" activeCell="I1" sqref="I1"/>
      <selection pane="bottomRight" activeCell="A1" sqref="A1"/>
    </sheetView>
  </sheetViews>
  <sheetFormatPr defaultColWidth="9.140625" customHeight="1" defaultRowHeight="11.25"/>
  <cols>
    <col min="1" max="1" style="988" width="10.7109375" hidden="1" customWidth="1"/>
    <col min="2" max="2" style="1367" width="16.8515625" hidden="1" customWidth="1"/>
    <col min="3" max="3" style="1643" width="5.57421875" hidden="1" customWidth="1"/>
    <col min="4" max="4" style="1636" width="3.00390625" customWidth="1"/>
    <col min="5" max="5" style="1636" width="7.00390625" customWidth="1"/>
    <col min="6" max="6" style="1636" width="54.00390625" customWidth="1"/>
    <col min="7" max="7" style="1636" width="10.00390625" customWidth="1"/>
    <col min="8" max="8" style="1636" width="40.7109375" hidden="1" customWidth="1"/>
    <col min="9" max="9" style="1636" width="40.7109375" customWidth="1"/>
    <col min="10" max="10" style="1636" width="102.00390625" customWidth="1"/>
    <col min="11" max="11" style="1367" width="9.00390625" customWidth="1"/>
    <col min="12" max="12" style="1643" width="5.00390625" customWidth="1"/>
    <col min="13" max="13" style="1643" width="3.00390625" customWidth="1"/>
    <col min="14" max="17" style="1367" width="3.00390625" customWidth="1"/>
    <col min="18" max="18" style="1643" width="10.00390625" customWidth="1"/>
    <col min="19" max="19" style="1367" width="34.00390625" customWidth="1"/>
    <col min="20" max="20" style="1367" width="9.00390625" customWidth="1"/>
    <col min="21" max="21" style="737" width="8.00390625" customWidth="1"/>
    <col min="22" max="26" style="1367" width="8.00390625" customWidth="1"/>
    <col min="27" max="31" style="1633" width="8.00390625" customWidth="1"/>
    <col min="32" max="32" style="1636" width="9.140625" hidden="1"/>
  </cols>
  <sheetData>
    <row customHeight="1" ht="22.5" hidden="1">
      <c r="AF1" s="1632" t="s">
        <v>14</v>
      </c>
    </row>
    <row customHeight="1" ht="23.25" hidden="1">
      <c r="B2" s="2100"/>
      <c r="C2" s="1168" t="s">
        <v>676</v>
      </c>
      <c r="D2" s="1639"/>
      <c r="E2" s="547">
        <f>B2</f>
        <v>0</v>
      </c>
      <c r="F2" s="548"/>
      <c r="G2" s="1647" t="s">
        <v>677</v>
      </c>
      <c r="H2" s="1647" t="s">
        <v>677</v>
      </c>
      <c r="I2" s="1647" t="s">
        <v>677</v>
      </c>
      <c r="J2" s="290" t="s">
        <v>678</v>
      </c>
      <c r="K2" s="544"/>
      <c r="AF2" s="1632">
        <v>0</v>
      </c>
    </row>
    <row s="1643" customFormat="1" customHeight="1" ht="0.75" hidden="1">
      <c r="B3" s="2100"/>
      <c r="C3" s="1168"/>
      <c r="D3" s="549"/>
      <c r="E3" s="550"/>
      <c r="F3" s="551" t="s">
        <v>679</v>
      </c>
      <c r="G3" s="552"/>
      <c r="H3" s="552">
        <f>H4*H5+H7</f>
        <v>0</v>
      </c>
      <c r="I3" s="552">
        <f>I4*I5+I6</f>
        <v>0</v>
      </c>
      <c r="J3" s="553"/>
      <c r="AF3" s="1637">
        <v>0</v>
      </c>
    </row>
    <row customHeight="1" ht="23.25" hidden="1">
      <c r="B4" s="2100"/>
      <c r="C4" s="1168"/>
      <c r="D4" s="1639"/>
      <c r="E4" s="547" t="str">
        <f>B2&amp;".1"</f>
        <v>.1</v>
      </c>
      <c r="F4" s="554" t="s">
        <v>680</v>
      </c>
      <c r="G4" s="555"/>
      <c r="H4" s="542"/>
      <c r="I4" s="542"/>
      <c r="J4" s="290" t="s">
        <v>681</v>
      </c>
      <c r="K4" s="544"/>
      <c r="AF4" s="1632">
        <v>0</v>
      </c>
    </row>
    <row customHeight="1" ht="18.75" hidden="1">
      <c r="B5" s="2100"/>
      <c r="C5" s="1168"/>
      <c r="D5" s="1639"/>
      <c r="E5" s="547" t="str">
        <f>B2&amp;".2"</f>
        <v>.2</v>
      </c>
      <c r="F5" s="554" t="s">
        <v>682</v>
      </c>
      <c r="G5" s="1647" t="s">
        <v>683</v>
      </c>
      <c r="H5" s="542"/>
      <c r="I5" s="542"/>
      <c r="J5" s="290"/>
      <c r="K5" s="544"/>
      <c r="AF5" s="1632">
        <v>0</v>
      </c>
    </row>
    <row customHeight="1" ht="18.75" hidden="1">
      <c r="B6" s="2100"/>
      <c r="C6" s="1168"/>
      <c r="D6" s="1639"/>
      <c r="E6" s="547" t="str">
        <f>B2&amp;".3"</f>
        <v>.3</v>
      </c>
      <c r="F6" s="554" t="s">
        <v>684</v>
      </c>
      <c r="G6" s="1647" t="s">
        <v>683</v>
      </c>
      <c r="H6" s="542"/>
      <c r="I6" s="542"/>
      <c r="J6" s="290"/>
      <c r="K6" s="544"/>
      <c r="AF6" s="1632">
        <v>0</v>
      </c>
    </row>
    <row customHeight="1" ht="18.75" hidden="1">
      <c r="B7" s="2100"/>
      <c r="C7" s="1168"/>
      <c r="D7" s="1639"/>
      <c r="E7" s="547" t="str">
        <f>B2&amp;".4"</f>
        <v>.4</v>
      </c>
      <c r="F7" s="554" t="s">
        <v>685</v>
      </c>
      <c r="G7" s="1647" t="s">
        <v>677</v>
      </c>
      <c r="H7" s="556"/>
      <c r="I7" s="556"/>
      <c r="J7" s="290"/>
      <c r="K7" s="544"/>
      <c r="AF7" s="1632">
        <v>0</v>
      </c>
    </row>
    <row s="1367" customFormat="1" customHeight="1" ht="11.25" hidden="1">
      <c r="A8" s="988"/>
      <c r="C8" s="1637"/>
      <c r="D8" s="538"/>
      <c r="H8" s="1161">
        <v>4</v>
      </c>
      <c r="I8" s="1161">
        <v>4</v>
      </c>
      <c r="L8" s="1637"/>
      <c r="M8" s="1637"/>
      <c r="R8" s="1637"/>
      <c r="AF8" s="1161">
        <v>0</v>
      </c>
    </row>
    <row s="1367" customFormat="1" customHeight="1" ht="22.5" hidden="1">
      <c r="A9" s="988"/>
      <c r="C9" s="1637"/>
      <c r="D9" s="539"/>
      <c r="E9" s="1649"/>
      <c r="F9" s="541"/>
      <c r="G9" s="1647" t="s">
        <v>683</v>
      </c>
      <c r="H9" s="542"/>
      <c r="I9" s="542"/>
      <c r="J9" s="543" t="s">
        <v>686</v>
      </c>
      <c r="K9" s="544"/>
      <c r="L9" s="1637"/>
      <c r="M9" s="1637"/>
      <c r="R9" s="1637"/>
      <c r="U9" s="545"/>
      <c r="AA9" s="1633"/>
      <c r="AB9" s="1633"/>
      <c r="AC9" s="1633"/>
      <c r="AD9" s="1633"/>
      <c r="AE9" s="1633"/>
      <c r="AF9" s="1161">
        <v>0</v>
      </c>
    </row>
    <row customHeight="1" ht="11.25" hidden="1">
      <c r="AF10" s="1632">
        <v>0</v>
      </c>
    </row>
    <row customHeight="1" ht="18.75" hidden="1">
      <c r="D11" s="1639"/>
      <c r="E11" s="547"/>
      <c r="F11" s="541"/>
      <c r="G11" s="1647" t="s">
        <v>687</v>
      </c>
      <c r="H11" s="542"/>
      <c r="I11" s="542"/>
      <c r="J11" s="290" t="s">
        <v>688</v>
      </c>
      <c r="K11" s="544"/>
      <c r="AF11" s="1632">
        <v>0</v>
      </c>
    </row>
    <row customHeight="1" ht="11.25" hidden="1">
      <c r="AF12" s="1632">
        <v>0</v>
      </c>
    </row>
    <row customHeight="1" ht="22.5" hidden="1">
      <c r="D13" s="1639"/>
      <c r="E13" s="547"/>
      <c r="F13" s="541"/>
      <c r="G13" s="970" t="s">
        <v>689</v>
      </c>
      <c r="H13" s="546"/>
      <c r="I13" s="546"/>
      <c r="J13" s="746" t="s">
        <v>690</v>
      </c>
      <c r="K13" s="544"/>
      <c r="AF13" s="1632">
        <v>0</v>
      </c>
    </row>
    <row customHeight="1" ht="11.25" hidden="1">
      <c r="AF14" s="1632">
        <v>0</v>
      </c>
    </row>
    <row customHeight="1" ht="22.5" hidden="1">
      <c r="D15" s="1639"/>
      <c r="E15" s="547"/>
      <c r="F15" s="541"/>
      <c r="G15" s="1647" t="s">
        <v>691</v>
      </c>
      <c r="H15" s="546"/>
      <c r="I15" s="546"/>
      <c r="J15" s="290" t="s">
        <v>692</v>
      </c>
      <c r="K15" s="544"/>
      <c r="AF15" s="1632">
        <v>0</v>
      </c>
    </row>
    <row customHeight="1" ht="11.25" hidden="1">
      <c r="AF16" s="1632">
        <v>0</v>
      </c>
    </row>
    <row customHeight="1" ht="22.5" hidden="1">
      <c r="D17" s="1639"/>
      <c r="E17" s="547"/>
      <c r="F17" s="541"/>
      <c r="G17" s="1647" t="s">
        <v>693</v>
      </c>
      <c r="H17" s="546"/>
      <c r="I17" s="546"/>
      <c r="J17" s="290" t="s">
        <v>694</v>
      </c>
      <c r="K17" s="544"/>
      <c r="AF17" s="1632">
        <v>0</v>
      </c>
    </row>
    <row customHeight="1" ht="11.25" hidden="1">
      <c r="AF18" s="1632">
        <v>0</v>
      </c>
    </row>
    <row s="1633" customFormat="1" customHeight="1" ht="11.25" hidden="1">
      <c r="A19" s="988"/>
      <c r="B19" s="1161"/>
      <c r="C19" s="1637"/>
      <c r="D19" s="363"/>
      <c r="J19" s="1633">
        <v>4</v>
      </c>
      <c r="K19" s="1161"/>
      <c r="L19" s="1637"/>
      <c r="M19" s="1637"/>
      <c r="N19" s="1161"/>
      <c r="O19" s="1161"/>
      <c r="P19" s="1161"/>
      <c r="Q19" s="1161"/>
      <c r="R19" s="1637"/>
      <c r="S19" s="1161"/>
      <c r="T19" s="1161"/>
      <c r="U19" s="545"/>
      <c r="V19" s="1161"/>
      <c r="W19" s="1161"/>
      <c r="X19" s="1161"/>
      <c r="Y19" s="1161"/>
      <c r="Z19" s="1161"/>
      <c r="AF19" s="1633">
        <v>0</v>
      </c>
    </row>
    <row customHeight="1" ht="11.549999999999999">
      <c r="AF20" s="1632">
        <v>11</v>
      </c>
    </row>
    <row customHeight="1" ht="25.2">
      <c r="E21" s="2249" t="str">
        <f>FHD_NAME_FORM</f>
        <v>Форма 8. Информация о товарах (об услугах), поставляемых (оказываемых) единой теплоснабжающей организацией в ценовых зонах теплоснабжения по регулируемым ценам (тарифам) в сфере теплоснабжения, информация о товарах (об услугах), поставляемых (оказываемых) теплоснабжающей организацией в ценовых зонах теплоснабжения и теплосетевой организацией в ценовых зонах теплоснабжения по регулируемым ценам (тарифам) в сфере теплоснабжения</v>
      </c>
      <c r="F21" s="2249"/>
      <c r="G21" s="2249"/>
      <c r="H21" s="2249"/>
      <c r="I21" s="2249"/>
      <c r="J21" s="557"/>
      <c r="AF21" s="1632">
        <v>24</v>
      </c>
    </row>
    <row customHeight="1" ht="25.2">
      <c r="E22" s="2250" t="str">
        <f>IF(org=0,"Не определено",org)</f>
        <v>ПАО "ТГК-1" (филиал "Кольский")</v>
      </c>
      <c r="F22" s="2250"/>
      <c r="G22" s="2250"/>
      <c r="H22" s="2250"/>
      <c r="I22" s="2250"/>
      <c r="AF22" s="1632">
        <v>24</v>
      </c>
    </row>
    <row customHeight="1" ht="11.549999999999999">
      <c r="E23" s="1136"/>
      <c r="F23" s="1136"/>
      <c r="G23" s="1136"/>
      <c r="H23" s="1136"/>
      <c r="I23" s="1136"/>
      <c r="AF23" s="1632">
        <v>11</v>
      </c>
    </row>
    <row s="1643" customFormat="1" customHeight="1" ht="1.05">
      <c r="A24" s="1168"/>
      <c r="D24" s="1643"/>
      <c r="H24" s="890"/>
      <c r="I24" s="890" t="s">
        <v>130</v>
      </c>
      <c r="AF24" s="1637">
        <v>1</v>
      </c>
    </row>
    <row customHeight="1" ht="11.549999999999999">
      <c r="E25" s="712"/>
      <c r="F25" s="2368" t="s">
        <v>119</v>
      </c>
      <c r="G25" s="2369"/>
      <c r="H25" s="1653" t="str">
        <f>IF(H24="","",INDEX(DIFFERENTIATION_UNMERGE_VD,MATCH(H24,DIFFERENTIATION_ID_DIFF,0)))</f>
        <v/>
      </c>
      <c r="I25" s="1653">
        <f>IF(I24="","",INDEX(DIFFERENTIATION_UNMERGE_VD,MATCH(I24,DIFFERENTIATION_ID_DIFF,0)))</f>
        <v>0</v>
      </c>
      <c r="J25" s="2128"/>
      <c r="AF25" s="1632">
        <v>11</v>
      </c>
    </row>
    <row customHeight="1" ht="11.549999999999999">
      <c r="E26" s="712"/>
      <c r="F26" s="2368" t="s">
        <v>695</v>
      </c>
      <c r="G26" s="2369"/>
      <c r="H26" s="1653" t="str">
        <f>IF(H24="","",INDEX(DIFFERENTIATION_UNMERGE_AREA,MATCH(H24,DIFFERENTIATION_ID_DIFF,0)))</f>
        <v/>
      </c>
      <c r="I26" s="1653" t="str">
        <f>IF(I24="","",INDEX(DIFFERENTIATION_UNMERGE_AREA,MATCH(I24,DIFFERENTIATION_ID_DIFF,0)))</f>
        <v/>
      </c>
      <c r="J26" s="2128"/>
      <c r="AF26" s="1632">
        <v>11</v>
      </c>
    </row>
    <row customHeight="1" ht="11.549999999999999">
      <c r="E27" s="712"/>
      <c r="F27" s="2368" t="s">
        <v>696</v>
      </c>
      <c r="G27" s="2369"/>
      <c r="H27" s="1653" t="str">
        <f>IF(H24="","",INDEX(DIFFERENTIATION_UNMERGE_SYSTEM,MATCH(H24,DIFFERENTIATION_ID_DIFF,0)))</f>
        <v/>
      </c>
      <c r="I27" s="1653" t="str">
        <f>IF(I24="","",INDEX(DIFFERENTIATION_UNMERGE_SYSTEM,MATCH(I24,DIFFERENTIATION_ID_DIFF,0)))</f>
        <v>без дифференциации</v>
      </c>
      <c r="J27" s="2128"/>
      <c r="AF27" s="1632">
        <v>11</v>
      </c>
    </row>
    <row customHeight="1" ht="11.549999999999999">
      <c r="E28" s="2370" t="s">
        <v>430</v>
      </c>
      <c r="F28" s="2371"/>
      <c r="G28" s="2371"/>
      <c r="H28" s="1646"/>
      <c r="I28" s="1646"/>
      <c r="J28" s="2128"/>
      <c r="AF28" s="1632">
        <v>11</v>
      </c>
    </row>
    <row customHeight="1" ht="24">
      <c r="E29" s="1647" t="s">
        <v>92</v>
      </c>
      <c r="F29" s="1654" t="s">
        <v>432</v>
      </c>
      <c r="G29" s="1654" t="s">
        <v>697</v>
      </c>
      <c r="H29" s="1654" t="s">
        <v>433</v>
      </c>
      <c r="I29" s="1654" t="s">
        <v>433</v>
      </c>
      <c r="J29" s="2128"/>
      <c r="AF29" s="1632">
        <v>23</v>
      </c>
    </row>
    <row customHeight="1" ht="19.95">
      <c r="D30" s="1639"/>
      <c r="E30" s="547">
        <f>FHD_NUM_P_1</f>
        <v>1</v>
      </c>
      <c r="F30" s="1881" t="str">
        <f>FHD_P_1</f>
        <v>Выручка от регулируемого вида деятельности с распределением по видам деятельности</v>
      </c>
      <c r="G30" s="1879" t="s">
        <v>683</v>
      </c>
      <c r="H30" s="558"/>
      <c r="I30" s="558"/>
      <c r="J30" s="290" t="str">
        <f>FHD_NOTE_P_1</f>
        <v>Указывается выручка от регулируемого вида деятельности с распределением по видам деятельности.</v>
      </c>
      <c r="K30" s="544"/>
      <c r="AF30" s="1632">
        <v>19</v>
      </c>
    </row>
    <row customHeight="1" ht="11.549999999999999">
      <c r="D31" s="1639"/>
      <c r="E31" s="547">
        <f>FHD_NUM_P_2</f>
        <v>2</v>
      </c>
      <c r="F31" s="1881" t="str">
        <f>FHD_P_2</f>
        <v>Себестоимость производимых товаров (оказываемых услуг) по регулируемому виду деятельности, включая:</v>
      </c>
      <c r="G31" s="1879" t="s">
        <v>683</v>
      </c>
      <c r="H31" s="559">
        <f>SUMIF($K33:$K71,$K31,H33:H71)</f>
        <v>0</v>
      </c>
      <c r="I31" s="559">
        <f>SUMIF($K33:$K71,$K31,I33:I71)</f>
        <v>0</v>
      </c>
      <c r="J31" s="290" t="str">
        <f>FHD_NOTE_P_2</f>
        <v>Указывается суммарная себестоимость производимых товаров.</v>
      </c>
      <c r="K31" s="1637" t="s">
        <v>698</v>
      </c>
      <c r="AF31" s="1632">
        <v>11</v>
      </c>
    </row>
    <row customHeight="1" ht="11.549999999999999">
      <c r="D32" s="1639"/>
      <c r="E32" s="547" t="str">
        <f>FHD_NUM_P_3</f>
        <v>2.1</v>
      </c>
      <c r="F32" s="1525" t="str">
        <f>FHD_P_3</f>
        <v>Расходы на приобретаемую тепловую энергию (мощность), теплоноситель</v>
      </c>
      <c r="G32" s="1879" t="s">
        <v>683</v>
      </c>
      <c r="H32" s="558"/>
      <c r="I32" s="558"/>
      <c r="J32" s="290" t="str">
        <f>FHD_NOTE_P_3</f>
        <v/>
      </c>
      <c r="K32" s="1637" t="str">
        <f>IF((LEN(E32)-LEN(SUBSTITUTE(E32,".","")))/LEN(".")=1,"p","")</f>
        <v>p</v>
      </c>
      <c r="AF32" s="1632">
        <v>11</v>
      </c>
    </row>
    <row customHeight="1" ht="11.25">
      <c r="A33" s="2372" t="s">
        <v>699</v>
      </c>
      <c r="D33" s="1639"/>
      <c r="E33" s="547" t="str">
        <f>FHD_NUM_P_4</f>
        <v>2.2</v>
      </c>
      <c r="F33" s="1525" t="str">
        <f>FHD_P_4</f>
        <v>Расходы на топливо с указанием по каждому виду топлива стоимости (за единицу объема), объема и способа его приобретения, стоимости его доставки</v>
      </c>
      <c r="G33" s="1879" t="s">
        <v>683</v>
      </c>
      <c r="H33" s="559">
        <f>SUMIF($F34:$F40,$F3,H34:H40)</f>
        <v>0</v>
      </c>
      <c r="I33" s="559">
        <f>SUMIF($F34:$F40,$F3,I34:I40)</f>
        <v>0</v>
      </c>
      <c r="J33" s="290" t="str">
        <f>FHD_NOTE_P_4</f>
        <v>Указываются суммарные расходы на приобретение топлива всех видов.</v>
      </c>
      <c r="K33" s="1637" t="str">
        <f>IF((LEN(E33)-LEN(SUBSTITUTE(E33,".","")))/LEN(".")=1,"p","")</f>
        <v>p</v>
      </c>
      <c r="AF33" s="1632">
        <v>0</v>
      </c>
    </row>
    <row s="1642" customFormat="1" customHeight="1" ht="0.75">
      <c r="A34" s="2372"/>
      <c r="B34" s="2373" t="str">
        <f>E33&amp;".0"</f>
        <v>2.2.0</v>
      </c>
      <c r="C34" s="1168"/>
      <c r="D34" s="561"/>
      <c r="E34" s="562"/>
      <c r="F34" s="563"/>
      <c r="G34" s="564"/>
      <c r="H34" s="498"/>
      <c r="I34" s="498"/>
      <c r="J34" s="565"/>
      <c r="K34" s="1637" t="str">
        <f>IF((LEN(E34)-LEN(SUBSTITUTE(E34,".","")))/LEN(".")=1,"p","")</f>
        <v/>
      </c>
      <c r="L34" s="1637"/>
      <c r="M34" s="1637"/>
      <c r="N34" s="1637"/>
      <c r="O34" s="1637"/>
      <c r="P34" s="1637"/>
      <c r="Q34" s="1637"/>
      <c r="R34" s="1637"/>
      <c r="S34" s="1637"/>
      <c r="T34" s="1637"/>
      <c r="U34" s="566"/>
      <c r="V34" s="1637"/>
      <c r="W34" s="1637"/>
      <c r="X34" s="1637"/>
      <c r="Y34" s="1637"/>
      <c r="Z34" s="1637"/>
      <c r="AA34" s="567"/>
      <c r="AB34" s="567"/>
      <c r="AC34" s="567"/>
      <c r="AD34" s="567"/>
      <c r="AE34" s="567"/>
      <c r="AF34" s="1642">
        <v>0</v>
      </c>
    </row>
    <row s="1642" customFormat="1" customHeight="1" ht="0.75">
      <c r="A35" s="2372"/>
      <c r="B35" s="2373"/>
      <c r="C35" s="1168"/>
      <c r="D35" s="561"/>
      <c r="E35" s="568"/>
      <c r="F35" s="569"/>
      <c r="G35" s="564"/>
      <c r="H35" s="570"/>
      <c r="I35" s="570"/>
      <c r="J35" s="565"/>
      <c r="K35" s="1637" t="str">
        <f>IF((LEN(E35)-LEN(SUBSTITUTE(E35,".","")))/LEN(".")=1,"p","")</f>
        <v/>
      </c>
      <c r="L35" s="1637"/>
      <c r="M35" s="1637"/>
      <c r="N35" s="1637"/>
      <c r="O35" s="1637"/>
      <c r="P35" s="1637"/>
      <c r="Q35" s="1637"/>
      <c r="R35" s="1637"/>
      <c r="S35" s="1637"/>
      <c r="T35" s="1637"/>
      <c r="U35" s="566"/>
      <c r="V35" s="1637"/>
      <c r="W35" s="1637"/>
      <c r="X35" s="1637"/>
      <c r="Y35" s="1637"/>
      <c r="Z35" s="1637"/>
      <c r="AA35" s="567"/>
      <c r="AB35" s="567"/>
      <c r="AC35" s="567"/>
      <c r="AD35" s="567"/>
      <c r="AE35" s="567"/>
      <c r="AF35" s="1642">
        <v>0</v>
      </c>
    </row>
    <row s="1642" customFormat="1" customHeight="1" ht="0.75">
      <c r="A36" s="2372"/>
      <c r="B36" s="2373"/>
      <c r="C36" s="1168"/>
      <c r="D36" s="561"/>
      <c r="E36" s="568"/>
      <c r="F36" s="569"/>
      <c r="G36" s="564"/>
      <c r="H36" s="570"/>
      <c r="I36" s="570"/>
      <c r="J36" s="565"/>
      <c r="K36" s="1637" t="str">
        <f>IF((LEN(E36)-LEN(SUBSTITUTE(E36,".","")))/LEN(".")=1,"p","")</f>
        <v/>
      </c>
      <c r="L36" s="1637"/>
      <c r="M36" s="1637"/>
      <c r="N36" s="1637"/>
      <c r="O36" s="1637"/>
      <c r="P36" s="1637"/>
      <c r="Q36" s="1637"/>
      <c r="R36" s="1637"/>
      <c r="S36" s="1637"/>
      <c r="T36" s="1637"/>
      <c r="U36" s="566"/>
      <c r="V36" s="1637"/>
      <c r="W36" s="1637"/>
      <c r="X36" s="1637"/>
      <c r="Y36" s="1637"/>
      <c r="Z36" s="1637"/>
      <c r="AA36" s="567"/>
      <c r="AB36" s="567"/>
      <c r="AC36" s="567"/>
      <c r="AD36" s="567"/>
      <c r="AE36" s="567"/>
      <c r="AF36" s="1642">
        <v>0</v>
      </c>
    </row>
    <row s="1642" customFormat="1" customHeight="1" ht="0.75">
      <c r="A37" s="2372"/>
      <c r="B37" s="2373"/>
      <c r="C37" s="1168"/>
      <c r="D37" s="561"/>
      <c r="E37" s="568"/>
      <c r="F37" s="569"/>
      <c r="G37" s="564"/>
      <c r="H37" s="570"/>
      <c r="I37" s="570"/>
      <c r="J37" s="565"/>
      <c r="K37" s="1637" t="str">
        <f>IF((LEN(E37)-LEN(SUBSTITUTE(E37,".","")))/LEN(".")=1,"p","")</f>
        <v/>
      </c>
      <c r="L37" s="1637"/>
      <c r="M37" s="1637"/>
      <c r="N37" s="1637"/>
      <c r="O37" s="1637"/>
      <c r="P37" s="1637"/>
      <c r="Q37" s="1637"/>
      <c r="R37" s="1637"/>
      <c r="S37" s="1637"/>
      <c r="T37" s="1637"/>
      <c r="U37" s="566"/>
      <c r="V37" s="1637"/>
      <c r="W37" s="1637"/>
      <c r="X37" s="1637"/>
      <c r="Y37" s="1637"/>
      <c r="Z37" s="1637"/>
      <c r="AA37" s="567"/>
      <c r="AB37" s="567"/>
      <c r="AC37" s="567"/>
      <c r="AD37" s="567"/>
      <c r="AE37" s="567"/>
      <c r="AF37" s="1642">
        <v>0</v>
      </c>
    </row>
    <row s="1642" customFormat="1" customHeight="1" ht="0.75">
      <c r="A38" s="2372"/>
      <c r="B38" s="2373"/>
      <c r="C38" s="1168"/>
      <c r="D38" s="561"/>
      <c r="E38" s="568"/>
      <c r="F38" s="569"/>
      <c r="G38" s="564"/>
      <c r="H38" s="570"/>
      <c r="I38" s="570"/>
      <c r="J38" s="565"/>
      <c r="K38" s="1637" t="str">
        <f>IF((LEN(E38)-LEN(SUBSTITUTE(E38,".","")))/LEN(".")=1,"p","")</f>
        <v/>
      </c>
      <c r="L38" s="1637"/>
      <c r="M38" s="1637"/>
      <c r="N38" s="1637"/>
      <c r="O38" s="1637"/>
      <c r="P38" s="1637"/>
      <c r="Q38" s="1637"/>
      <c r="R38" s="1637"/>
      <c r="S38" s="1637"/>
      <c r="T38" s="1637"/>
      <c r="U38" s="566"/>
      <c r="V38" s="1637"/>
      <c r="W38" s="1637"/>
      <c r="X38" s="1637"/>
      <c r="Y38" s="1637"/>
      <c r="Z38" s="1637"/>
      <c r="AA38" s="567"/>
      <c r="AB38" s="567"/>
      <c r="AC38" s="567"/>
      <c r="AD38" s="567"/>
      <c r="AE38" s="567"/>
      <c r="AF38" s="1642">
        <v>0</v>
      </c>
    </row>
    <row s="1642" customFormat="1" customHeight="1" ht="0.75">
      <c r="A39" s="2372"/>
      <c r="B39" s="2373"/>
      <c r="C39" s="1168"/>
      <c r="D39" s="561"/>
      <c r="E39" s="568"/>
      <c r="F39" s="569"/>
      <c r="G39" s="564"/>
      <c r="H39" s="498"/>
      <c r="I39" s="498"/>
      <c r="J39" s="565"/>
      <c r="K39" s="1637" t="str">
        <f>IF((LEN(E39)-LEN(SUBSTITUTE(E39,".","")))/LEN(".")=1,"p","")</f>
        <v/>
      </c>
      <c r="L39" s="1637"/>
      <c r="M39" s="1637"/>
      <c r="N39" s="1637"/>
      <c r="O39" s="1637"/>
      <c r="P39" s="1637"/>
      <c r="Q39" s="1637"/>
      <c r="R39" s="1637"/>
      <c r="S39" s="1637"/>
      <c r="T39" s="1637"/>
      <c r="U39" s="566"/>
      <c r="V39" s="1637"/>
      <c r="W39" s="1637"/>
      <c r="X39" s="1637"/>
      <c r="Y39" s="1637"/>
      <c r="Z39" s="1637"/>
      <c r="AA39" s="567"/>
      <c r="AB39" s="567"/>
      <c r="AC39" s="567"/>
      <c r="AD39" s="567"/>
      <c r="AE39" s="567"/>
      <c r="AF39" s="1642">
        <v>0</v>
      </c>
    </row>
    <row s="1367" customFormat="1" customHeight="1" ht="15">
      <c r="A40" s="2372"/>
      <c r="C40" s="1637"/>
      <c r="D40" s="1634"/>
      <c r="E40" s="571"/>
      <c r="F40" s="572" t="s">
        <v>700</v>
      </c>
      <c r="G40" s="573"/>
      <c r="H40" s="574"/>
      <c r="I40" s="574"/>
      <c r="J40" s="302"/>
      <c r="K40" s="1637" t="str">
        <f>IF((LEN(E40)-LEN(SUBSTITUTE(E40,".","")))/LEN(".")=1,"p","")</f>
        <v/>
      </c>
      <c r="L40" s="1637"/>
      <c r="M40" s="1637"/>
      <c r="R40" s="1637"/>
      <c r="U40" s="545"/>
      <c r="AA40" s="1633"/>
      <c r="AB40" s="1633"/>
      <c r="AC40" s="1633"/>
      <c r="AD40" s="1633"/>
      <c r="AE40" s="1633"/>
      <c r="AF40" s="1161">
        <v>0</v>
      </c>
    </row>
    <row customHeight="1" ht="11.25" hidden="1">
      <c r="A41" s="2372" t="s">
        <v>701</v>
      </c>
      <c r="D41" s="1639"/>
      <c r="E41" s="547" t="str">
        <f>FHD_NUM_P_5</f>
        <v/>
      </c>
      <c r="F41" s="1525" t="str">
        <f>FHD_P_5</f>
        <v/>
      </c>
      <c r="G41" s="1879" t="s">
        <v>683</v>
      </c>
      <c r="H41" s="558"/>
      <c r="I41" s="558"/>
      <c r="J41" s="290" t="str">
        <f>FHD_NOTE_P_5</f>
        <v/>
      </c>
      <c r="K41" s="1637" t="str">
        <f>IF((LEN(E41)-LEN(SUBSTITUTE(E41,".","")))/LEN(".")=1,"p","")</f>
        <v/>
      </c>
      <c r="AF41" s="1632">
        <v>0</v>
      </c>
    </row>
    <row customHeight="1" ht="11.25" hidden="1">
      <c r="A42" s="2372"/>
      <c r="D42" s="1639"/>
      <c r="E42" s="547" t="str">
        <f>FHD_NUM_P_6</f>
        <v/>
      </c>
      <c r="F42" s="1525" t="str">
        <f>FHD_P_6</f>
        <v/>
      </c>
      <c r="G42" s="1879" t="s">
        <v>683</v>
      </c>
      <c r="H42" s="558"/>
      <c r="I42" s="558"/>
      <c r="J42" s="290" t="str">
        <f>FHD_NOTE_P_6</f>
        <v/>
      </c>
      <c r="K42" s="1637" t="str">
        <f>IF((LEN(E42)-LEN(SUBSTITUTE(E42,".","")))/LEN(".")=1,"p","")</f>
        <v/>
      </c>
      <c r="AF42" s="1632">
        <v>0</v>
      </c>
    </row>
    <row customHeight="1" ht="11.25" hidden="1">
      <c r="A43" s="2372"/>
      <c r="D43" s="1639"/>
      <c r="E43" s="547" t="str">
        <f>FHD_NUM_P_7</f>
        <v/>
      </c>
      <c r="F43" s="1525" t="str">
        <f>FHD_P_7</f>
        <v/>
      </c>
      <c r="G43" s="1879" t="s">
        <v>683</v>
      </c>
      <c r="H43" s="558"/>
      <c r="I43" s="558"/>
      <c r="J43" s="290" t="str">
        <f>FHD_NOTE_P_7</f>
        <v/>
      </c>
      <c r="K43" s="1637" t="str">
        <f>IF((LEN(E43)-LEN(SUBSTITUTE(E43,".","")))/LEN(".")=1,"p","")</f>
        <v/>
      </c>
      <c r="AF43" s="1632">
        <v>0</v>
      </c>
    </row>
    <row customHeight="1" ht="11.549999999999999">
      <c r="D44" s="1639"/>
      <c r="E44" s="547" t="str">
        <f>FHD_NUM_P_8</f>
        <v>2.3</v>
      </c>
      <c r="F44" s="1525" t="str">
        <f>FHD_P_8</f>
        <v>Расходы на приобретаемую электрическую энергию (мощность), используемую в технологическом процессе</v>
      </c>
      <c r="G44" s="1879" t="s">
        <v>683</v>
      </c>
      <c r="H44" s="558"/>
      <c r="I44" s="558"/>
      <c r="J44" s="290" t="str">
        <f>FHD_NOTE_P_8</f>
        <v/>
      </c>
      <c r="K44" s="1637" t="str">
        <f>IF((LEN(E44)-LEN(SUBSTITUTE(E44,".","")))/LEN(".")=1,"p","")</f>
        <v>p</v>
      </c>
      <c r="AF44" s="1632">
        <v>11</v>
      </c>
    </row>
    <row customHeight="1" ht="11.549999999999999">
      <c r="D45" s="1639"/>
      <c r="E45" s="547" t="str">
        <f>FHD_NUM_P_9</f>
        <v>2.3.1</v>
      </c>
      <c r="F45" s="1651" t="str">
        <f>FHD_P_9</f>
        <v>Средневзвешенная стоимость 1 кВт.ч</v>
      </c>
      <c r="G45" s="1879" t="s">
        <v>702</v>
      </c>
      <c r="H45" s="558"/>
      <c r="I45" s="558"/>
      <c r="J45" s="290" t="str">
        <f>FHD_NOTE_P_9</f>
        <v/>
      </c>
      <c r="K45" s="1637" t="str">
        <f>IF((LEN(E45)-LEN(SUBSTITUTE(E45,".","")))/LEN(".")=1,"p","")</f>
        <v/>
      </c>
      <c r="AF45" s="1632">
        <v>11</v>
      </c>
    </row>
    <row s="1367" customFormat="1" customHeight="1" ht="11.549999999999999">
      <c r="A46" s="988"/>
      <c r="C46" s="1637"/>
      <c r="D46" s="575"/>
      <c r="E46" s="547" t="str">
        <f>FHD_NUM_P_10</f>
        <v>2.3.2</v>
      </c>
      <c r="F46" s="1651" t="str">
        <f>FHD_P_10</f>
        <v>Объём приобретения электрической энергии</v>
      </c>
      <c r="G46" s="1879" t="s">
        <v>703</v>
      </c>
      <c r="H46" s="558"/>
      <c r="I46" s="558"/>
      <c r="J46" s="290" t="str">
        <f>FHD_NOTE_P_10</f>
        <v/>
      </c>
      <c r="K46" s="1637" t="str">
        <f>IF((LEN(E46)-LEN(SUBSTITUTE(E46,".","")))/LEN(".")=1,"p","")</f>
        <v/>
      </c>
      <c r="L46" s="1637"/>
      <c r="M46" s="1637"/>
      <c r="R46" s="1637"/>
      <c r="U46" s="545"/>
      <c r="AA46" s="1633"/>
      <c r="AB46" s="1633"/>
      <c r="AC46" s="1633"/>
      <c r="AD46" s="1633"/>
      <c r="AE46" s="1633"/>
      <c r="AF46" s="1161">
        <v>11</v>
      </c>
    </row>
    <row s="1367" customFormat="1" customHeight="1" ht="11.25">
      <c r="A47" s="990" t="s">
        <v>704</v>
      </c>
      <c r="C47" s="1637"/>
      <c r="D47" s="576"/>
      <c r="E47" s="547" t="str">
        <f>FHD_NUM_P_11</f>
        <v>2.4</v>
      </c>
      <c r="F47" s="1525" t="str">
        <f>FHD_P_11</f>
        <v>Расходы на приобретение холодной воды, используемой в технологическом процессе</v>
      </c>
      <c r="G47" s="1879" t="s">
        <v>683</v>
      </c>
      <c r="H47" s="558"/>
      <c r="I47" s="558"/>
      <c r="J47" s="290" t="str">
        <f>FHD_NOTE_P_11</f>
        <v/>
      </c>
      <c r="K47" s="1637" t="str">
        <f>IF((LEN(E47)-LEN(SUBSTITUTE(E47,".","")))/LEN(".")=1,"p","")</f>
        <v>p</v>
      </c>
      <c r="L47" s="1637"/>
      <c r="M47" s="1637"/>
      <c r="R47" s="1637"/>
      <c r="U47" s="545"/>
      <c r="AA47" s="1633"/>
      <c r="AB47" s="1633"/>
      <c r="AC47" s="1633"/>
      <c r="AD47" s="1633"/>
      <c r="AE47" s="1633"/>
      <c r="AF47" s="1161">
        <v>0</v>
      </c>
    </row>
    <row s="1367" customFormat="1" customHeight="1" ht="18.75">
      <c r="A48" s="990" t="s">
        <v>705</v>
      </c>
      <c r="C48" s="1637"/>
      <c r="D48" s="1639"/>
      <c r="E48" s="547" t="str">
        <f>FHD_NUM_P_12</f>
        <v>2.5</v>
      </c>
      <c r="F48" s="1525" t="str">
        <f>FHD_P_12</f>
        <v>Расходы на  хим. реагенты, используемые в технологическом процессе</v>
      </c>
      <c r="G48" s="1879" t="s">
        <v>683</v>
      </c>
      <c r="H48" s="578"/>
      <c r="I48" s="578"/>
      <c r="J48" s="290" t="str">
        <f>FHD_NOTE_P_12</f>
        <v/>
      </c>
      <c r="K48" s="1637" t="str">
        <f>IF((LEN(E48)-LEN(SUBSTITUTE(E48,".","")))/LEN(".")=1,"p","")</f>
        <v>p</v>
      </c>
      <c r="L48" s="1637"/>
      <c r="M48" s="1637"/>
      <c r="R48" s="1637"/>
      <c r="U48" s="545"/>
      <c r="AA48" s="1633"/>
      <c r="AB48" s="1633"/>
      <c r="AC48" s="1633"/>
      <c r="AD48" s="1633"/>
      <c r="AE48" s="1633"/>
      <c r="AF48" s="1161">
        <v>18</v>
      </c>
    </row>
    <row s="1366" customFormat="1" customHeight="1" ht="11.549999999999999">
      <c r="A49" s="989"/>
      <c r="C49" s="731"/>
      <c r="D49" s="674"/>
      <c r="E49" s="547" t="str">
        <f>FHD_NUM_P_13</f>
        <v>2.6</v>
      </c>
      <c r="F49" s="1525" t="str">
        <f>FHD_P_13</f>
        <v>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v>
      </c>
      <c r="G49" s="1879" t="s">
        <v>683</v>
      </c>
      <c r="H49" s="558"/>
      <c r="I49" s="558"/>
      <c r="J49" s="290" t="str">
        <f>FHD_NOTE_P_13</f>
        <v/>
      </c>
      <c r="K49" s="1637" t="str">
        <f>IF((LEN(E49)-LEN(SUBSTITUTE(E49,".","")))/LEN(".")=1,"p","")</f>
        <v>p</v>
      </c>
      <c r="L49" s="731"/>
      <c r="M49" s="731"/>
      <c r="R49" s="731"/>
      <c r="U49" s="732"/>
      <c r="AA49" s="733"/>
      <c r="AB49" s="733"/>
      <c r="AC49" s="733"/>
      <c r="AD49" s="733"/>
      <c r="AE49" s="733"/>
      <c r="AF49" s="730">
        <v>11</v>
      </c>
    </row>
    <row s="1366" customFormat="1" customHeight="1" ht="11.549999999999999">
      <c r="A50" s="989"/>
      <c r="C50" s="731"/>
      <c r="D50" s="674"/>
      <c r="E50" s="547" t="str">
        <f>FHD_NUM_P_14</f>
        <v>2.6.1</v>
      </c>
      <c r="F50" s="1651" t="str">
        <f>FHD_P_14</f>
        <v>Расходы на оплату труда основного производственного персонала</v>
      </c>
      <c r="G50" s="1879" t="s">
        <v>683</v>
      </c>
      <c r="H50" s="558"/>
      <c r="I50" s="558"/>
      <c r="J50" s="290" t="str">
        <f>FHD_NOTE_P_14</f>
        <v/>
      </c>
      <c r="K50" s="1637" t="str">
        <f>IF((LEN(E50)-LEN(SUBSTITUTE(E50,".","")))/LEN(".")=1,"p","")</f>
        <v/>
      </c>
      <c r="L50" s="731"/>
      <c r="M50" s="731"/>
      <c r="R50" s="731"/>
      <c r="U50" s="732"/>
      <c r="AA50" s="733"/>
      <c r="AB50" s="733"/>
      <c r="AC50" s="733"/>
      <c r="AD50" s="733"/>
      <c r="AE50" s="733"/>
      <c r="AF50" s="730">
        <v>11</v>
      </c>
    </row>
    <row s="1366" customFormat="1" customHeight="1" ht="11.549999999999999">
      <c r="A51" s="989"/>
      <c r="C51" s="731"/>
      <c r="D51" s="674"/>
      <c r="E51" s="547" t="str">
        <f>FHD_NUM_P_15</f>
        <v>2.6.2</v>
      </c>
      <c r="F51" s="1651" t="str">
        <f>FHD_P_15</f>
        <v>Расходы на страховые взносы на обязательное социальное страхование, выплачиваемые из фонда оплаты труда основного производственного персонала</v>
      </c>
      <c r="G51" s="1879" t="s">
        <v>683</v>
      </c>
      <c r="H51" s="558"/>
      <c r="I51" s="558"/>
      <c r="J51" s="290" t="str">
        <f>FHD_NOTE_P_15</f>
        <v/>
      </c>
      <c r="K51" s="1637" t="str">
        <f>IF((LEN(E51)-LEN(SUBSTITUTE(E51,".","")))/LEN(".")=1,"p","")</f>
        <v/>
      </c>
      <c r="L51" s="731"/>
      <c r="M51" s="731"/>
      <c r="R51" s="731"/>
      <c r="U51" s="732"/>
      <c r="AA51" s="733"/>
      <c r="AB51" s="733"/>
      <c r="AC51" s="733"/>
      <c r="AD51" s="733"/>
      <c r="AE51" s="733"/>
      <c r="AF51" s="730">
        <v>11</v>
      </c>
    </row>
    <row s="1367" customFormat="1" customHeight="1" ht="11.549999999999999">
      <c r="A52" s="988"/>
      <c r="C52" s="1637"/>
      <c r="D52" s="1639"/>
      <c r="E52" s="547" t="str">
        <f>FHD_NUM_P_16</f>
        <v>2.7</v>
      </c>
      <c r="F52" s="1525" t="str">
        <f>FHD_P_16</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v>
      </c>
      <c r="G52" s="1879" t="s">
        <v>683</v>
      </c>
      <c r="H52" s="558"/>
      <c r="I52" s="558"/>
      <c r="J52" s="290" t="str">
        <f>FHD_NOTE_P_16</f>
        <v/>
      </c>
      <c r="K52" s="1637" t="str">
        <f>IF((LEN(E52)-LEN(SUBSTITUTE(E52,".","")))/LEN(".")=1,"p","")</f>
        <v>p</v>
      </c>
      <c r="L52" s="1637"/>
      <c r="M52" s="1643"/>
      <c r="N52" s="538"/>
      <c r="O52" s="538"/>
      <c r="R52" s="1637"/>
      <c r="U52" s="545"/>
      <c r="AA52" s="1633"/>
      <c r="AB52" s="1633"/>
      <c r="AC52" s="1633"/>
      <c r="AD52" s="1633"/>
      <c r="AE52" s="1633"/>
      <c r="AF52" s="1161">
        <v>11</v>
      </c>
    </row>
    <row s="1367" customFormat="1" customHeight="1" ht="11.549999999999999">
      <c r="A53" s="988"/>
      <c r="C53" s="1637"/>
      <c r="D53" s="1639"/>
      <c r="E53" s="547" t="str">
        <f>FHD_NUM_P_17</f>
        <v>2.7.1</v>
      </c>
      <c r="F53" s="1651" t="str">
        <f>FHD_P_17</f>
        <v>Расходы на оплату труда административно-управленческого персонала</v>
      </c>
      <c r="G53" s="1879" t="s">
        <v>683</v>
      </c>
      <c r="H53" s="558"/>
      <c r="I53" s="558"/>
      <c r="J53" s="290" t="str">
        <f>FHD_NOTE_P_17</f>
        <v/>
      </c>
      <c r="K53" s="1637" t="str">
        <f>IF((LEN(E53)-LEN(SUBSTITUTE(E53,".","")))/LEN(".")=1,"p","")</f>
        <v/>
      </c>
      <c r="L53" s="1637"/>
      <c r="M53" s="1643"/>
      <c r="N53" s="538"/>
      <c r="O53" s="538"/>
      <c r="R53" s="1637"/>
      <c r="U53" s="545"/>
      <c r="AA53" s="1633"/>
      <c r="AB53" s="1633"/>
      <c r="AC53" s="1633"/>
      <c r="AD53" s="1633"/>
      <c r="AE53" s="1633"/>
      <c r="AF53" s="1161">
        <v>11</v>
      </c>
    </row>
    <row s="1367" customFormat="1" customHeight="1" ht="11.549999999999999">
      <c r="A54" s="988"/>
      <c r="C54" s="1637"/>
      <c r="D54" s="1639"/>
      <c r="E54" s="547" t="str">
        <f>FHD_NUM_P_18</f>
        <v>2.7.2</v>
      </c>
      <c r="F54" s="1651" t="str">
        <f>FHD_P_18</f>
        <v>Расходы на страховые взносы на обязательное социальное страхование, выплачиваемые из фонда оплаты труда административно-управленческого персонала</v>
      </c>
      <c r="G54" s="1879" t="s">
        <v>683</v>
      </c>
      <c r="H54" s="558"/>
      <c r="I54" s="558"/>
      <c r="J54" s="290" t="str">
        <f>FHD_NOTE_P_18</f>
        <v/>
      </c>
      <c r="K54" s="1637" t="str">
        <f>IF((LEN(E54)-LEN(SUBSTITUTE(E54,".","")))/LEN(".")=1,"p","")</f>
        <v/>
      </c>
      <c r="L54" s="1637"/>
      <c r="M54" s="1643"/>
      <c r="N54" s="538"/>
      <c r="O54" s="538"/>
      <c r="R54" s="1637"/>
      <c r="U54" s="545"/>
      <c r="AA54" s="1633"/>
      <c r="AB54" s="1633"/>
      <c r="AC54" s="1633"/>
      <c r="AD54" s="1633"/>
      <c r="AE54" s="1633"/>
      <c r="AF54" s="1161">
        <v>11</v>
      </c>
    </row>
    <row s="1367" customFormat="1" customHeight="1" ht="11.549999999999999">
      <c r="A55" s="988"/>
      <c r="C55" s="1637"/>
      <c r="D55" s="576"/>
      <c r="E55" s="547" t="str">
        <f>FHD_NUM_P_19</f>
        <v>2.8</v>
      </c>
      <c r="F55" s="1525" t="str">
        <f>FHD_P_19</f>
        <v>Расходы на амортизацию основных средств и нематериальных активов</v>
      </c>
      <c r="G55" s="1879" t="s">
        <v>683</v>
      </c>
      <c r="H55" s="558"/>
      <c r="I55" s="558"/>
      <c r="J55" s="290" t="str">
        <f>FHD_NOTE_P_19</f>
        <v/>
      </c>
      <c r="K55" s="1637" t="str">
        <f>IF((LEN(E55)-LEN(SUBSTITUTE(E55,".","")))/LEN(".")=1,"p","")</f>
        <v>p</v>
      </c>
      <c r="L55" s="1637"/>
      <c r="M55" s="1637"/>
      <c r="R55" s="1637"/>
      <c r="U55" s="545"/>
      <c r="AA55" s="1633"/>
      <c r="AB55" s="1633"/>
      <c r="AC55" s="1633"/>
      <c r="AD55" s="1633"/>
      <c r="AE55" s="1633"/>
      <c r="AF55" s="1161">
        <v>11</v>
      </c>
    </row>
    <row s="1367" customFormat="1" customHeight="1" ht="11.549999999999999">
      <c r="A56" s="988"/>
      <c r="C56" s="1637"/>
      <c r="D56" s="576"/>
      <c r="E56" s="547" t="str">
        <f>FHD_NUM_P_20</f>
        <v>2.8.1</v>
      </c>
      <c r="F56" s="1651" t="str">
        <f>FHD_P_20</f>
        <v>Расходы на амортизацию основных средств</v>
      </c>
      <c r="G56" s="1879" t="s">
        <v>683</v>
      </c>
      <c r="H56" s="558"/>
      <c r="I56" s="558"/>
      <c r="J56" s="290" t="str">
        <f>FHD_NOTE_P_20</f>
        <v/>
      </c>
      <c r="K56" s="1637" t="str">
        <f>IF((LEN(E56)-LEN(SUBSTITUTE(E56,".","")))/LEN(".")=1,"p","")</f>
        <v/>
      </c>
      <c r="L56" s="1637"/>
      <c r="M56" s="1637"/>
      <c r="R56" s="1637"/>
      <c r="U56" s="545"/>
      <c r="AA56" s="1633"/>
      <c r="AB56" s="1633"/>
      <c r="AC56" s="1633"/>
      <c r="AD56" s="1633"/>
      <c r="AE56" s="1633"/>
      <c r="AF56" s="1161">
        <v>11</v>
      </c>
    </row>
    <row s="1367" customFormat="1" customHeight="1" ht="11.549999999999999">
      <c r="A57" s="988"/>
      <c r="C57" s="1637"/>
      <c r="D57" s="576"/>
      <c r="E57" s="547" t="str">
        <f>FHD_NUM_P_21</f>
        <v>2.8.2</v>
      </c>
      <c r="F57" s="1651" t="str">
        <f>FHD_P_21</f>
        <v>Расходы на амортизацию нематериальных активов</v>
      </c>
      <c r="G57" s="1879" t="s">
        <v>683</v>
      </c>
      <c r="H57" s="558"/>
      <c r="I57" s="558"/>
      <c r="J57" s="290" t="str">
        <f>FHD_NOTE_P_21</f>
        <v/>
      </c>
      <c r="K57" s="1637" t="str">
        <f>IF((LEN(E57)-LEN(SUBSTITUTE(E57,".","")))/LEN(".")=1,"p","")</f>
        <v/>
      </c>
      <c r="L57" s="1637"/>
      <c r="M57" s="1637"/>
      <c r="R57" s="1637"/>
      <c r="U57" s="545"/>
      <c r="AA57" s="1633"/>
      <c r="AB57" s="1633"/>
      <c r="AC57" s="1633"/>
      <c r="AD57" s="1633"/>
      <c r="AE57" s="1633"/>
      <c r="AF57" s="1161">
        <v>11</v>
      </c>
    </row>
    <row s="1367" customFormat="1" customHeight="1" ht="11.549999999999999">
      <c r="A58" s="988"/>
      <c r="C58" s="1637"/>
      <c r="D58" s="1639"/>
      <c r="E58" s="547" t="str">
        <f>FHD_NUM_P_22</f>
        <v>2.9</v>
      </c>
      <c r="F58" s="1525" t="str">
        <f>FHD_P_22</f>
        <v>Расходы на аренду имущества, используемого для осуществления регулируемого вида деятельности</v>
      </c>
      <c r="G58" s="1879" t="s">
        <v>683</v>
      </c>
      <c r="H58" s="558"/>
      <c r="I58" s="558"/>
      <c r="J58" s="290" t="str">
        <f>FHD_NOTE_P_22</f>
        <v/>
      </c>
      <c r="K58" s="1637" t="str">
        <f>IF((LEN(E58)-LEN(SUBSTITUTE(E58,".","")))/LEN(".")=1,"p","")</f>
        <v>p</v>
      </c>
      <c r="L58" s="1637"/>
      <c r="M58" s="1637"/>
      <c r="R58" s="1637"/>
      <c r="U58" s="545"/>
      <c r="AA58" s="1633"/>
      <c r="AB58" s="1633"/>
      <c r="AC58" s="1633"/>
      <c r="AD58" s="1633"/>
      <c r="AE58" s="1633"/>
      <c r="AF58" s="1161">
        <v>11</v>
      </c>
    </row>
    <row s="1367" customFormat="1" customHeight="1" ht="11.549999999999999">
      <c r="A59" s="988"/>
      <c r="C59" s="1637"/>
      <c r="D59" s="576"/>
      <c r="E59" s="547" t="str">
        <f>FHD_NUM_P_23</f>
        <v>2.10</v>
      </c>
      <c r="F59" s="1525" t="str">
        <f>FHD_P_23</f>
        <v>Общепроизводственные расходы, в том числе:</v>
      </c>
      <c r="G59" s="1879" t="s">
        <v>683</v>
      </c>
      <c r="H59" s="558"/>
      <c r="I59" s="558"/>
      <c r="J59" s="290" t="str">
        <f>FHD_NOTE_P_23</f>
        <v>Указывается общая сумма общепроизводственных расходов.</v>
      </c>
      <c r="K59" s="1637" t="str">
        <f>IF((LEN(E59)-LEN(SUBSTITUTE(E59,".","")))/LEN(".")=1,"p","")</f>
        <v>p</v>
      </c>
      <c r="L59" s="1637"/>
      <c r="M59" s="1637"/>
      <c r="R59" s="1637"/>
      <c r="U59" s="545"/>
      <c r="AA59" s="1633"/>
      <c r="AB59" s="1633"/>
      <c r="AC59" s="1633"/>
      <c r="AD59" s="1633"/>
      <c r="AE59" s="1633"/>
      <c r="AF59" s="1161">
        <v>11</v>
      </c>
    </row>
    <row s="1367" customFormat="1" customHeight="1" ht="11.549999999999999">
      <c r="A60" s="988"/>
      <c r="C60" s="1637"/>
      <c r="D60" s="576"/>
      <c r="E60" s="547" t="str">
        <f>FHD_NUM_P_24</f>
        <v>2.10.1</v>
      </c>
      <c r="F60" s="1651" t="str">
        <f>FHD_P_24</f>
        <v>Расходы на текущий ремонт</v>
      </c>
      <c r="G60" s="1879" t="s">
        <v>683</v>
      </c>
      <c r="H60" s="558"/>
      <c r="I60" s="558"/>
      <c r="J60" s="290" t="str">
        <f>FHD_NOTE_P_24</f>
        <v>Указываются расходы на текущий ремонт, отнесенные к общепроизводственным расходам.</v>
      </c>
      <c r="K60" s="1637" t="str">
        <f>IF((LEN(E60)-LEN(SUBSTITUTE(E60,".","")))/LEN(".")=1,"p","")</f>
        <v/>
      </c>
      <c r="L60" s="1637"/>
      <c r="M60" s="1637"/>
      <c r="R60" s="1637"/>
      <c r="U60" s="545"/>
      <c r="AA60" s="1633"/>
      <c r="AB60" s="1633"/>
      <c r="AC60" s="1633"/>
      <c r="AD60" s="1633"/>
      <c r="AE60" s="1633"/>
      <c r="AF60" s="1161">
        <v>11</v>
      </c>
    </row>
    <row s="1367" customFormat="1" customHeight="1" ht="11.549999999999999">
      <c r="A61" s="988"/>
      <c r="C61" s="1637"/>
      <c r="D61" s="576"/>
      <c r="E61" s="547" t="str">
        <f>FHD_NUM_P_25</f>
        <v>2.10.2</v>
      </c>
      <c r="F61" s="1651" t="str">
        <f>FHD_P_25</f>
        <v>Расходы на капитальный ремонт</v>
      </c>
      <c r="G61" s="1879" t="s">
        <v>683</v>
      </c>
      <c r="H61" s="558"/>
      <c r="I61" s="558"/>
      <c r="J61" s="290" t="str">
        <f>FHD_NOTE_P_25</f>
        <v>Указываются расходы на капитальный ремонт, отнесенные к общепроизводственным расходам.</v>
      </c>
      <c r="K61" s="1637" t="str">
        <f>IF((LEN(E61)-LEN(SUBSTITUTE(E61,".","")))/LEN(".")=1,"p","")</f>
        <v/>
      </c>
      <c r="L61" s="1637"/>
      <c r="M61" s="1637"/>
      <c r="R61" s="1637"/>
      <c r="U61" s="545"/>
      <c r="AA61" s="1633"/>
      <c r="AB61" s="1633"/>
      <c r="AC61" s="1633"/>
      <c r="AD61" s="1633"/>
      <c r="AE61" s="1633"/>
      <c r="AF61" s="1161">
        <v>11</v>
      </c>
    </row>
    <row s="1367" customFormat="1" customHeight="1" ht="11.549999999999999">
      <c r="A62" s="988"/>
      <c r="C62" s="1637"/>
      <c r="D62" s="1639"/>
      <c r="E62" s="547" t="str">
        <f>FHD_NUM_P_26</f>
        <v>2.11</v>
      </c>
      <c r="F62" s="1525" t="str">
        <f>FHD_P_26</f>
        <v>Общехозяйственные расходы, в том числе:</v>
      </c>
      <c r="G62" s="1879" t="s">
        <v>683</v>
      </c>
      <c r="H62" s="558"/>
      <c r="I62" s="558"/>
      <c r="J62" s="290" t="str">
        <f>FHD_NOTE_P_26</f>
        <v>Указывается общая сумма общехозяйственных расходов.</v>
      </c>
      <c r="K62" s="1637" t="str">
        <f>IF((LEN(E62)-LEN(SUBSTITUTE(E62,".","")))/LEN(".")=1,"p","")</f>
        <v>p</v>
      </c>
      <c r="L62" s="1637"/>
      <c r="M62" s="1637"/>
      <c r="R62" s="1637"/>
      <c r="U62" s="545"/>
      <c r="AA62" s="1633"/>
      <c r="AB62" s="1633"/>
      <c r="AC62" s="1633"/>
      <c r="AD62" s="1633"/>
      <c r="AE62" s="1633"/>
      <c r="AF62" s="1161">
        <v>11</v>
      </c>
    </row>
    <row s="1367" customFormat="1" customHeight="1" ht="11.549999999999999">
      <c r="A63" s="988"/>
      <c r="C63" s="1637"/>
      <c r="D63" s="1639"/>
      <c r="E63" s="547" t="str">
        <f>FHD_NUM_P_27</f>
        <v>2.11.1</v>
      </c>
      <c r="F63" s="1651" t="str">
        <f>FHD_P_27</f>
        <v>Расходы на текущий ремонт</v>
      </c>
      <c r="G63" s="1879" t="s">
        <v>683</v>
      </c>
      <c r="H63" s="558"/>
      <c r="I63" s="558"/>
      <c r="J63" s="290" t="str">
        <f>FHD_NOTE_P_27</f>
        <v>Указываются расходы на текущий ремонт, отнесенные к общехозяйственным расходам.</v>
      </c>
      <c r="K63" s="1637" t="str">
        <f>IF((LEN(E63)-LEN(SUBSTITUTE(E63,".","")))/LEN(".")=1,"p","")</f>
        <v/>
      </c>
      <c r="L63" s="1637"/>
      <c r="M63" s="1637"/>
      <c r="R63" s="1637"/>
      <c r="U63" s="545"/>
      <c r="AA63" s="1633"/>
      <c r="AB63" s="1633"/>
      <c r="AC63" s="1633"/>
      <c r="AD63" s="1633"/>
      <c r="AE63" s="1633"/>
      <c r="AF63" s="1161">
        <v>11</v>
      </c>
    </row>
    <row s="1367" customFormat="1" customHeight="1" ht="11.549999999999999">
      <c r="A64" s="988"/>
      <c r="C64" s="1637"/>
      <c r="D64" s="1639"/>
      <c r="E64" s="547" t="str">
        <f>FHD_NUM_P_28</f>
        <v>2.11.2</v>
      </c>
      <c r="F64" s="1651" t="str">
        <f>FHD_P_28</f>
        <v>Расходы на капитальный ремонт</v>
      </c>
      <c r="G64" s="1879" t="s">
        <v>683</v>
      </c>
      <c r="H64" s="558"/>
      <c r="I64" s="558"/>
      <c r="J64" s="290" t="str">
        <f>FHD_NOTE_P_28</f>
        <v>Указываются расходы на капитальный ремонт, отнесенные к общехозяйственным расходам.</v>
      </c>
      <c r="K64" s="1637" t="str">
        <f>IF((LEN(E64)-LEN(SUBSTITUTE(E64,".","")))/LEN(".")=1,"p","")</f>
        <v/>
      </c>
      <c r="L64" s="1637"/>
      <c r="M64" s="1637"/>
      <c r="R64" s="1637"/>
      <c r="U64" s="545"/>
      <c r="AA64" s="1633"/>
      <c r="AB64" s="1633"/>
      <c r="AC64" s="1633"/>
      <c r="AD64" s="1633"/>
      <c r="AE64" s="1633"/>
      <c r="AF64" s="1161">
        <v>11</v>
      </c>
    </row>
    <row s="1367" customFormat="1" customHeight="1" ht="11.549999999999999">
      <c r="A65" s="988"/>
      <c r="C65" s="1637"/>
      <c r="D65" s="1639"/>
      <c r="E65" s="547" t="str">
        <f>FHD_NUM_P_29</f>
        <v>2.12</v>
      </c>
      <c r="F65" s="1525" t="str">
        <f>FHD_P_29</f>
        <v>Расходы на капитальный и текущий ремонт основных производственных средств</v>
      </c>
      <c r="G65" s="1879" t="s">
        <v>683</v>
      </c>
      <c r="H65" s="558"/>
      <c r="I65" s="558"/>
      <c r="J65" s="290" t="str">
        <f>FHD_NOTE_P_29</f>
        <v>Указывается информация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K65" s="1637" t="str">
        <f>IF((LEN(E65)-LEN(SUBSTITUTE(E65,".","")))/LEN(".")=1,"p","")</f>
        <v>p</v>
      </c>
      <c r="L65" s="1637"/>
      <c r="M65" s="1637"/>
      <c r="R65" s="1637"/>
      <c r="U65" s="545"/>
      <c r="AA65" s="1633"/>
      <c r="AB65" s="1633"/>
      <c r="AC65" s="1633"/>
      <c r="AD65" s="1633"/>
      <c r="AE65" s="1633"/>
      <c r="AF65" s="1161">
        <v>11</v>
      </c>
    </row>
    <row s="1367" customFormat="1" customHeight="1" ht="11.549999999999999">
      <c r="A66" s="988"/>
      <c r="C66" s="1637"/>
      <c r="D66" s="1639"/>
      <c r="E66" s="547" t="str">
        <f>FHD_NUM_P_30</f>
        <v>2.12.1</v>
      </c>
      <c r="F66" s="1651" t="str">
        <f>FHD_P_30</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G66" s="1879" t="s">
        <v>436</v>
      </c>
      <c r="H66" s="1650" t="s">
        <v>706</v>
      </c>
      <c r="I66" s="1650" t="s">
        <v>706</v>
      </c>
      <c r="J66" s="290" t="str">
        <f>FHD_NOTE_P_30</f>
        <v/>
      </c>
      <c r="K66" s="1637" t="str">
        <f>IF((LEN(E66)-LEN(SUBSTITUTE(E66,".","")))/LEN(".")=1,"p","")</f>
        <v/>
      </c>
      <c r="L66" s="1637">
        <f>_xlfn.IFERROR(MATCH("есть",B_FHD_FLAG_INDEX_1,0),0)</f>
        <v>0</v>
      </c>
      <c r="M66" s="1637"/>
      <c r="R66" s="1637"/>
      <c r="U66" s="545"/>
      <c r="AA66" s="1633"/>
      <c r="AB66" s="1633"/>
      <c r="AC66" s="1633"/>
      <c r="AD66" s="1633"/>
      <c r="AE66" s="1633"/>
      <c r="AF66" s="1161">
        <v>11</v>
      </c>
    </row>
    <row s="1367" customFormat="1" customHeight="1" ht="23.25" hidden="1">
      <c r="A67" s="2372" t="s">
        <v>707</v>
      </c>
      <c r="C67" s="1637"/>
      <c r="D67" s="1639"/>
      <c r="E67" s="547" t="str">
        <f>FHD_NUM_P_31</f>
        <v/>
      </c>
      <c r="F67" s="1525" t="str">
        <f>FHD_P_31</f>
        <v/>
      </c>
      <c r="G67" s="1879" t="s">
        <v>683</v>
      </c>
      <c r="H67" s="558"/>
      <c r="I67" s="558"/>
      <c r="J67" s="290" t="str">
        <f>FHD_NOTE_P_31</f>
        <v/>
      </c>
      <c r="K67" s="1637" t="str">
        <f>IF((LEN(E67)-LEN(SUBSTITUTE(E67,".","")))/LEN(".")=1,"p","")</f>
        <v/>
      </c>
      <c r="L67" s="1637"/>
      <c r="M67" s="1637"/>
      <c r="R67" s="1637"/>
      <c r="U67" s="545"/>
      <c r="AA67" s="1633"/>
      <c r="AB67" s="1633"/>
      <c r="AC67" s="1633"/>
      <c r="AD67" s="1633"/>
      <c r="AE67" s="1633"/>
      <c r="AF67" s="1161">
        <v>22</v>
      </c>
    </row>
    <row s="1367" customFormat="1" customHeight="1" ht="47.25" hidden="1">
      <c r="A68" s="2372"/>
      <c r="C68" s="1637"/>
      <c r="D68" s="1639"/>
      <c r="E68" s="547" t="str">
        <f>FHD_NUM_P_32</f>
        <v/>
      </c>
      <c r="F68" s="1651" t="str">
        <f>FHD_P_32</f>
        <v/>
      </c>
      <c r="G68" s="1879" t="s">
        <v>436</v>
      </c>
      <c r="H68" s="1650" t="s">
        <v>706</v>
      </c>
      <c r="I68" s="1650" t="s">
        <v>706</v>
      </c>
      <c r="J68" s="290" t="str">
        <f>FHD_NOTE_P_32</f>
        <v/>
      </c>
      <c r="K68" s="1637" t="str">
        <f>IF((LEN(E68)-LEN(SUBSTITUTE(E68,".","")))/LEN(".")=1,"p","")</f>
        <v/>
      </c>
      <c r="L68" s="1637">
        <f>_xlfn.IFERROR(MATCH("есть",B_FHD_FLAG_INDEX_2,0),0)</f>
        <v>0</v>
      </c>
      <c r="M68" s="1637"/>
      <c r="R68" s="1637"/>
      <c r="U68" s="545"/>
      <c r="AA68" s="1633"/>
      <c r="AB68" s="1633"/>
      <c r="AC68" s="1633"/>
      <c r="AD68" s="1633"/>
      <c r="AE68" s="1633"/>
      <c r="AF68" s="1161">
        <v>45</v>
      </c>
    </row>
    <row s="1367" customFormat="1" customHeight="1" ht="11.549999999999999">
      <c r="A69" s="988"/>
      <c r="C69" s="1637"/>
      <c r="D69" s="1639"/>
      <c r="E69" s="547" t="str">
        <f>FHD_NUM_P_33</f>
        <v>2.13</v>
      </c>
      <c r="F69" s="1525" t="str">
        <f>FHD_P_33</f>
        <v>Прочие расходы, которые подлежат отнесению на регулируемые виды деятельности в соответствии с законодательством Российской Федерации</v>
      </c>
      <c r="G69" s="1880" t="s">
        <v>683</v>
      </c>
      <c r="H69" s="580">
        <f>SUM(H70:H71)</f>
        <v>0</v>
      </c>
      <c r="I69" s="580">
        <f>SUM(I70:I71)</f>
        <v>0</v>
      </c>
      <c r="J69" s="290" t="str">
        <f>FHD_NOTE_P_33</f>
        <v>Указывается общая сумма прочих расходов, которые подлежат отнесению на регулируемые виды деятельности в соответствии с законодательством в сфере теплоснабжения.</v>
      </c>
      <c r="K69" s="1637" t="str">
        <f>IF((LEN(E69)-LEN(SUBSTITUTE(E69,".","")))/LEN(".")=1,"p","")</f>
        <v>p</v>
      </c>
      <c r="L69" s="1637"/>
      <c r="M69" s="1637"/>
      <c r="R69" s="1637"/>
      <c r="U69" s="545"/>
      <c r="AA69" s="1633"/>
      <c r="AB69" s="1633"/>
      <c r="AC69" s="1633"/>
      <c r="AD69" s="1633"/>
      <c r="AE69" s="1633"/>
      <c r="AF69" s="1161">
        <v>11</v>
      </c>
    </row>
    <row s="1643" customFormat="1" customHeight="1" ht="1.05">
      <c r="A70" s="1168"/>
      <c r="D70" s="549"/>
      <c r="E70" s="1014" t="str">
        <f>E69&amp;".0"</f>
        <v>2.13.0</v>
      </c>
      <c r="F70" s="992"/>
      <c r="G70" s="1014"/>
      <c r="H70" s="993"/>
      <c r="I70" s="993"/>
      <c r="J70" s="994"/>
      <c r="K70" s="1637" t="str">
        <f>IF((LEN(E70)-LEN(SUBSTITUTE(E70,".","")))/LEN(".")=1,"p","")</f>
        <v/>
      </c>
      <c r="AF70" s="1637">
        <v>1</v>
      </c>
    </row>
    <row s="1367" customFormat="1" customHeight="1" ht="14.699999999999998">
      <c r="A71" s="988"/>
      <c r="C71" s="1637"/>
      <c r="D71" s="1634"/>
      <c r="E71" s="571"/>
      <c r="F71" s="572" t="s">
        <v>708</v>
      </c>
      <c r="G71" s="573"/>
      <c r="H71" s="574"/>
      <c r="I71" s="574"/>
      <c r="J71" s="302"/>
      <c r="K71" s="1637"/>
      <c r="L71" s="1637"/>
      <c r="M71" s="1637"/>
      <c r="R71" s="1637"/>
      <c r="U71" s="545"/>
      <c r="AA71" s="1633"/>
      <c r="AB71" s="1633"/>
      <c r="AC71" s="1633"/>
      <c r="AD71" s="1633"/>
      <c r="AE71" s="1633"/>
      <c r="AF71" s="1161">
        <v>14</v>
      </c>
    </row>
    <row s="1367" customFormat="1" customHeight="1" ht="18.75">
      <c r="A72" s="990" t="s">
        <v>709</v>
      </c>
      <c r="C72" s="1637"/>
      <c r="D72" s="1639"/>
      <c r="E72" s="547" t="str">
        <f>FHD_NUM_P_34</f>
        <v>3</v>
      </c>
      <c r="F72" s="1881" t="str">
        <f>FHD_P_34</f>
        <v>Валовая прибыль (убытки) от реализации товаров и оказания услуг по регулируемому виду деятельности</v>
      </c>
      <c r="G72" s="1879" t="s">
        <v>683</v>
      </c>
      <c r="H72" s="558"/>
      <c r="I72" s="558"/>
      <c r="J72" s="290" t="str">
        <f>FHD_NOTE_P_34</f>
        <v/>
      </c>
      <c r="K72" s="544"/>
      <c r="L72" s="1637"/>
      <c r="M72" s="1637"/>
      <c r="R72" s="1637"/>
      <c r="U72" s="545"/>
      <c r="AA72" s="1633"/>
      <c r="AB72" s="1633"/>
      <c r="AC72" s="1633"/>
      <c r="AD72" s="1633"/>
      <c r="AE72" s="1633"/>
      <c r="AF72" s="1161">
        <v>0</v>
      </c>
    </row>
    <row s="1367" customFormat="1" customHeight="1" ht="19.95">
      <c r="A73" s="988"/>
      <c r="C73" s="1637"/>
      <c r="D73" s="576"/>
      <c r="E73" s="547" t="str">
        <f>FHD_NUM_P_35</f>
        <v>4</v>
      </c>
      <c r="F73" s="1881" t="str">
        <f>FHD_P_35</f>
        <v>Чистая прибыль, полученная от регулируемого вида деятельности, в том числе:</v>
      </c>
      <c r="G73" s="1879" t="s">
        <v>683</v>
      </c>
      <c r="H73" s="558"/>
      <c r="I73" s="558"/>
      <c r="J73" s="290" t="str">
        <f>FHD_NOTE_P_35</f>
        <v>Указывается общая сумма чистой прибыли, полученной от регулируемого вида деятельности.</v>
      </c>
      <c r="K73" s="544"/>
      <c r="L73" s="1637"/>
      <c r="M73" s="1637"/>
      <c r="R73" s="1637"/>
      <c r="U73" s="545"/>
      <c r="AA73" s="1633"/>
      <c r="AB73" s="1633"/>
      <c r="AC73" s="1633"/>
      <c r="AD73" s="1633"/>
      <c r="AE73" s="1633"/>
      <c r="AF73" s="1161">
        <v>19</v>
      </c>
    </row>
    <row s="1367" customFormat="1" customHeight="1" ht="19.95">
      <c r="A74" s="988"/>
      <c r="C74" s="1637"/>
      <c r="D74" s="1639"/>
      <c r="E74" s="547" t="str">
        <f>FHD_NUM_P_36</f>
        <v>4.1</v>
      </c>
      <c r="F74" s="1525" t="str">
        <f>FHD_P_36</f>
        <v>Размер расходования чистой прибыли на финансирование мероприятий, предусмотренных инвестиционной программой регулируемой организации</v>
      </c>
      <c r="G74" s="1879" t="s">
        <v>683</v>
      </c>
      <c r="H74" s="558"/>
      <c r="I74" s="558"/>
      <c r="J74" s="290" t="str">
        <f>FHD_NOTE_P_36</f>
        <v/>
      </c>
      <c r="K74" s="544"/>
      <c r="L74" s="1637"/>
      <c r="M74" s="1637"/>
      <c r="R74" s="1637"/>
      <c r="U74" s="545"/>
      <c r="AA74" s="1633"/>
      <c r="AB74" s="1633"/>
      <c r="AC74" s="1633"/>
      <c r="AD74" s="1633"/>
      <c r="AE74" s="1633"/>
      <c r="AF74" s="1161">
        <v>19</v>
      </c>
    </row>
    <row s="1367" customFormat="1" customHeight="1" ht="19.95">
      <c r="A75" s="988"/>
      <c r="C75" s="1637"/>
      <c r="D75" s="1639"/>
      <c r="E75" s="547" t="str">
        <f>FHD_NUM_P_37</f>
        <v>5</v>
      </c>
      <c r="F75" s="1881" t="str">
        <f>FHD_P_37</f>
        <v>Изменение стоимости основных фондов, в том числе:</v>
      </c>
      <c r="G75" s="1879" t="s">
        <v>683</v>
      </c>
      <c r="H75" s="558"/>
      <c r="I75" s="558"/>
      <c r="J75" s="290" t="str">
        <f>FHD_NOTE_P_37</f>
        <v>Указывается общее изменение стоимости основных фондов.</v>
      </c>
      <c r="K75" s="544"/>
      <c r="L75" s="1637"/>
      <c r="M75" s="1637"/>
      <c r="R75" s="1637"/>
      <c r="U75" s="545"/>
      <c r="AA75" s="1633"/>
      <c r="AB75" s="1633"/>
      <c r="AC75" s="1633"/>
      <c r="AD75" s="1633"/>
      <c r="AE75" s="1633"/>
      <c r="AF75" s="1161">
        <v>19</v>
      </c>
    </row>
    <row s="1367" customFormat="1" customHeight="1" ht="19.95">
      <c r="A76" s="988"/>
      <c r="C76" s="1637"/>
      <c r="D76" s="1639"/>
      <c r="E76" s="547" t="str">
        <f>FHD_NUM_P_38</f>
        <v>5.1</v>
      </c>
      <c r="F76" s="1525" t="str">
        <f>FHD_P_38</f>
        <v>за счет их ввода в эксплуатацию (вывода из эксплуатации)</v>
      </c>
      <c r="G76" s="1879" t="s">
        <v>683</v>
      </c>
      <c r="H76" s="558"/>
      <c r="I76" s="558"/>
      <c r="J76" s="290" t="str">
        <f>FHD_NOTE_P_38</f>
        <v>Указываются общее изменение стоимости основных фондов за счет их ввода в эксплуатацию и вывода из эксплуатации.</v>
      </c>
      <c r="K76" s="544"/>
      <c r="L76" s="1637"/>
      <c r="M76" s="1637"/>
      <c r="R76" s="1637"/>
      <c r="U76" s="545"/>
      <c r="AA76" s="1633"/>
      <c r="AB76" s="1633"/>
      <c r="AC76" s="1633"/>
      <c r="AD76" s="1633"/>
      <c r="AE76" s="1633"/>
      <c r="AF76" s="1161">
        <v>19</v>
      </c>
    </row>
    <row s="1367" customFormat="1" customHeight="1" ht="19.95">
      <c r="A77" s="988"/>
      <c r="C77" s="1637"/>
      <c r="D77" s="1639"/>
      <c r="E77" s="547" t="str">
        <f>FHD_NUM_P_39</f>
        <v>5.1.1</v>
      </c>
      <c r="F77" s="1651" t="str">
        <f>FHD_P_39</f>
        <v>за счет их ввода в эксплуатацию</v>
      </c>
      <c r="G77" s="2073" t="s">
        <v>683</v>
      </c>
      <c r="H77" s="558"/>
      <c r="I77" s="558"/>
      <c r="J77" s="290" t="str">
        <f>FHD_NOTE_P_39</f>
        <v>Указываются изменение стоимости основных фондов за счет их ввода в эксплуатацию.</v>
      </c>
      <c r="K77" s="544"/>
      <c r="L77" s="1637"/>
      <c r="M77" s="1637"/>
      <c r="R77" s="1637"/>
      <c r="U77" s="545"/>
      <c r="AA77" s="1633"/>
      <c r="AB77" s="1633"/>
      <c r="AC77" s="1633"/>
      <c r="AD77" s="1633"/>
      <c r="AE77" s="1633"/>
      <c r="AF77" s="1161">
        <v>19</v>
      </c>
    </row>
    <row s="1367" customFormat="1" customHeight="1" ht="19.95">
      <c r="A78" s="988"/>
      <c r="C78" s="1637"/>
      <c r="D78" s="1639"/>
      <c r="E78" s="547" t="str">
        <f>FHD_NUM_P_40</f>
        <v>5.1.2</v>
      </c>
      <c r="F78" s="2077" t="str">
        <f>FHD_P_40</f>
        <v>за счет их вывода в эксплуатацию</v>
      </c>
      <c r="G78" s="2072" t="s">
        <v>683</v>
      </c>
      <c r="H78" s="977"/>
      <c r="I78" s="558"/>
      <c r="J78" s="290" t="str">
        <f>FHD_NOTE_P_40</f>
        <v>Указываются изменение стоимости основных фондов за счет их вывода из эксплуатации.</v>
      </c>
      <c r="K78" s="544"/>
      <c r="L78" s="1637"/>
      <c r="M78" s="1637"/>
      <c r="R78" s="1637"/>
      <c r="U78" s="545"/>
      <c r="AA78" s="1633"/>
      <c r="AB78" s="1633"/>
      <c r="AC78" s="1633"/>
      <c r="AD78" s="1633"/>
      <c r="AE78" s="1633"/>
      <c r="AF78" s="1161">
        <v>19</v>
      </c>
    </row>
    <row s="1367" customFormat="1" customHeight="1" ht="19.95">
      <c r="A79" s="988"/>
      <c r="C79" s="1637"/>
      <c r="D79" s="1639"/>
      <c r="E79" s="547" t="str">
        <f>FHD_NUM_P_41</f>
        <v>5.2</v>
      </c>
      <c r="F79" s="2076" t="str">
        <f>FHD_P_41</f>
        <v>за счет их переоценки</v>
      </c>
      <c r="G79" s="2072" t="s">
        <v>683</v>
      </c>
      <c r="H79" s="977"/>
      <c r="I79" s="558"/>
      <c r="J79" s="290" t="str">
        <f>FHD_NOTE_P_41</f>
        <v/>
      </c>
      <c r="K79" s="544"/>
      <c r="L79" s="1637"/>
      <c r="M79" s="1637"/>
      <c r="R79" s="1637"/>
      <c r="U79" s="545"/>
      <c r="AA79" s="1633"/>
      <c r="AB79" s="1633"/>
      <c r="AC79" s="1633"/>
      <c r="AD79" s="1633"/>
      <c r="AE79" s="1633"/>
      <c r="AF79" s="1161">
        <v>19</v>
      </c>
    </row>
    <row s="1367" customFormat="1" customHeight="1" ht="20.25" hidden="1">
      <c r="A80" s="990" t="s">
        <v>710</v>
      </c>
      <c r="C80" s="1637"/>
      <c r="D80" s="1639"/>
      <c r="E80" s="547" t="str">
        <f>FHD_NUM_P_42</f>
        <v/>
      </c>
      <c r="F80" s="2074" t="str">
        <f>FHD_P_42</f>
        <v/>
      </c>
      <c r="G80" s="2072" t="s">
        <v>683</v>
      </c>
      <c r="H80" s="977"/>
      <c r="I80" s="558"/>
      <c r="J80" s="290" t="str">
        <f>FHD_NOTE_P_42</f>
        <v/>
      </c>
      <c r="K80" s="544"/>
      <c r="L80" s="1637"/>
      <c r="M80" s="1637"/>
      <c r="R80" s="1637"/>
      <c r="U80" s="545"/>
      <c r="AA80" s="1633"/>
      <c r="AB80" s="1633"/>
      <c r="AC80" s="1633"/>
      <c r="AD80" s="1633"/>
      <c r="AE80" s="1633"/>
      <c r="AF80" s="1161">
        <v>19</v>
      </c>
    </row>
    <row s="1367" customFormat="1" customHeight="1" ht="19.95">
      <c r="A81" s="988"/>
      <c r="C81" s="1637"/>
      <c r="D81" s="1639"/>
      <c r="E81" s="547" t="str">
        <f>FHD_NUM_P_43</f>
        <v>6</v>
      </c>
      <c r="F81" s="1881" t="str">
        <f>FHD_P_43</f>
        <v>Годовая бухгалтерская (финансовая) отчетность, включая бухгалтерский баланс и приложения к нему</v>
      </c>
      <c r="G81" s="2075" t="s">
        <v>436</v>
      </c>
      <c r="H81" s="1056"/>
      <c r="I81" s="819"/>
      <c r="J81" s="290" t="str">
        <f>FHD_NOTE_P_43</f>
        <v>Указывается ссылка на документ, предварительно загруженный в хранилище файлов ФГИС ЕИАС.
Регулируемыми организациями информация раскрывается в случае, если выручка от регулируемых видов деятельности превышает 80 процентов совокупной выручки за отчетный год.</v>
      </c>
      <c r="K81" s="544"/>
      <c r="L81" s="1637"/>
      <c r="M81" s="1637"/>
      <c r="R81" s="1637"/>
      <c r="U81" s="545"/>
      <c r="AA81" s="1633"/>
      <c r="AB81" s="1633"/>
      <c r="AC81" s="1633"/>
      <c r="AD81" s="1633"/>
      <c r="AE81" s="1633"/>
      <c r="AF81" s="1161">
        <v>19</v>
      </c>
    </row>
    <row s="1367" customFormat="1" customHeight="1" ht="18.75" hidden="1">
      <c r="A82" s="2372" t="s">
        <v>711</v>
      </c>
      <c r="C82" s="736"/>
      <c r="D82" s="734"/>
      <c r="E82" s="547" t="str">
        <f>FHD_NUM_P_44</f>
        <v/>
      </c>
      <c r="F82" s="1881" t="str">
        <f>FHD_P_44</f>
        <v/>
      </c>
      <c r="G82" s="1882" t="s">
        <v>712</v>
      </c>
      <c r="H82" s="978"/>
      <c r="I82" s="578"/>
      <c r="J82" s="290" t="str">
        <f>FHD_NOTE_P_44</f>
        <v/>
      </c>
      <c r="K82" s="735"/>
      <c r="L82" s="736"/>
      <c r="M82" s="736"/>
      <c r="R82" s="736"/>
      <c r="U82" s="737"/>
      <c r="AA82" s="738"/>
      <c r="AB82" s="738"/>
      <c r="AC82" s="738"/>
      <c r="AD82" s="738"/>
      <c r="AE82" s="738"/>
      <c r="AF82" s="911">
        <v>0</v>
      </c>
    </row>
    <row s="1367" customFormat="1" customHeight="1" ht="18.75" hidden="1">
      <c r="A83" s="2372"/>
      <c r="C83" s="736"/>
      <c r="D83" s="734"/>
      <c r="E83" s="547" t="str">
        <f>FHD_NUM_P_45</f>
        <v/>
      </c>
      <c r="F83" s="1881" t="str">
        <f>FHD_P_45</f>
        <v/>
      </c>
      <c r="G83" s="1882" t="s">
        <v>712</v>
      </c>
      <c r="H83" s="978"/>
      <c r="I83" s="578"/>
      <c r="J83" s="290" t="str">
        <f>FHD_NOTE_P_45</f>
        <v/>
      </c>
      <c r="K83" s="735"/>
      <c r="L83" s="736"/>
      <c r="M83" s="736"/>
      <c r="R83" s="736"/>
      <c r="U83" s="737"/>
      <c r="AA83" s="738"/>
      <c r="AB83" s="738"/>
      <c r="AC83" s="738"/>
      <c r="AD83" s="738"/>
      <c r="AE83" s="738"/>
      <c r="AF83" s="911">
        <v>0</v>
      </c>
    </row>
    <row s="1367" customFormat="1" customHeight="1" ht="18.75" hidden="1">
      <c r="A84" s="2372"/>
      <c r="C84" s="736"/>
      <c r="D84" s="739"/>
      <c r="E84" s="547" t="str">
        <f>FHD_NUM_P_46</f>
        <v/>
      </c>
      <c r="F84" s="1881" t="str">
        <f>FHD_P_46</f>
        <v/>
      </c>
      <c r="G84" s="1882" t="s">
        <v>712</v>
      </c>
      <c r="H84" s="978"/>
      <c r="I84" s="578"/>
      <c r="J84" s="290" t="str">
        <f>FHD_NOTE_P_46</f>
        <v/>
      </c>
      <c r="K84" s="735"/>
      <c r="L84" s="736"/>
      <c r="M84" s="736"/>
      <c r="R84" s="736"/>
      <c r="U84" s="737"/>
      <c r="AA84" s="738"/>
      <c r="AB84" s="738"/>
      <c r="AC84" s="738"/>
      <c r="AD84" s="738"/>
      <c r="AE84" s="738"/>
      <c r="AF84" s="911">
        <v>0</v>
      </c>
    </row>
    <row s="1367" customFormat="1" customHeight="1" ht="18.75" hidden="1">
      <c r="A85" s="2372"/>
      <c r="C85" s="736"/>
      <c r="D85" s="734"/>
      <c r="E85" s="547" t="str">
        <f>FHD_NUM_P_47</f>
        <v/>
      </c>
      <c r="F85" s="1881" t="str">
        <f>FHD_P_47</f>
        <v/>
      </c>
      <c r="G85" s="1882" t="s">
        <v>712</v>
      </c>
      <c r="H85" s="978"/>
      <c r="I85" s="578"/>
      <c r="J85" s="290" t="str">
        <f>FHD_NOTE_P_47</f>
        <v/>
      </c>
      <c r="K85" s="735"/>
      <c r="L85" s="736"/>
      <c r="M85" s="736"/>
      <c r="R85" s="736"/>
      <c r="U85" s="737"/>
      <c r="AA85" s="738"/>
      <c r="AB85" s="738"/>
      <c r="AC85" s="738"/>
      <c r="AD85" s="738"/>
      <c r="AE85" s="738"/>
      <c r="AF85" s="911">
        <v>0</v>
      </c>
    </row>
    <row s="1636" customFormat="1" customHeight="1" ht="18.75" hidden="1">
      <c r="A86" s="2372"/>
      <c r="B86" s="911"/>
      <c r="C86" s="736"/>
      <c r="D86" s="734"/>
      <c r="E86" s="547" t="str">
        <f>FHD_NUM_P_48</f>
        <v/>
      </c>
      <c r="F86" s="1881" t="str">
        <f>FHD_P_48</f>
        <v/>
      </c>
      <c r="G86" s="1882" t="s">
        <v>712</v>
      </c>
      <c r="H86" s="978"/>
      <c r="I86" s="578"/>
      <c r="J86" s="290" t="str">
        <f>FHD_NOTE_P_48</f>
        <v/>
      </c>
      <c r="K86" s="735"/>
      <c r="L86" s="736"/>
      <c r="M86" s="736"/>
      <c r="N86" s="911"/>
      <c r="O86" s="911"/>
      <c r="P86" s="911"/>
      <c r="Q86" s="911"/>
      <c r="R86" s="736"/>
      <c r="S86" s="911"/>
      <c r="T86" s="911"/>
      <c r="U86" s="737"/>
      <c r="V86" s="911"/>
      <c r="W86" s="911"/>
      <c r="X86" s="911"/>
      <c r="Y86" s="911"/>
      <c r="Z86" s="911"/>
      <c r="AA86" s="738"/>
      <c r="AB86" s="738"/>
      <c r="AC86" s="738"/>
      <c r="AD86" s="738"/>
      <c r="AE86" s="738"/>
      <c r="AF86" s="740">
        <v>0</v>
      </c>
    </row>
    <row s="1636" customFormat="1" customHeight="1" ht="18.75" hidden="1">
      <c r="A87" s="2372"/>
      <c r="B87" s="911"/>
      <c r="C87" s="736"/>
      <c r="D87" s="734"/>
      <c r="E87" s="547" t="str">
        <f>FHD_NUM_P_49</f>
        <v/>
      </c>
      <c r="F87" s="1881" t="str">
        <f>FHD_P_49</f>
        <v/>
      </c>
      <c r="G87" s="1882" t="s">
        <v>712</v>
      </c>
      <c r="H87" s="979">
        <f>SUM(H88:H89)</f>
        <v>0</v>
      </c>
      <c r="I87" s="750">
        <f>SUM(I88:I89)</f>
        <v>0</v>
      </c>
      <c r="J87" s="290" t="str">
        <f>FHD_NOTE_P_49</f>
        <v/>
      </c>
      <c r="K87" s="735"/>
      <c r="L87" s="736"/>
      <c r="M87" s="736"/>
      <c r="N87" s="911"/>
      <c r="O87" s="911"/>
      <c r="P87" s="911"/>
      <c r="Q87" s="911"/>
      <c r="R87" s="736"/>
      <c r="S87" s="911"/>
      <c r="T87" s="911"/>
      <c r="U87" s="737"/>
      <c r="V87" s="911"/>
      <c r="W87" s="911"/>
      <c r="X87" s="911"/>
      <c r="Y87" s="911"/>
      <c r="Z87" s="911"/>
      <c r="AA87" s="738"/>
      <c r="AB87" s="738"/>
      <c r="AC87" s="738"/>
      <c r="AD87" s="738"/>
      <c r="AE87" s="738"/>
      <c r="AF87" s="740">
        <v>0</v>
      </c>
    </row>
    <row s="1636" customFormat="1" customHeight="1" ht="18.75" hidden="1">
      <c r="A88" s="2372"/>
      <c r="B88" s="911"/>
      <c r="C88" s="736"/>
      <c r="D88" s="734"/>
      <c r="E88" s="547" t="str">
        <f>FHD_NUM_P_50</f>
        <v/>
      </c>
      <c r="F88" s="1881" t="str">
        <f>FHD_P_50</f>
        <v/>
      </c>
      <c r="G88" s="1882" t="s">
        <v>712</v>
      </c>
      <c r="H88" s="978"/>
      <c r="I88" s="578"/>
      <c r="J88" s="290" t="str">
        <f>FHD_NOTE_P_50</f>
        <v/>
      </c>
      <c r="K88" s="735"/>
      <c r="L88" s="736"/>
      <c r="M88" s="736"/>
      <c r="N88" s="911"/>
      <c r="O88" s="911"/>
      <c r="P88" s="911"/>
      <c r="Q88" s="911"/>
      <c r="R88" s="736"/>
      <c r="S88" s="911"/>
      <c r="T88" s="911"/>
      <c r="U88" s="737"/>
      <c r="V88" s="911"/>
      <c r="W88" s="911"/>
      <c r="X88" s="911"/>
      <c r="Y88" s="911"/>
      <c r="Z88" s="911"/>
      <c r="AA88" s="738"/>
      <c r="AB88" s="738"/>
      <c r="AC88" s="738"/>
      <c r="AD88" s="738"/>
      <c r="AE88" s="738"/>
      <c r="AF88" s="740">
        <v>0</v>
      </c>
    </row>
    <row s="1636" customFormat="1" customHeight="1" ht="18.75" hidden="1">
      <c r="A89" s="2372"/>
      <c r="B89" s="911"/>
      <c r="C89" s="736"/>
      <c r="D89" s="734"/>
      <c r="E89" s="547" t="str">
        <f>FHD_NUM_P_51</f>
        <v/>
      </c>
      <c r="F89" s="1881" t="str">
        <f>FHD_P_51</f>
        <v/>
      </c>
      <c r="G89" s="1882" t="s">
        <v>712</v>
      </c>
      <c r="H89" s="978"/>
      <c r="I89" s="578"/>
      <c r="J89" s="290" t="str">
        <f>FHD_NOTE_P_51</f>
        <v/>
      </c>
      <c r="K89" s="735"/>
      <c r="L89" s="736"/>
      <c r="M89" s="736"/>
      <c r="N89" s="911"/>
      <c r="O89" s="911"/>
      <c r="P89" s="911"/>
      <c r="Q89" s="911"/>
      <c r="R89" s="736"/>
      <c r="S89" s="911"/>
      <c r="T89" s="911"/>
      <c r="U89" s="737"/>
      <c r="V89" s="911"/>
      <c r="W89" s="911"/>
      <c r="X89" s="911"/>
      <c r="Y89" s="911"/>
      <c r="Z89" s="911"/>
      <c r="AA89" s="738"/>
      <c r="AB89" s="738"/>
      <c r="AC89" s="738"/>
      <c r="AD89" s="738"/>
      <c r="AE89" s="738"/>
      <c r="AF89" s="740">
        <v>0</v>
      </c>
    </row>
    <row s="1636" customFormat="1" customHeight="1" ht="18.75" hidden="1">
      <c r="A90" s="2372"/>
      <c r="B90" s="911"/>
      <c r="C90" s="736"/>
      <c r="D90" s="734"/>
      <c r="E90" s="547" t="str">
        <f>FHD_NUM_P_52</f>
        <v/>
      </c>
      <c r="F90" s="1881" t="str">
        <f>FHD_P_52</f>
        <v/>
      </c>
      <c r="G90" s="1882" t="s">
        <v>689</v>
      </c>
      <c r="H90" s="977"/>
      <c r="I90" s="558"/>
      <c r="J90" s="290" t="str">
        <f>FHD_NOTE_P_52</f>
        <v/>
      </c>
      <c r="K90" s="735"/>
      <c r="L90" s="736"/>
      <c r="M90" s="736"/>
      <c r="N90" s="911"/>
      <c r="O90" s="911"/>
      <c r="P90" s="911"/>
      <c r="Q90" s="911"/>
      <c r="R90" s="736"/>
      <c r="S90" s="911"/>
      <c r="T90" s="911"/>
      <c r="U90" s="737"/>
      <c r="V90" s="911"/>
      <c r="W90" s="911"/>
      <c r="X90" s="911"/>
      <c r="Y90" s="911"/>
      <c r="Z90" s="911"/>
      <c r="AA90" s="738"/>
      <c r="AB90" s="738"/>
      <c r="AC90" s="738"/>
      <c r="AD90" s="738"/>
      <c r="AE90" s="738"/>
      <c r="AF90" s="740">
        <v>0</v>
      </c>
    </row>
    <row s="1367" customFormat="1" customHeight="1" ht="18.75" hidden="1">
      <c r="A91" s="2374" t="s">
        <v>713</v>
      </c>
      <c r="C91" s="736"/>
      <c r="D91" s="734"/>
      <c r="E91" s="547" t="str">
        <f>FHD_NUM_P_53</f>
        <v/>
      </c>
      <c r="F91" s="1881" t="str">
        <f>FHD_P_53</f>
        <v/>
      </c>
      <c r="G91" s="1882" t="s">
        <v>712</v>
      </c>
      <c r="H91" s="978"/>
      <c r="I91" s="578"/>
      <c r="J91" s="290" t="str">
        <f>FHD_NOTE_P_53</f>
        <v/>
      </c>
      <c r="K91" s="735"/>
      <c r="L91" s="736"/>
      <c r="M91" s="736"/>
      <c r="R91" s="736"/>
      <c r="U91" s="737"/>
      <c r="AA91" s="738"/>
      <c r="AB91" s="738"/>
      <c r="AC91" s="738"/>
      <c r="AD91" s="738"/>
      <c r="AE91" s="738"/>
      <c r="AF91" s="911">
        <v>0</v>
      </c>
    </row>
    <row s="1367" customFormat="1" customHeight="1" ht="18.75" hidden="1">
      <c r="A92" s="2374"/>
      <c r="C92" s="736"/>
      <c r="D92" s="734"/>
      <c r="E92" s="547" t="str">
        <f>FHD_NUM_P_54</f>
        <v/>
      </c>
      <c r="F92" s="1881" t="str">
        <f>FHD_P_54</f>
        <v/>
      </c>
      <c r="G92" s="1882" t="s">
        <v>712</v>
      </c>
      <c r="H92" s="978"/>
      <c r="I92" s="578"/>
      <c r="J92" s="290" t="str">
        <f>FHD_NOTE_P_54</f>
        <v/>
      </c>
      <c r="K92" s="735"/>
      <c r="L92" s="736"/>
      <c r="M92" s="736"/>
      <c r="R92" s="736"/>
      <c r="U92" s="737"/>
      <c r="AA92" s="738"/>
      <c r="AB92" s="738"/>
      <c r="AC92" s="738"/>
      <c r="AD92" s="738"/>
      <c r="AE92" s="738"/>
      <c r="AF92" s="911">
        <v>0</v>
      </c>
    </row>
    <row s="1367" customFormat="1" customHeight="1" ht="18.75" hidden="1">
      <c r="A93" s="2374"/>
      <c r="C93" s="736"/>
      <c r="D93" s="739"/>
      <c r="E93" s="547" t="str">
        <f>FHD_NUM_P_55</f>
        <v/>
      </c>
      <c r="F93" s="1881" t="str">
        <f>FHD_P_55</f>
        <v/>
      </c>
      <c r="G93" s="1885"/>
      <c r="H93" s="978"/>
      <c r="I93" s="578"/>
      <c r="J93" s="290" t="str">
        <f>FHD_NOTE_P_55</f>
        <v/>
      </c>
      <c r="K93" s="735"/>
      <c r="L93" s="736"/>
      <c r="M93" s="736"/>
      <c r="R93" s="736"/>
      <c r="U93" s="737"/>
      <c r="AA93" s="738"/>
      <c r="AB93" s="738"/>
      <c r="AC93" s="738"/>
      <c r="AD93" s="738"/>
      <c r="AE93" s="738"/>
      <c r="AF93" s="911">
        <v>0</v>
      </c>
    </row>
    <row s="1367" customFormat="1" customHeight="1" ht="18.75" hidden="1">
      <c r="A94" s="2374"/>
      <c r="C94" s="736"/>
      <c r="D94" s="734"/>
      <c r="E94" s="547" t="str">
        <f>FHD_NUM_P_56</f>
        <v/>
      </c>
      <c r="F94" s="1881" t="str">
        <f>FHD_P_56</f>
        <v/>
      </c>
      <c r="G94" s="1882" t="s">
        <v>714</v>
      </c>
      <c r="H94" s="978"/>
      <c r="I94" s="578"/>
      <c r="J94" s="290" t="str">
        <f>FHD_NOTE_P_56</f>
        <v/>
      </c>
      <c r="K94" s="735"/>
      <c r="L94" s="736"/>
      <c r="M94" s="736"/>
      <c r="R94" s="736"/>
      <c r="U94" s="737"/>
      <c r="AA94" s="738"/>
      <c r="AB94" s="738"/>
      <c r="AC94" s="738"/>
      <c r="AD94" s="738"/>
      <c r="AE94" s="738"/>
      <c r="AF94" s="911">
        <v>0</v>
      </c>
    </row>
    <row s="1636" customFormat="1" customHeight="1" ht="18.75" hidden="1">
      <c r="A95" s="2374"/>
      <c r="B95" s="911"/>
      <c r="C95" s="736"/>
      <c r="D95" s="734"/>
      <c r="E95" s="547" t="str">
        <f>FHD_NUM_P_57</f>
        <v/>
      </c>
      <c r="F95" s="1881" t="str">
        <f>FHD_P_57</f>
        <v/>
      </c>
      <c r="G95" s="1882" t="s">
        <v>689</v>
      </c>
      <c r="H95" s="977"/>
      <c r="I95" s="558"/>
      <c r="J95" s="290" t="str">
        <f>FHD_NOTE_P_57</f>
        <v/>
      </c>
      <c r="K95" s="735"/>
      <c r="L95" s="736"/>
      <c r="M95" s="736"/>
      <c r="N95" s="911"/>
      <c r="O95" s="911"/>
      <c r="P95" s="911"/>
      <c r="Q95" s="911"/>
      <c r="R95" s="736"/>
      <c r="S95" s="911"/>
      <c r="T95" s="911"/>
      <c r="U95" s="737"/>
      <c r="V95" s="911"/>
      <c r="W95" s="911"/>
      <c r="X95" s="911"/>
      <c r="Y95" s="911"/>
      <c r="Z95" s="911"/>
      <c r="AA95" s="738"/>
      <c r="AB95" s="738"/>
      <c r="AC95" s="738"/>
      <c r="AD95" s="738"/>
      <c r="AE95" s="738"/>
      <c r="AF95" s="740">
        <v>0</v>
      </c>
    </row>
    <row customHeight="1" ht="18.75" hidden="1">
      <c r="A96" s="2372" t="s">
        <v>715</v>
      </c>
      <c r="D96" s="1639"/>
      <c r="E96" s="547" t="str">
        <f>FHD_NUM_P_58</f>
        <v/>
      </c>
      <c r="F96" s="1881" t="str">
        <f>FHD_P_58</f>
        <v/>
      </c>
      <c r="G96" s="1882" t="s">
        <v>712</v>
      </c>
      <c r="H96" s="978"/>
      <c r="I96" s="578"/>
      <c r="J96" s="290" t="str">
        <f>FHD_NOTE_P_58</f>
        <v/>
      </c>
      <c r="K96" s="544"/>
      <c r="AF96" s="1632">
        <v>0</v>
      </c>
    </row>
    <row customHeight="1" ht="18.75" hidden="1">
      <c r="A97" s="2372"/>
      <c r="D97" s="1639"/>
      <c r="E97" s="547" t="str">
        <f>FHD_NUM_P_59</f>
        <v/>
      </c>
      <c r="F97" s="1881" t="str">
        <f>FHD_P_59</f>
        <v/>
      </c>
      <c r="G97" s="1882" t="s">
        <v>712</v>
      </c>
      <c r="H97" s="978"/>
      <c r="I97" s="578"/>
      <c r="J97" s="290" t="str">
        <f>FHD_NOTE_P_59</f>
        <v/>
      </c>
      <c r="K97" s="544"/>
      <c r="AF97" s="1632">
        <v>0</v>
      </c>
    </row>
    <row customHeight="1" ht="18.75" hidden="1">
      <c r="A98" s="2372"/>
      <c r="D98" s="1639"/>
      <c r="E98" s="547" t="str">
        <f>FHD_NUM_P_60</f>
        <v/>
      </c>
      <c r="F98" s="1881" t="str">
        <f>FHD_P_60</f>
        <v/>
      </c>
      <c r="G98" s="1882" t="s">
        <v>712</v>
      </c>
      <c r="H98" s="978"/>
      <c r="I98" s="578"/>
      <c r="J98" s="290" t="str">
        <f>FHD_NOTE_P_60</f>
        <v/>
      </c>
      <c r="K98" s="544"/>
      <c r="AF98" s="1632">
        <v>0</v>
      </c>
    </row>
    <row s="1367" customFormat="1" customHeight="1" ht="18.75">
      <c r="A99" s="2372" t="s">
        <v>716</v>
      </c>
      <c r="C99" s="1637"/>
      <c r="D99" s="1639"/>
      <c r="E99" s="547" t="str">
        <f>FHD_NUM_P_61</f>
        <v>7</v>
      </c>
      <c r="F99" s="1881" t="str">
        <f>FHD_P_61</f>
        <v>Установленная тепловая мощность объектов основных фондов, используемых для теплоснабжения, в том числе по каждому источнику тепловой энергии</v>
      </c>
      <c r="G99" s="1879" t="s">
        <v>687</v>
      </c>
      <c r="H99" s="980"/>
      <c r="I99" s="743"/>
      <c r="J99" s="290" t="str">
        <f>FHD_NOTE_P_61</f>
        <v>Указывается суммарная установленная тепловая мощность объектов основных фондов, используемых для осуществления теплоснабжения.
Регулируемыми организациями указывается информация по объектам, используемым для осуществления регулируемых видов деятельности.</v>
      </c>
      <c r="K99" s="544"/>
      <c r="L99" s="1637"/>
      <c r="M99" s="1637"/>
      <c r="R99" s="1637"/>
      <c r="U99" s="545"/>
      <c r="AA99" s="1633"/>
      <c r="AB99" s="1633"/>
      <c r="AC99" s="1633"/>
      <c r="AD99" s="1633"/>
      <c r="AE99" s="1633"/>
      <c r="AF99" s="1161">
        <v>0</v>
      </c>
    </row>
    <row s="1643" customFormat="1" customHeight="1" ht="0.75">
      <c r="A100" s="2372"/>
      <c r="D100" s="549"/>
      <c r="E100" s="1014" t="str">
        <f>E99&amp;".0"</f>
        <v>7.0</v>
      </c>
      <c r="F100" s="995"/>
      <c r="G100" s="996"/>
      <c r="H100" s="993"/>
      <c r="I100" s="993"/>
      <c r="J100" s="997"/>
      <c r="AF100" s="1637">
        <v>0</v>
      </c>
    </row>
    <row customHeight="1" ht="15">
      <c r="A101" s="2372"/>
      <c r="D101" s="1634"/>
      <c r="E101" s="972"/>
      <c r="F101" s="973" t="s">
        <v>717</v>
      </c>
      <c r="G101" s="573"/>
      <c r="H101" s="574"/>
      <c r="I101" s="574"/>
      <c r="J101" s="1005" t="s">
        <v>718</v>
      </c>
      <c r="K101" s="544"/>
      <c r="AF101" s="1632">
        <v>0</v>
      </c>
    </row>
    <row s="1367" customFormat="1" customHeight="1" ht="18.75">
      <c r="A102" s="2372"/>
      <c r="C102" s="1637"/>
      <c r="D102" s="1639"/>
      <c r="E102" s="547" t="str">
        <f>FHD_NUM_P_62</f>
        <v>8</v>
      </c>
      <c r="F102" s="1881" t="str">
        <f>FHD_P_62</f>
        <v>Тепловая нагрузка по договорам, заключенным в рамках осуществления регулируемых видов деятельности</v>
      </c>
      <c r="G102" s="1878" t="s">
        <v>687</v>
      </c>
      <c r="H102" s="558"/>
      <c r="I102" s="558"/>
      <c r="J102" s="290" t="str">
        <f>FHD_NOTE_P_62</f>
        <v>Регулируемыми организациями указывается информация по договорам, заключенным в рамках осуществления регулируемых видов деятельности</v>
      </c>
      <c r="K102" s="544"/>
      <c r="L102" s="1637"/>
      <c r="M102" s="1637"/>
      <c r="R102" s="1637"/>
      <c r="U102" s="545"/>
      <c r="AA102" s="1633"/>
      <c r="AB102" s="1633"/>
      <c r="AC102" s="1633"/>
      <c r="AD102" s="1633"/>
      <c r="AE102" s="1633"/>
      <c r="AF102" s="1161">
        <v>0</v>
      </c>
    </row>
    <row s="1367" customFormat="1" customHeight="1" ht="18.75">
      <c r="A103" s="2372"/>
      <c r="C103" s="1637"/>
      <c r="D103" s="1639"/>
      <c r="E103" s="547" t="str">
        <f>FHD_NUM_P_63</f>
        <v>9</v>
      </c>
      <c r="F103" s="1881" t="str">
        <f>FHD_P_63</f>
        <v>Объем вырабатываемой регулируемой организацией тепловой энергии в рамках осуществления регулируемых видов деятельности</v>
      </c>
      <c r="G103" s="1878" t="s">
        <v>714</v>
      </c>
      <c r="H103" s="578"/>
      <c r="I103" s="578"/>
      <c r="J103" s="290" t="str">
        <f>FHD_NOTE_P_63</f>
        <v>Регулируемыми организациями указывается информация тепловой энергии, выработанной в рамках осуществления регулируемых видов деятельности.</v>
      </c>
      <c r="K103" s="544"/>
      <c r="L103" s="1637"/>
      <c r="M103" s="1637"/>
      <c r="R103" s="1637"/>
      <c r="U103" s="545"/>
      <c r="AA103" s="1633"/>
      <c r="AB103" s="1633"/>
      <c r="AC103" s="1633"/>
      <c r="AD103" s="1633"/>
      <c r="AE103" s="1633"/>
      <c r="AF103" s="1161">
        <v>0</v>
      </c>
    </row>
    <row s="1367" customFormat="1" customHeight="1" ht="18.75">
      <c r="A104" s="2372"/>
      <c r="C104" s="1637" t="s">
        <v>719</v>
      </c>
      <c r="D104" s="1639"/>
      <c r="E104" s="547" t="str">
        <f>FHD_NUM_P_64</f>
        <v>9.1</v>
      </c>
      <c r="F104" s="1881" t="str">
        <f>FHD_P_64</f>
        <v>Объем приобретаемой регулируемой организацией тепловой энергии в рамках осуществления регулируемых видов деятельности</v>
      </c>
      <c r="G104" s="1878" t="s">
        <v>714</v>
      </c>
      <c r="H104" s="546"/>
      <c r="I104" s="546"/>
      <c r="J104" s="290" t="str">
        <f>FHD_NOTE_P_64</f>
        <v>Информация указывается только едиными теплоснабжающими организациями.</v>
      </c>
      <c r="K104" s="544"/>
      <c r="L104" s="1637"/>
      <c r="M104" s="1637"/>
      <c r="R104" s="1637"/>
      <c r="U104" s="545"/>
      <c r="AA104" s="1633"/>
      <c r="AB104" s="1633"/>
      <c r="AC104" s="1633"/>
      <c r="AD104" s="1633"/>
      <c r="AE104" s="1633"/>
      <c r="AF104" s="1161">
        <v>0</v>
      </c>
    </row>
    <row s="1367" customFormat="1" customHeight="1" ht="18.75">
      <c r="A105" s="2372"/>
      <c r="C105" s="1637"/>
      <c r="D105" s="1639"/>
      <c r="E105" s="547" t="str">
        <f>FHD_NUM_P_65</f>
        <v>10</v>
      </c>
      <c r="F105" s="1881" t="str">
        <f>FHD_P_65</f>
        <v>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v>
      </c>
      <c r="G105" s="1878" t="s">
        <v>714</v>
      </c>
      <c r="H105" s="578"/>
      <c r="I105" s="578"/>
      <c r="J105" s="290" t="str">
        <f>FHD_NOTE_P_65</f>
        <v>Указывается общий объем тепловой энергии, отпускаемой потребителям.
Регулируемыми организациями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v>
      </c>
      <c r="K105" s="544"/>
      <c r="L105" s="1637"/>
      <c r="M105" s="1637"/>
      <c r="R105" s="1637"/>
      <c r="U105" s="545"/>
      <c r="AA105" s="1633"/>
      <c r="AB105" s="1633"/>
      <c r="AC105" s="1633"/>
      <c r="AD105" s="1633"/>
      <c r="AE105" s="1633"/>
      <c r="AF105" s="1161">
        <v>0</v>
      </c>
    </row>
    <row s="1367" customFormat="1" customHeight="1" ht="18.75">
      <c r="A106" s="2372"/>
      <c r="C106" s="1637"/>
      <c r="D106" s="1639"/>
      <c r="E106" s="547" t="str">
        <f>FHD_NUM_P_66</f>
        <v>10.1</v>
      </c>
      <c r="F106" s="1525" t="str">
        <f>FHD_P_66</f>
        <v>По приборам учёта </v>
      </c>
      <c r="G106" s="1878" t="s">
        <v>714</v>
      </c>
      <c r="H106" s="578"/>
      <c r="I106" s="578"/>
      <c r="J106" s="290" t="str">
        <f>FHD_NOTE_P_66</f>
        <v/>
      </c>
      <c r="K106" s="544"/>
      <c r="L106" s="1637"/>
      <c r="M106" s="1637"/>
      <c r="R106" s="1637"/>
      <c r="U106" s="545"/>
      <c r="AA106" s="1633"/>
      <c r="AB106" s="1633"/>
      <c r="AC106" s="1633"/>
      <c r="AD106" s="1633"/>
      <c r="AE106" s="1633"/>
      <c r="AF106" s="1161">
        <v>0</v>
      </c>
    </row>
    <row s="1367" customFormat="1" customHeight="1" ht="18.75">
      <c r="A107" s="2372"/>
      <c r="C107" s="1637"/>
      <c r="D107" s="1639"/>
      <c r="E107" s="547" t="str">
        <f>FHD_NUM_P_67</f>
        <v>10.1.1</v>
      </c>
      <c r="F107" s="1651" t="str">
        <f>FHD_P_67</f>
        <v>Определенный по приборам учета объем тепловой энергии, отпускаемой по договорам потребителям, максимальный объем потребления тепловой энергии объектов которых составляет менее чем 0,2 Гкал</v>
      </c>
      <c r="G107" s="1878" t="s">
        <v>714</v>
      </c>
      <c r="H107" s="578"/>
      <c r="I107" s="578"/>
      <c r="J107" s="290" t="str">
        <f>FHD_NOTE_P_67</f>
        <v/>
      </c>
      <c r="K107" s="544"/>
      <c r="L107" s="1637"/>
      <c r="M107" s="1637"/>
      <c r="R107" s="1637"/>
      <c r="U107" s="545"/>
      <c r="AA107" s="1633"/>
      <c r="AB107" s="1633"/>
      <c r="AC107" s="1633"/>
      <c r="AD107" s="1633"/>
      <c r="AE107" s="1633"/>
      <c r="AF107" s="1161">
        <v>0</v>
      </c>
    </row>
    <row s="1367" customFormat="1" customHeight="1" ht="18.75">
      <c r="A108" s="2372"/>
      <c r="C108" s="1637"/>
      <c r="D108" s="1639"/>
      <c r="E108" s="547" t="str">
        <f>FHD_NUM_P_68</f>
        <v>10.2</v>
      </c>
      <c r="F108" s="1525" t="str">
        <f>FHD_P_68</f>
        <v>Расчётным путём</v>
      </c>
      <c r="G108" s="1878" t="s">
        <v>714</v>
      </c>
      <c r="H108" s="578"/>
      <c r="I108" s="578"/>
      <c r="J108" s="290" t="str">
        <f>FHD_NOTE_P_68</f>
        <v/>
      </c>
      <c r="K108" s="544"/>
      <c r="L108" s="1637"/>
      <c r="M108" s="1637"/>
      <c r="R108" s="1637"/>
      <c r="U108" s="545"/>
      <c r="AA108" s="1633"/>
      <c r="AB108" s="1633"/>
      <c r="AC108" s="1633"/>
      <c r="AD108" s="1633"/>
      <c r="AE108" s="1633"/>
      <c r="AF108" s="1161">
        <v>0</v>
      </c>
    </row>
    <row s="1367" customFormat="1" customHeight="1" ht="18.75">
      <c r="A109" s="2372"/>
      <c r="C109" s="1637"/>
      <c r="D109" s="1639"/>
      <c r="E109" s="547" t="str">
        <f>FHD_NUM_P_69</f>
        <v>10.3</v>
      </c>
      <c r="F109" s="1525" t="str">
        <f>FHD_P_69</f>
        <v>По нормативам потребления коммунальных услуг и нормативам потребления коммунальных ресурсов</v>
      </c>
      <c r="G109" s="1878" t="s">
        <v>714</v>
      </c>
      <c r="H109" s="578"/>
      <c r="I109" s="578"/>
      <c r="J109" s="290" t="str">
        <f>FHD_NOTE_P_69</f>
        <v/>
      </c>
      <c r="K109" s="544"/>
      <c r="L109" s="1637"/>
      <c r="M109" s="1637"/>
      <c r="R109" s="1637"/>
      <c r="U109" s="545"/>
      <c r="AA109" s="1633"/>
      <c r="AB109" s="1633"/>
      <c r="AC109" s="1633"/>
      <c r="AD109" s="1633"/>
      <c r="AE109" s="1633"/>
      <c r="AF109" s="1161">
        <v>0</v>
      </c>
    </row>
    <row s="1367" customFormat="1" customHeight="1" ht="22.5">
      <c r="A110" s="2372"/>
      <c r="C110" s="1637"/>
      <c r="D110" s="1639"/>
      <c r="E110" s="547" t="str">
        <f>FHD_NUM_P_70</f>
        <v>11</v>
      </c>
      <c r="F110" s="1881" t="str">
        <f>FHD_P_70</f>
        <v>Нормативы технологических потерь при передаче тепловой энергии, теплоносителя по тепловым сетям, утвержденные уполномоченным органом</v>
      </c>
      <c r="G110" s="1878" t="s">
        <v>720</v>
      </c>
      <c r="H110" s="558"/>
      <c r="I110" s="558"/>
      <c r="J110" s="290" t="str">
        <f>FHD_NOTE_P_70</f>
        <v/>
      </c>
      <c r="K110" s="544"/>
      <c r="L110" s="1637"/>
      <c r="M110" s="1637"/>
      <c r="R110" s="1637"/>
      <c r="U110" s="545"/>
      <c r="AA110" s="1633"/>
      <c r="AB110" s="1633"/>
      <c r="AC110" s="1633"/>
      <c r="AD110" s="1633"/>
      <c r="AE110" s="1633"/>
      <c r="AF110" s="1161">
        <v>0</v>
      </c>
    </row>
    <row s="1367" customFormat="1" customHeight="1" ht="22.5">
      <c r="A111" s="2372"/>
      <c r="C111" s="1637"/>
      <c r="D111" s="1639"/>
      <c r="E111" s="547" t="str">
        <f>FHD_NUM_P_71</f>
        <v>12</v>
      </c>
      <c r="F111" s="1881" t="str">
        <f>FHD_P_71</f>
        <v>Фактический объем потерь при передаче тепловой энергии</v>
      </c>
      <c r="G111" s="1878" t="s">
        <v>720</v>
      </c>
      <c r="H111" s="558"/>
      <c r="I111" s="558"/>
      <c r="J111" s="290" t="str">
        <f>FHD_NOTE_P_71</f>
        <v/>
      </c>
      <c r="K111" s="544"/>
      <c r="L111" s="1637"/>
      <c r="M111" s="1637"/>
      <c r="R111" s="1637"/>
      <c r="U111" s="545"/>
      <c r="AA111" s="1633"/>
      <c r="AB111" s="1633"/>
      <c r="AC111" s="1633"/>
      <c r="AD111" s="1633"/>
      <c r="AE111" s="1633"/>
      <c r="AF111" s="1161">
        <v>0</v>
      </c>
    </row>
    <row customHeight="1" ht="19.95">
      <c r="D112" s="1639"/>
      <c r="E112" s="547" t="str">
        <f>FHD_NUM_P_72</f>
        <v>13</v>
      </c>
      <c r="F112" s="1881" t="str">
        <f>FHD_P_72</f>
        <v>Среднесписочная численность основного производственного персонала</v>
      </c>
      <c r="G112" s="1877" t="s">
        <v>721</v>
      </c>
      <c r="H112" s="578"/>
      <c r="I112" s="578"/>
      <c r="J112" s="290" t="str">
        <f>FHD_NOTE_P_72</f>
        <v/>
      </c>
      <c r="K112" s="544"/>
      <c r="AF112" s="1632">
        <v>19</v>
      </c>
    </row>
    <row customHeight="1" ht="18.75">
      <c r="A113" s="990" t="s">
        <v>722</v>
      </c>
      <c r="D113" s="1639"/>
      <c r="E113" s="547" t="str">
        <f>FHD_NUM_P_73</f>
        <v>14</v>
      </c>
      <c r="F113" s="1881" t="str">
        <f>FHD_P_73</f>
        <v>Среднесписочная численность административно-управленческого персонала</v>
      </c>
      <c r="G113" s="971" t="s">
        <v>721</v>
      </c>
      <c r="H113" s="969"/>
      <c r="I113" s="969"/>
      <c r="J113" s="290" t="str">
        <f>FHD_NOTE_P_73</f>
        <v/>
      </c>
      <c r="K113" s="544"/>
      <c r="AF113" s="1632">
        <v>0</v>
      </c>
    </row>
    <row customHeight="1" ht="33.75" hidden="1">
      <c r="A114" s="990" t="s">
        <v>723</v>
      </c>
      <c r="D114" s="1639"/>
      <c r="E114" s="547" t="str">
        <f>FHD_NUM_P_74</f>
        <v/>
      </c>
      <c r="F114" s="1881" t="str">
        <f>FHD_P_74</f>
        <v/>
      </c>
      <c r="G114" s="1877" t="s">
        <v>724</v>
      </c>
      <c r="H114" s="578"/>
      <c r="I114" s="578"/>
      <c r="J114" s="290" t="str">
        <f>FHD_NOTE_P_74</f>
        <v/>
      </c>
      <c r="K114" s="544"/>
      <c r="AF114" s="1632">
        <v>0</v>
      </c>
    </row>
    <row s="1636" customFormat="1" customHeight="1" ht="18.75" hidden="1">
      <c r="A115" s="2374" t="s">
        <v>725</v>
      </c>
      <c r="B115" s="911"/>
      <c r="C115" s="736"/>
      <c r="D115" s="734"/>
      <c r="E115" s="547" t="str">
        <f>FHD_NUM_P_75</f>
        <v/>
      </c>
      <c r="F115" s="1881" t="str">
        <f>FHD_P_75</f>
        <v/>
      </c>
      <c r="G115" s="1877" t="s">
        <v>689</v>
      </c>
      <c r="H115" s="558"/>
      <c r="I115" s="558"/>
      <c r="J115" s="290" t="str">
        <f>FHD_NOTE_P_75</f>
        <v/>
      </c>
      <c r="K115" s="735"/>
      <c r="L115" s="736"/>
      <c r="M115" s="736"/>
      <c r="N115" s="911"/>
      <c r="O115" s="911"/>
      <c r="P115" s="911"/>
      <c r="Q115" s="911"/>
      <c r="R115" s="736"/>
      <c r="S115" s="911"/>
      <c r="T115" s="911"/>
      <c r="U115" s="737"/>
      <c r="V115" s="911"/>
      <c r="W115" s="911"/>
      <c r="X115" s="911"/>
      <c r="Y115" s="911"/>
      <c r="Z115" s="911"/>
      <c r="AA115" s="738"/>
      <c r="AB115" s="738"/>
      <c r="AC115" s="738"/>
      <c r="AD115" s="738"/>
      <c r="AE115" s="738"/>
      <c r="AF115" s="740">
        <v>0</v>
      </c>
    </row>
    <row s="1636" customFormat="1" customHeight="1" ht="18.75" hidden="1">
      <c r="A116" s="2374"/>
      <c r="B116" s="911"/>
      <c r="C116" s="736"/>
      <c r="D116" s="734"/>
      <c r="E116" s="547" t="str">
        <f>FHD_NUM_P_76</f>
        <v/>
      </c>
      <c r="F116" s="1881" t="str">
        <f>FHD_P_76</f>
        <v/>
      </c>
      <c r="G116" s="1877" t="s">
        <v>689</v>
      </c>
      <c r="H116" s="558"/>
      <c r="I116" s="558"/>
      <c r="J116" s="290" t="str">
        <f>FHD_NOTE_P_76</f>
        <v/>
      </c>
      <c r="K116" s="735"/>
      <c r="L116" s="736"/>
      <c r="M116" s="736"/>
      <c r="N116" s="911"/>
      <c r="O116" s="911"/>
      <c r="P116" s="911"/>
      <c r="Q116" s="911"/>
      <c r="R116" s="736"/>
      <c r="S116" s="911"/>
      <c r="T116" s="911"/>
      <c r="U116" s="737"/>
      <c r="V116" s="911"/>
      <c r="W116" s="911"/>
      <c r="X116" s="911"/>
      <c r="Y116" s="911"/>
      <c r="Z116" s="911"/>
      <c r="AA116" s="738"/>
      <c r="AB116" s="738"/>
      <c r="AC116" s="738"/>
      <c r="AD116" s="738"/>
      <c r="AE116" s="738"/>
      <c r="AF116" s="740">
        <v>0</v>
      </c>
    </row>
    <row s="1636" customFormat="1" customHeight="1" ht="18.75" hidden="1">
      <c r="A117" s="2374"/>
      <c r="B117" s="911"/>
      <c r="C117" s="736"/>
      <c r="D117" s="734"/>
      <c r="E117" s="547" t="str">
        <f>FHD_NUM_P_77</f>
        <v/>
      </c>
      <c r="F117" s="1881" t="str">
        <f>FHD_P_77</f>
        <v/>
      </c>
      <c r="G117" s="1877" t="s">
        <v>689</v>
      </c>
      <c r="H117" s="558"/>
      <c r="I117" s="558"/>
      <c r="J117" s="290" t="str">
        <f>FHD_NOTE_P_77</f>
        <v/>
      </c>
      <c r="K117" s="735"/>
      <c r="L117" s="736"/>
      <c r="M117" s="736"/>
      <c r="N117" s="911"/>
      <c r="O117" s="911"/>
      <c r="P117" s="911"/>
      <c r="Q117" s="911"/>
      <c r="R117" s="736"/>
      <c r="S117" s="911"/>
      <c r="T117" s="911"/>
      <c r="U117" s="737"/>
      <c r="V117" s="911"/>
      <c r="W117" s="911"/>
      <c r="X117" s="911"/>
      <c r="Y117" s="911"/>
      <c r="Z117" s="911"/>
      <c r="AA117" s="738"/>
      <c r="AB117" s="738"/>
      <c r="AC117" s="738"/>
      <c r="AD117" s="738"/>
      <c r="AE117" s="738"/>
      <c r="AF117" s="740">
        <v>0</v>
      </c>
    </row>
    <row s="1643" customFormat="1" customHeight="1" ht="0.75" hidden="1">
      <c r="A118" s="2374"/>
      <c r="D118" s="549"/>
      <c r="E118" s="1014" t="str">
        <f>E117&amp;".0"</f>
        <v>.0</v>
      </c>
      <c r="F118" s="998"/>
      <c r="G118" s="1652"/>
      <c r="H118" s="993"/>
      <c r="I118" s="993"/>
      <c r="J118" s="997"/>
      <c r="AF118" s="1637">
        <v>0</v>
      </c>
    </row>
    <row s="1636" customFormat="1" customHeight="1" ht="15" hidden="1">
      <c r="A119" s="2374"/>
      <c r="B119" s="911"/>
      <c r="C119" s="736"/>
      <c r="D119" s="747"/>
      <c r="E119" s="974"/>
      <c r="F119" s="975" t="s">
        <v>726</v>
      </c>
      <c r="G119" s="748"/>
      <c r="H119" s="749"/>
      <c r="I119" s="749"/>
      <c r="J119" s="1004" t="s">
        <v>727</v>
      </c>
      <c r="K119" s="735"/>
      <c r="L119" s="736"/>
      <c r="M119" s="736"/>
      <c r="N119" s="911"/>
      <c r="O119" s="911"/>
      <c r="P119" s="911"/>
      <c r="Q119" s="911"/>
      <c r="R119" s="736"/>
      <c r="S119" s="911"/>
      <c r="T119" s="911"/>
      <c r="U119" s="737"/>
      <c r="V119" s="911"/>
      <c r="W119" s="911"/>
      <c r="X119" s="911"/>
      <c r="Y119" s="911"/>
      <c r="Z119" s="911"/>
      <c r="AA119" s="738"/>
      <c r="AB119" s="738"/>
      <c r="AC119" s="738"/>
      <c r="AD119" s="738"/>
      <c r="AE119" s="738"/>
      <c r="AF119" s="740">
        <v>0</v>
      </c>
    </row>
    <row customHeight="1" ht="22.5">
      <c r="A120" s="2372" t="s">
        <v>728</v>
      </c>
      <c r="D120" s="1639"/>
      <c r="E120" s="547" t="str">
        <f>FHD_NUM_P_78</f>
        <v>15</v>
      </c>
      <c r="F120" s="1881" t="str">
        <f>FHD_P_78</f>
        <v>Норматив удельного расхода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v>
      </c>
      <c r="G120" s="1878" t="s">
        <v>691</v>
      </c>
      <c r="H120" s="578"/>
      <c r="I120" s="578"/>
      <c r="J120" s="290" t="str">
        <f>FHD_NOTE_P_78</f>
        <v/>
      </c>
      <c r="K120" s="544"/>
      <c r="AF120" s="1632">
        <v>0</v>
      </c>
    </row>
    <row s="1643" customFormat="1" customHeight="1" ht="0.75">
      <c r="A121" s="2372"/>
      <c r="D121" s="549"/>
      <c r="E121" s="1014" t="str">
        <f>E120&amp;".0"</f>
        <v>15.0</v>
      </c>
      <c r="F121" s="998"/>
      <c r="G121" s="1652"/>
      <c r="H121" s="993"/>
      <c r="I121" s="993"/>
      <c r="J121" s="997"/>
      <c r="AF121" s="1637">
        <v>0</v>
      </c>
    </row>
    <row customHeight="1" ht="15">
      <c r="A122" s="2372"/>
      <c r="D122" s="1634"/>
      <c r="E122" s="571"/>
      <c r="F122" s="1169" t="s">
        <v>717</v>
      </c>
      <c r="G122" s="573"/>
      <c r="H122" s="574"/>
      <c r="I122" s="574"/>
      <c r="J122" s="1005" t="s">
        <v>729</v>
      </c>
      <c r="K122" s="544"/>
      <c r="AF122" s="1632">
        <v>0</v>
      </c>
    </row>
    <row customHeight="1" ht="22.5">
      <c r="A123" s="2372"/>
      <c r="D123" s="1639"/>
      <c r="E123" s="547" t="str">
        <f>FHD_NUM_P_79</f>
        <v>16</v>
      </c>
      <c r="F123" s="1881" t="str">
        <f>FHD_P_79</f>
        <v>Фактический удельный расход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v>
      </c>
      <c r="G123" s="1879" t="s">
        <v>693</v>
      </c>
      <c r="H123" s="578"/>
      <c r="I123" s="578"/>
      <c r="J123" s="290" t="str">
        <f>FHD_NOTE_P_79</f>
        <v>Регулируемыми организациями указывается информация с распределением по источникам тепловой энергии, используемым для осуществления регулируемых видов деятельности.</v>
      </c>
      <c r="K123" s="544"/>
      <c r="AF123" s="1632">
        <v>0</v>
      </c>
    </row>
    <row s="1643" customFormat="1" customHeight="1" ht="0.75">
      <c r="A124" s="2372"/>
      <c r="D124" s="549"/>
      <c r="E124" s="1014" t="str">
        <f>E123&amp;".0"</f>
        <v>16.0</v>
      </c>
      <c r="F124" s="999"/>
      <c r="G124" s="1652"/>
      <c r="H124" s="993"/>
      <c r="I124" s="993"/>
      <c r="J124" s="997"/>
      <c r="AF124" s="1637">
        <v>0</v>
      </c>
    </row>
    <row customHeight="1" ht="15">
      <c r="A125" s="2372"/>
      <c r="D125" s="1634"/>
      <c r="E125" s="571"/>
      <c r="F125" s="1169" t="s">
        <v>717</v>
      </c>
      <c r="G125" s="573"/>
      <c r="H125" s="574"/>
      <c r="I125" s="574"/>
      <c r="J125" s="1005" t="s">
        <v>730</v>
      </c>
      <c r="K125" s="544"/>
      <c r="AF125" s="1632">
        <v>0</v>
      </c>
    </row>
    <row customHeight="1" ht="22.5">
      <c r="A126" s="2372"/>
      <c r="D126" s="1639"/>
      <c r="E126" s="547" t="str">
        <f>FHD_NUM_P_80</f>
        <v>17</v>
      </c>
      <c r="F126" s="1881" t="str">
        <f>FHD_P_80</f>
        <v>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v>
      </c>
      <c r="G126" s="1879" t="s">
        <v>731</v>
      </c>
      <c r="H126" s="558"/>
      <c r="I126" s="558"/>
      <c r="J126" s="290" t="str">
        <f>FHD_NOTE_P_80</f>
        <v>Регулируемыми организациями указывается информация с по договорам, заключенным в рамках осуществления регулируемой деятельности.</v>
      </c>
      <c r="K126" s="544"/>
      <c r="AF126" s="1632">
        <v>0</v>
      </c>
    </row>
    <row customHeight="1" ht="18.75">
      <c r="A127" s="2372"/>
      <c r="D127" s="1639"/>
      <c r="E127" s="547" t="str">
        <f>FHD_NUM_P_81</f>
        <v>18</v>
      </c>
      <c r="F127" s="1881" t="str">
        <f>FHD_P_81</f>
        <v>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v>
      </c>
      <c r="G127" s="1879" t="s">
        <v>732</v>
      </c>
      <c r="H127" s="558"/>
      <c r="I127" s="558"/>
      <c r="J127" s="290" t="str">
        <f>FHD_NOTE_P_81</f>
        <v>Регулируемыми организациями указывается информация с по договорам, заключенным в рамках осуществления регулируемой деятельности.</v>
      </c>
      <c r="K127" s="544"/>
      <c r="AF127" s="1632">
        <v>0</v>
      </c>
    </row>
    <row customHeight="1" ht="18.75">
      <c r="A128" s="2372"/>
      <c r="C128" s="1637" t="s">
        <v>719</v>
      </c>
      <c r="D128" s="1639"/>
      <c r="E128" s="547" t="str">
        <f>FHD_NUM_P_82</f>
        <v>19</v>
      </c>
      <c r="F128" s="1881" t="str">
        <f>FHD_P_82</f>
        <v>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v>
      </c>
      <c r="G128" s="1879" t="s">
        <v>436</v>
      </c>
      <c r="H128" s="402"/>
      <c r="I128" s="402"/>
      <c r="J128" s="290" t="str">
        <f>FHD_NOTE_P_82</f>
        <v>Указывается ссылка на документ, предварительно загруженный в хранилище файлов ФГИС ЕИАС.</v>
      </c>
      <c r="K128" s="544"/>
      <c r="AF128" s="1632">
        <v>0</v>
      </c>
    </row>
    <row customHeight="1" ht="18.75">
      <c r="A129" s="2372"/>
      <c r="C129" s="1637" t="s">
        <v>719</v>
      </c>
      <c r="D129" s="1639"/>
      <c r="E129" s="547" t="str">
        <f>FHD_NUM_P_83</f>
        <v>19.1</v>
      </c>
      <c r="F129" s="1525" t="str">
        <f>FHD_P_83</f>
        <v>Информация о показателях физического износа объектов теплоснабжения</v>
      </c>
      <c r="G129" s="1879" t="s">
        <v>436</v>
      </c>
      <c r="H129" s="402"/>
      <c r="I129" s="402"/>
      <c r="J129" s="290" t="str">
        <f>FHD_NOTE_P_83</f>
        <v>Указывается ссылка на документ, предварительно загруженный в хранилище файлов ФГИС ЕИАС.</v>
      </c>
      <c r="K129" s="544"/>
      <c r="AF129" s="1632">
        <v>0</v>
      </c>
    </row>
    <row customHeight="1" ht="18.75">
      <c r="A130" s="2372"/>
      <c r="C130" s="1637" t="s">
        <v>719</v>
      </c>
      <c r="D130" s="1639"/>
      <c r="E130" s="547" t="str">
        <f>FHD_NUM_P_84</f>
        <v>19.2</v>
      </c>
      <c r="F130" s="1525" t="str">
        <f>FHD_P_84</f>
        <v>Информация о показателях энергетической эффективности объектов теплоснабжения</v>
      </c>
      <c r="G130" s="1879" t="s">
        <v>436</v>
      </c>
      <c r="H130" s="402"/>
      <c r="I130" s="402"/>
      <c r="J130" s="290" t="str">
        <f>FHD_NOTE_P_84</f>
        <v>Указывается ссылка на документ, предварительно загруженный в хранилище файлов ФГИС ЕИАС.</v>
      </c>
      <c r="K130" s="544"/>
      <c r="AF130" s="1632">
        <v>0</v>
      </c>
    </row>
    <row customHeight="1" ht="11.549999999999999">
      <c r="D131" s="1639"/>
      <c r="AF131" s="1632">
        <v>11</v>
      </c>
    </row>
    <row customHeight="1" ht="13.5">
      <c r="D132" s="1639"/>
      <c r="E132" s="337"/>
      <c r="F132" s="370"/>
      <c r="G132" s="370"/>
      <c r="H132" s="370"/>
      <c r="I132" s="1648"/>
      <c r="J132" s="582"/>
      <c r="AF132" s="1632">
        <v>13</v>
      </c>
    </row>
    <row s="1642" customFormat="1" customHeight="1" ht="11.549999999999999">
      <c r="A133" s="988"/>
      <c r="B133" s="1637"/>
      <c r="C133" s="1637"/>
      <c r="D133" s="352"/>
      <c r="F133" s="1641"/>
      <c r="G133" s="1632"/>
      <c r="H133" s="1632"/>
      <c r="I133" s="1632"/>
      <c r="K133" s="1161"/>
      <c r="L133" s="1637"/>
      <c r="M133" s="1637"/>
      <c r="N133" s="1161"/>
      <c r="O133" s="1161"/>
      <c r="P133" s="1161"/>
      <c r="Q133" s="1161"/>
      <c r="R133" s="1637"/>
      <c r="S133" s="1161"/>
      <c r="T133" s="1161"/>
      <c r="U133" s="545"/>
      <c r="V133" s="1161"/>
      <c r="W133" s="1161"/>
      <c r="X133" s="1161"/>
      <c r="Y133" s="1161"/>
      <c r="Z133" s="1161"/>
      <c r="AA133" s="1633"/>
      <c r="AB133" s="567"/>
      <c r="AC133" s="567"/>
      <c r="AD133" s="567"/>
      <c r="AE133" s="567"/>
      <c r="AF133" s="1642">
        <v>11</v>
      </c>
    </row>
    <row s="1642" customFormat="1" customHeight="1" ht="11.549999999999999">
      <c r="A134" s="988"/>
      <c r="B134" s="1637"/>
      <c r="C134" s="1637"/>
      <c r="D134" s="352"/>
      <c r="K134" s="1161"/>
      <c r="L134" s="1637"/>
      <c r="M134" s="1637"/>
      <c r="N134" s="1161"/>
      <c r="O134" s="1161"/>
      <c r="P134" s="1161"/>
      <c r="Q134" s="1161"/>
      <c r="R134" s="1637"/>
      <c r="S134" s="1161"/>
      <c r="T134" s="1161"/>
      <c r="U134" s="545"/>
      <c r="V134" s="1161"/>
      <c r="W134" s="1161"/>
      <c r="X134" s="1161"/>
      <c r="Y134" s="1161"/>
      <c r="Z134" s="1161"/>
      <c r="AA134" s="1633"/>
      <c r="AB134" s="567"/>
      <c r="AC134" s="567"/>
      <c r="AD134" s="567"/>
      <c r="AE134" s="567"/>
      <c r="AF134" s="1642">
        <v>11</v>
      </c>
    </row>
    <row s="1642" customFormat="1" customHeight="1" ht="11.549999999999999">
      <c r="A135" s="988"/>
      <c r="B135" s="1637"/>
      <c r="C135" s="1637"/>
      <c r="D135" s="352"/>
      <c r="K135" s="1161"/>
      <c r="L135" s="1637"/>
      <c r="M135" s="1637"/>
      <c r="N135" s="1161"/>
      <c r="O135" s="1161"/>
      <c r="P135" s="1161"/>
      <c r="Q135" s="1161"/>
      <c r="R135" s="1637"/>
      <c r="S135" s="1161"/>
      <c r="T135" s="1161"/>
      <c r="U135" s="545"/>
      <c r="V135" s="1161"/>
      <c r="W135" s="1161"/>
      <c r="X135" s="1161"/>
      <c r="Y135" s="1161"/>
      <c r="Z135" s="1161"/>
      <c r="AA135" s="1633"/>
      <c r="AB135" s="567"/>
      <c r="AC135" s="567"/>
      <c r="AD135" s="567"/>
      <c r="AE135" s="567"/>
      <c r="AF135" s="1642">
        <v>11</v>
      </c>
    </row>
    <row s="1642" customFormat="1" customHeight="1" ht="11.549999999999999">
      <c r="A136" s="988"/>
      <c r="B136" s="1637"/>
      <c r="C136" s="1637"/>
      <c r="D136" s="352"/>
      <c r="H136" s="567" t="str">
        <f>IF(H30-H31&lt;&gt;H72,"WARNING","")</f>
        <v/>
      </c>
      <c r="I136" s="567" t="str">
        <f>IF(I30-I31&lt;&gt;I72,"WARNING","")</f>
        <v/>
      </c>
      <c r="K136" s="1161"/>
      <c r="L136" s="1637"/>
      <c r="M136" s="1637"/>
      <c r="N136" s="1161"/>
      <c r="O136" s="1161"/>
      <c r="P136" s="1161"/>
      <c r="Q136" s="1161"/>
      <c r="R136" s="1637"/>
      <c r="S136" s="1161"/>
      <c r="T136" s="1161"/>
      <c r="U136" s="545"/>
      <c r="V136" s="1161"/>
      <c r="W136" s="1161"/>
      <c r="X136" s="1161"/>
      <c r="Y136" s="1161"/>
      <c r="Z136" s="1161"/>
      <c r="AA136" s="1633"/>
      <c r="AB136" s="567"/>
      <c r="AC136" s="567"/>
      <c r="AD136" s="567"/>
      <c r="AE136" s="567"/>
      <c r="AF136" s="1642">
        <v>11</v>
      </c>
    </row>
    <row s="1642" customFormat="1" customHeight="1" ht="11.549999999999999">
      <c r="A137" s="988"/>
      <c r="B137" s="1637"/>
      <c r="C137" s="1637"/>
      <c r="D137" s="352"/>
      <c r="K137" s="1161"/>
      <c r="L137" s="1637"/>
      <c r="M137" s="1637"/>
      <c r="N137" s="1161"/>
      <c r="O137" s="1161"/>
      <c r="P137" s="1161"/>
      <c r="Q137" s="1161"/>
      <c r="R137" s="1637"/>
      <c r="S137" s="1161"/>
      <c r="T137" s="1161"/>
      <c r="U137" s="545"/>
      <c r="V137" s="1161"/>
      <c r="W137" s="1161"/>
      <c r="X137" s="1161"/>
      <c r="Y137" s="1161"/>
      <c r="Z137" s="1161"/>
      <c r="AA137" s="1633"/>
      <c r="AB137" s="567"/>
      <c r="AC137" s="567"/>
      <c r="AD137" s="567"/>
      <c r="AE137" s="567"/>
      <c r="AF137" s="1642">
        <v>11</v>
      </c>
    </row>
    <row s="1642" customFormat="1" customHeight="1" ht="11.549999999999999">
      <c r="A138" s="988"/>
      <c r="B138" s="1637"/>
      <c r="C138" s="1637"/>
      <c r="D138" s="352"/>
      <c r="K138" s="1161"/>
      <c r="L138" s="1637"/>
      <c r="M138" s="1637"/>
      <c r="N138" s="1161"/>
      <c r="O138" s="1161"/>
      <c r="P138" s="1161"/>
      <c r="Q138" s="1161"/>
      <c r="R138" s="1637"/>
      <c r="S138" s="1161"/>
      <c r="T138" s="1161"/>
      <c r="U138" s="545"/>
      <c r="V138" s="1161"/>
      <c r="W138" s="1161"/>
      <c r="X138" s="1161"/>
      <c r="Y138" s="1161"/>
      <c r="Z138" s="1161"/>
      <c r="AA138" s="1633"/>
      <c r="AB138" s="567"/>
      <c r="AC138" s="567"/>
      <c r="AD138" s="567"/>
      <c r="AE138" s="567"/>
      <c r="AF138" s="1642">
        <v>11</v>
      </c>
    </row>
    <row s="1642" customFormat="1" customHeight="1" ht="11.549999999999999">
      <c r="A139" s="988"/>
      <c r="B139" s="1637"/>
      <c r="C139" s="1637"/>
      <c r="D139" s="352"/>
      <c r="K139" s="1161"/>
      <c r="L139" s="1637"/>
      <c r="M139" s="1637"/>
      <c r="N139" s="1161"/>
      <c r="O139" s="1161"/>
      <c r="P139" s="1161"/>
      <c r="Q139" s="1161"/>
      <c r="R139" s="1637"/>
      <c r="S139" s="1161"/>
      <c r="T139" s="1161"/>
      <c r="U139" s="545"/>
      <c r="V139" s="1161"/>
      <c r="W139" s="1161"/>
      <c r="X139" s="1161"/>
      <c r="Y139" s="1161"/>
      <c r="Z139" s="1161"/>
      <c r="AA139" s="1633"/>
      <c r="AB139" s="567"/>
      <c r="AC139" s="567"/>
      <c r="AD139" s="567"/>
      <c r="AE139" s="567"/>
      <c r="AF139" s="1642">
        <v>11</v>
      </c>
    </row>
    <row s="1642" customFormat="1" customHeight="1" ht="11.549999999999999">
      <c r="A140" s="988"/>
      <c r="B140" s="1637"/>
      <c r="C140" s="1637"/>
      <c r="D140" s="352"/>
      <c r="K140" s="1161"/>
      <c r="L140" s="1637"/>
      <c r="M140" s="1637"/>
      <c r="N140" s="1161"/>
      <c r="O140" s="1161"/>
      <c r="P140" s="1161"/>
      <c r="Q140" s="1161"/>
      <c r="R140" s="1637"/>
      <c r="S140" s="1161"/>
      <c r="T140" s="1161"/>
      <c r="U140" s="545"/>
      <c r="V140" s="1161"/>
      <c r="W140" s="1161"/>
      <c r="X140" s="1161"/>
      <c r="Y140" s="1161"/>
      <c r="Z140" s="1161"/>
      <c r="AA140" s="1633"/>
      <c r="AB140" s="567"/>
      <c r="AC140" s="567"/>
      <c r="AD140" s="567"/>
      <c r="AE140" s="567"/>
      <c r="AF140" s="1642">
        <v>11</v>
      </c>
    </row>
    <row s="1642" customFormat="1" customHeight="1" ht="11.549999999999999">
      <c r="A141" s="988"/>
      <c r="B141" s="1637"/>
      <c r="C141" s="1637"/>
      <c r="D141" s="352"/>
      <c r="K141" s="1161"/>
      <c r="L141" s="1637"/>
      <c r="M141" s="1637"/>
      <c r="N141" s="1161"/>
      <c r="O141" s="1161"/>
      <c r="P141" s="1161"/>
      <c r="Q141" s="1161"/>
      <c r="R141" s="1637"/>
      <c r="S141" s="1161"/>
      <c r="T141" s="1161"/>
      <c r="U141" s="545"/>
      <c r="V141" s="1161"/>
      <c r="W141" s="1161"/>
      <c r="X141" s="1161"/>
      <c r="Y141" s="1161"/>
      <c r="Z141" s="1161"/>
      <c r="AA141" s="1633"/>
      <c r="AB141" s="567"/>
      <c r="AC141" s="567"/>
      <c r="AD141" s="567"/>
      <c r="AE141" s="567"/>
      <c r="AF141" s="1642">
        <v>11</v>
      </c>
    </row>
    <row s="1642" customFormat="1" customHeight="1" ht="11.549999999999999">
      <c r="A142" s="988"/>
      <c r="B142" s="1637"/>
      <c r="C142" s="1637"/>
      <c r="D142" s="352"/>
      <c r="K142" s="1161"/>
      <c r="L142" s="1637"/>
      <c r="M142" s="1637"/>
      <c r="N142" s="1161"/>
      <c r="O142" s="1161"/>
      <c r="P142" s="1161"/>
      <c r="Q142" s="1161"/>
      <c r="R142" s="1637"/>
      <c r="S142" s="1161"/>
      <c r="T142" s="1161"/>
      <c r="U142" s="545"/>
      <c r="V142" s="1161"/>
      <c r="W142" s="1161"/>
      <c r="X142" s="1161"/>
      <c r="Y142" s="1161"/>
      <c r="Z142" s="1161"/>
      <c r="AA142" s="1633"/>
      <c r="AB142" s="567"/>
      <c r="AC142" s="567"/>
      <c r="AD142" s="567"/>
      <c r="AE142" s="567"/>
      <c r="AF142" s="1642">
        <v>11</v>
      </c>
    </row>
    <row s="1642" customFormat="1" customHeight="1" ht="11.549999999999999">
      <c r="A143" s="988"/>
      <c r="B143" s="1637"/>
      <c r="C143" s="1637"/>
      <c r="D143" s="352"/>
      <c r="K143" s="1161"/>
      <c r="L143" s="1637"/>
      <c r="M143" s="1637"/>
      <c r="N143" s="1161"/>
      <c r="O143" s="1161"/>
      <c r="P143" s="1161"/>
      <c r="Q143" s="1161"/>
      <c r="R143" s="1637"/>
      <c r="S143" s="1161"/>
      <c r="T143" s="1161"/>
      <c r="U143" s="545"/>
      <c r="V143" s="1161"/>
      <c r="W143" s="1161"/>
      <c r="X143" s="1161"/>
      <c r="Y143" s="1161"/>
      <c r="Z143" s="1161"/>
      <c r="AA143" s="1633"/>
      <c r="AB143" s="567"/>
      <c r="AC143" s="567"/>
      <c r="AD143" s="567"/>
      <c r="AE143" s="567"/>
      <c r="AF143" s="1642">
        <v>11</v>
      </c>
    </row>
    <row s="1642" customFormat="1" customHeight="1" ht="11.549999999999999">
      <c r="A144" s="988"/>
      <c r="B144" s="1637"/>
      <c r="C144" s="1637"/>
      <c r="D144" s="352"/>
      <c r="K144" s="1161"/>
      <c r="L144" s="1637"/>
      <c r="M144" s="1637"/>
      <c r="N144" s="1161"/>
      <c r="O144" s="1161"/>
      <c r="P144" s="1161"/>
      <c r="Q144" s="1161"/>
      <c r="R144" s="1637"/>
      <c r="S144" s="1161"/>
      <c r="T144" s="1161"/>
      <c r="U144" s="545"/>
      <c r="V144" s="1161"/>
      <c r="W144" s="1161"/>
      <c r="X144" s="1161"/>
      <c r="Y144" s="1161"/>
      <c r="Z144" s="1161"/>
      <c r="AA144" s="1633"/>
      <c r="AB144" s="567"/>
      <c r="AC144" s="567"/>
      <c r="AD144" s="567"/>
      <c r="AE144" s="567"/>
      <c r="AF144" s="1642">
        <v>11</v>
      </c>
    </row>
    <row s="1642" customFormat="1" customHeight="1" ht="11.549999999999999">
      <c r="A145" s="988"/>
      <c r="B145" s="1637"/>
      <c r="C145" s="1637"/>
      <c r="D145" s="352"/>
      <c r="K145" s="1161"/>
      <c r="L145" s="1637"/>
      <c r="M145" s="1637"/>
      <c r="N145" s="1161"/>
      <c r="O145" s="1161"/>
      <c r="P145" s="1161"/>
      <c r="Q145" s="1161"/>
      <c r="R145" s="1637"/>
      <c r="S145" s="1161"/>
      <c r="T145" s="1161"/>
      <c r="U145" s="545"/>
      <c r="V145" s="1161"/>
      <c r="W145" s="1161"/>
      <c r="X145" s="1161"/>
      <c r="Y145" s="1161"/>
      <c r="Z145" s="1161"/>
      <c r="AA145" s="1633"/>
      <c r="AB145" s="567"/>
      <c r="AC145" s="567"/>
      <c r="AD145" s="567"/>
      <c r="AE145" s="567"/>
      <c r="AF145" s="1642">
        <v>11</v>
      </c>
    </row>
    <row s="1642" customFormat="1" customHeight="1" ht="11.549999999999999">
      <c r="A146" s="988"/>
      <c r="B146" s="1637"/>
      <c r="C146" s="1637"/>
      <c r="D146" s="352"/>
      <c r="K146" s="1161"/>
      <c r="L146" s="1637"/>
      <c r="M146" s="1637"/>
      <c r="N146" s="1161"/>
      <c r="O146" s="1161"/>
      <c r="P146" s="1161"/>
      <c r="Q146" s="1161"/>
      <c r="R146" s="1637"/>
      <c r="S146" s="1161"/>
      <c r="T146" s="1161"/>
      <c r="U146" s="545"/>
      <c r="V146" s="1161"/>
      <c r="W146" s="1161"/>
      <c r="X146" s="1161"/>
      <c r="Y146" s="1161"/>
      <c r="Z146" s="1161"/>
      <c r="AA146" s="1633"/>
      <c r="AB146" s="567"/>
      <c r="AC146" s="567"/>
      <c r="AD146" s="567"/>
      <c r="AE146" s="567"/>
      <c r="AF146" s="1642">
        <v>11</v>
      </c>
    </row>
    <row s="1642" customFormat="1" customHeight="1" ht="11.549999999999999">
      <c r="A147" s="988"/>
      <c r="B147" s="1637"/>
      <c r="C147" s="1637"/>
      <c r="D147" s="352"/>
      <c r="K147" s="1161"/>
      <c r="L147" s="1637"/>
      <c r="M147" s="1637"/>
      <c r="N147" s="1161"/>
      <c r="O147" s="1161"/>
      <c r="P147" s="1161"/>
      <c r="Q147" s="1161"/>
      <c r="R147" s="1637"/>
      <c r="S147" s="1161"/>
      <c r="T147" s="1161"/>
      <c r="U147" s="545"/>
      <c r="V147" s="1161"/>
      <c r="W147" s="1161"/>
      <c r="X147" s="1161"/>
      <c r="Y147" s="1161"/>
      <c r="Z147" s="1161"/>
      <c r="AA147" s="1633"/>
      <c r="AB147" s="567"/>
      <c r="AC147" s="567"/>
      <c r="AD147" s="567"/>
      <c r="AE147" s="567"/>
      <c r="AF147" s="1642">
        <v>11</v>
      </c>
    </row>
    <row s="1642" customFormat="1" customHeight="1" ht="11.549999999999999">
      <c r="A148" s="988"/>
      <c r="B148" s="1637"/>
      <c r="C148" s="1637"/>
      <c r="D148" s="352"/>
      <c r="K148" s="1161"/>
      <c r="L148" s="1637"/>
      <c r="M148" s="1637"/>
      <c r="N148" s="1161"/>
      <c r="O148" s="1161"/>
      <c r="P148" s="1161"/>
      <c r="Q148" s="1161"/>
      <c r="R148" s="1637"/>
      <c r="S148" s="1161"/>
      <c r="T148" s="1161"/>
      <c r="U148" s="545"/>
      <c r="V148" s="1161"/>
      <c r="W148" s="1161"/>
      <c r="X148" s="1161"/>
      <c r="Y148" s="1161"/>
      <c r="Z148" s="1161"/>
      <c r="AA148" s="1633"/>
      <c r="AB148" s="567"/>
      <c r="AC148" s="567"/>
      <c r="AD148" s="567"/>
      <c r="AE148" s="567"/>
      <c r="AF148" s="1642">
        <v>11</v>
      </c>
    </row>
    <row s="1642" customFormat="1" customHeight="1" ht="11.549999999999999">
      <c r="A149" s="988"/>
      <c r="B149" s="1637"/>
      <c r="C149" s="1637"/>
      <c r="D149" s="352"/>
      <c r="K149" s="1161"/>
      <c r="L149" s="1637"/>
      <c r="M149" s="1637"/>
      <c r="N149" s="1161"/>
      <c r="O149" s="1161"/>
      <c r="P149" s="1161"/>
      <c r="Q149" s="1161"/>
      <c r="R149" s="1637"/>
      <c r="S149" s="1161"/>
      <c r="T149" s="1161"/>
      <c r="U149" s="545"/>
      <c r="V149" s="1161"/>
      <c r="W149" s="1161"/>
      <c r="X149" s="1161"/>
      <c r="Y149" s="1161"/>
      <c r="Z149" s="1161"/>
      <c r="AA149" s="1633"/>
      <c r="AB149" s="567"/>
      <c r="AC149" s="567"/>
      <c r="AD149" s="567"/>
      <c r="AE149" s="567"/>
      <c r="AF149" s="1642">
        <v>11</v>
      </c>
    </row>
    <row s="1642" customFormat="1" customHeight="1" ht="11.549999999999999">
      <c r="A150" s="988"/>
      <c r="B150" s="1637"/>
      <c r="C150" s="1637"/>
      <c r="D150" s="352"/>
      <c r="K150" s="1161"/>
      <c r="L150" s="1637"/>
      <c r="M150" s="1637"/>
      <c r="N150" s="1161"/>
      <c r="O150" s="1161"/>
      <c r="P150" s="1161"/>
      <c r="Q150" s="1161"/>
      <c r="R150" s="1637"/>
      <c r="S150" s="1161"/>
      <c r="T150" s="1161"/>
      <c r="U150" s="545"/>
      <c r="V150" s="1161"/>
      <c r="W150" s="1161"/>
      <c r="X150" s="1161"/>
      <c r="Y150" s="1161"/>
      <c r="Z150" s="1161"/>
      <c r="AA150" s="1633"/>
      <c r="AB150" s="567"/>
      <c r="AC150" s="567"/>
      <c r="AD150" s="567"/>
      <c r="AE150" s="567"/>
      <c r="AF150" s="1642">
        <v>11</v>
      </c>
    </row>
    <row s="1642" customFormat="1" customHeight="1" ht="11.549999999999999">
      <c r="A151" s="988"/>
      <c r="B151" s="1637"/>
      <c r="C151" s="1637"/>
      <c r="D151" s="352"/>
      <c r="K151" s="1161"/>
      <c r="L151" s="1637"/>
      <c r="M151" s="1637"/>
      <c r="N151" s="1161"/>
      <c r="O151" s="1161"/>
      <c r="P151" s="1161"/>
      <c r="Q151" s="1161"/>
      <c r="R151" s="1637"/>
      <c r="S151" s="1161"/>
      <c r="T151" s="1161"/>
      <c r="U151" s="545"/>
      <c r="V151" s="1161"/>
      <c r="W151" s="1161"/>
      <c r="X151" s="1161"/>
      <c r="Y151" s="1161"/>
      <c r="Z151" s="1161"/>
      <c r="AA151" s="1633"/>
      <c r="AB151" s="567"/>
      <c r="AC151" s="567"/>
      <c r="AD151" s="567"/>
      <c r="AE151" s="567"/>
      <c r="AF151" s="1642">
        <v>11</v>
      </c>
    </row>
    <row s="1642" customFormat="1" customHeight="1" ht="11.549999999999999">
      <c r="A152" s="988"/>
      <c r="B152" s="1637"/>
      <c r="C152" s="1637"/>
      <c r="D152" s="352"/>
      <c r="K152" s="1161"/>
      <c r="L152" s="1637"/>
      <c r="M152" s="1637"/>
      <c r="N152" s="1161"/>
      <c r="O152" s="1161"/>
      <c r="P152" s="1161"/>
      <c r="Q152" s="1161"/>
      <c r="R152" s="1637"/>
      <c r="S152" s="1161"/>
      <c r="T152" s="1161"/>
      <c r="U152" s="545"/>
      <c r="V152" s="1161"/>
      <c r="W152" s="1161"/>
      <c r="X152" s="1161"/>
      <c r="Y152" s="1161"/>
      <c r="Z152" s="1161"/>
      <c r="AA152" s="1633"/>
      <c r="AB152" s="567"/>
      <c r="AC152" s="567"/>
      <c r="AD152" s="567"/>
      <c r="AE152" s="567"/>
      <c r="AF152" s="1642">
        <v>11</v>
      </c>
    </row>
    <row s="1642" customFormat="1" customHeight="1" ht="11.549999999999999">
      <c r="A153" s="988"/>
      <c r="B153" s="1637"/>
      <c r="C153" s="1637"/>
      <c r="D153" s="352"/>
      <c r="K153" s="1161"/>
      <c r="L153" s="1637"/>
      <c r="M153" s="1637"/>
      <c r="N153" s="1161"/>
      <c r="O153" s="1161"/>
      <c r="P153" s="1161"/>
      <c r="Q153" s="1161"/>
      <c r="R153" s="1637"/>
      <c r="S153" s="1161"/>
      <c r="T153" s="1161"/>
      <c r="U153" s="545"/>
      <c r="V153" s="1161"/>
      <c r="W153" s="1161"/>
      <c r="X153" s="1161"/>
      <c r="Y153" s="1161"/>
      <c r="Z153" s="1161"/>
      <c r="AA153" s="1633"/>
      <c r="AB153" s="567"/>
      <c r="AC153" s="567"/>
      <c r="AD153" s="567"/>
      <c r="AE153" s="567"/>
      <c r="AF153" s="1642">
        <v>11</v>
      </c>
    </row>
    <row s="1642" customFormat="1" customHeight="1" ht="11.549999999999999">
      <c r="A154" s="988"/>
      <c r="B154" s="1637"/>
      <c r="C154" s="1637"/>
      <c r="D154" s="352"/>
      <c r="K154" s="1161"/>
      <c r="L154" s="1637"/>
      <c r="M154" s="1637"/>
      <c r="N154" s="1161"/>
      <c r="O154" s="1161"/>
      <c r="P154" s="1161"/>
      <c r="Q154" s="1161"/>
      <c r="R154" s="1637"/>
      <c r="S154" s="1161"/>
      <c r="T154" s="1161"/>
      <c r="U154" s="545"/>
      <c r="V154" s="1161"/>
      <c r="W154" s="1161"/>
      <c r="X154" s="1161"/>
      <c r="Y154" s="1161"/>
      <c r="Z154" s="1161"/>
      <c r="AA154" s="1633"/>
      <c r="AB154" s="567"/>
      <c r="AC154" s="567"/>
      <c r="AD154" s="567"/>
      <c r="AE154" s="567"/>
      <c r="AF154" s="1642">
        <v>11</v>
      </c>
    </row>
    <row s="1642" customFormat="1" customHeight="1" ht="11.549999999999999">
      <c r="A155" s="988"/>
      <c r="B155" s="1637"/>
      <c r="C155" s="1637"/>
      <c r="D155" s="352"/>
      <c r="K155" s="1161"/>
      <c r="L155" s="1637"/>
      <c r="M155" s="1637"/>
      <c r="N155" s="1161"/>
      <c r="O155" s="1161"/>
      <c r="P155" s="1161"/>
      <c r="Q155" s="1161"/>
      <c r="R155" s="1637"/>
      <c r="S155" s="1161"/>
      <c r="T155" s="1161"/>
      <c r="U155" s="545"/>
      <c r="V155" s="1161"/>
      <c r="W155" s="1161"/>
      <c r="X155" s="1161"/>
      <c r="Y155" s="1161"/>
      <c r="Z155" s="1161"/>
      <c r="AA155" s="1633"/>
      <c r="AB155" s="567"/>
      <c r="AC155" s="567"/>
      <c r="AD155" s="567"/>
      <c r="AE155" s="567"/>
      <c r="AF155" s="1642">
        <v>11</v>
      </c>
    </row>
    <row s="1642" customFormat="1" customHeight="1" ht="11.549999999999999">
      <c r="A156" s="988"/>
      <c r="B156" s="1637"/>
      <c r="C156" s="1637"/>
      <c r="D156" s="352"/>
      <c r="K156" s="1161"/>
      <c r="L156" s="1637"/>
      <c r="M156" s="1637"/>
      <c r="N156" s="1161"/>
      <c r="O156" s="1161"/>
      <c r="P156" s="1161"/>
      <c r="Q156" s="1161"/>
      <c r="R156" s="1637"/>
      <c r="S156" s="1161"/>
      <c r="T156" s="1161"/>
      <c r="U156" s="545"/>
      <c r="V156" s="1161"/>
      <c r="W156" s="1161"/>
      <c r="X156" s="1161"/>
      <c r="Y156" s="1161"/>
      <c r="Z156" s="1161"/>
      <c r="AA156" s="1633"/>
      <c r="AB156" s="567"/>
      <c r="AC156" s="567"/>
      <c r="AD156" s="567"/>
      <c r="AE156" s="567"/>
      <c r="AF156" s="1642">
        <v>11</v>
      </c>
    </row>
    <row s="1642" customFormat="1" customHeight="1" ht="11.549999999999999">
      <c r="A157" s="988"/>
      <c r="B157" s="1637"/>
      <c r="C157" s="1637"/>
      <c r="D157" s="352"/>
      <c r="K157" s="1161"/>
      <c r="L157" s="1637"/>
      <c r="M157" s="1637"/>
      <c r="N157" s="1161"/>
      <c r="O157" s="1161"/>
      <c r="P157" s="1161"/>
      <c r="Q157" s="1161"/>
      <c r="R157" s="1637"/>
      <c r="S157" s="1161"/>
      <c r="T157" s="1161"/>
      <c r="U157" s="545"/>
      <c r="V157" s="1161"/>
      <c r="W157" s="1161"/>
      <c r="X157" s="1161"/>
      <c r="Y157" s="1161"/>
      <c r="Z157" s="1161"/>
      <c r="AA157" s="1633"/>
      <c r="AB157" s="567"/>
      <c r="AC157" s="567"/>
      <c r="AD157" s="567"/>
      <c r="AE157" s="567"/>
      <c r="AF157" s="1642">
        <v>11</v>
      </c>
    </row>
    <row s="1642" customFormat="1" customHeight="1" ht="11.549999999999999">
      <c r="A158" s="988"/>
      <c r="B158" s="1637"/>
      <c r="C158" s="1637"/>
      <c r="D158" s="352"/>
      <c r="K158" s="1161"/>
      <c r="L158" s="1637"/>
      <c r="M158" s="1637"/>
      <c r="N158" s="1161"/>
      <c r="O158" s="1161"/>
      <c r="P158" s="1161"/>
      <c r="Q158" s="1161"/>
      <c r="R158" s="1637"/>
      <c r="S158" s="1161"/>
      <c r="T158" s="1161"/>
      <c r="U158" s="545"/>
      <c r="V158" s="1161"/>
      <c r="W158" s="1161"/>
      <c r="X158" s="1161"/>
      <c r="Y158" s="1161"/>
      <c r="Z158" s="1161"/>
      <c r="AA158" s="1633"/>
      <c r="AB158" s="567"/>
      <c r="AC158" s="567"/>
      <c r="AD158" s="567"/>
      <c r="AE158" s="567"/>
      <c r="AF158" s="1642">
        <v>11</v>
      </c>
    </row>
    <row s="1642" customFormat="1" customHeight="1" ht="11.549999999999999">
      <c r="A159" s="988"/>
      <c r="B159" s="1637"/>
      <c r="C159" s="1637"/>
      <c r="D159" s="352"/>
      <c r="K159" s="1161"/>
      <c r="L159" s="1637"/>
      <c r="M159" s="1637"/>
      <c r="N159" s="1161"/>
      <c r="O159" s="1161"/>
      <c r="P159" s="1161"/>
      <c r="Q159" s="1161"/>
      <c r="R159" s="1637"/>
      <c r="S159" s="1161"/>
      <c r="T159" s="1161"/>
      <c r="U159" s="545"/>
      <c r="V159" s="1161"/>
      <c r="W159" s="1161"/>
      <c r="X159" s="1161"/>
      <c r="Y159" s="1161"/>
      <c r="Z159" s="1161"/>
      <c r="AA159" s="1633"/>
      <c r="AB159" s="567"/>
      <c r="AC159" s="567"/>
      <c r="AD159" s="567"/>
      <c r="AE159" s="567"/>
      <c r="AF159" s="1642">
        <v>11</v>
      </c>
    </row>
    <row s="1642" customFormat="1" customHeight="1" ht="11.549999999999999">
      <c r="A160" s="988"/>
      <c r="B160" s="1637"/>
      <c r="C160" s="1637"/>
      <c r="D160" s="352"/>
      <c r="K160" s="1161"/>
      <c r="L160" s="1637"/>
      <c r="M160" s="1637"/>
      <c r="N160" s="1161"/>
      <c r="O160" s="1161"/>
      <c r="P160" s="1161"/>
      <c r="Q160" s="1161"/>
      <c r="R160" s="1637"/>
      <c r="S160" s="1161"/>
      <c r="T160" s="1161"/>
      <c r="U160" s="545"/>
      <c r="V160" s="1161"/>
      <c r="W160" s="1161"/>
      <c r="X160" s="1161"/>
      <c r="Y160" s="1161"/>
      <c r="Z160" s="1161"/>
      <c r="AA160" s="1633"/>
      <c r="AB160" s="567"/>
      <c r="AC160" s="567"/>
      <c r="AD160" s="567"/>
      <c r="AE160" s="567"/>
      <c r="AF160" s="1642">
        <v>11</v>
      </c>
    </row>
    <row s="1642" customFormat="1" customHeight="1" ht="11.549999999999999">
      <c r="A161" s="988"/>
      <c r="B161" s="1637"/>
      <c r="C161" s="1637"/>
      <c r="D161" s="352"/>
      <c r="K161" s="1161"/>
      <c r="L161" s="1637"/>
      <c r="M161" s="1637"/>
      <c r="N161" s="1161"/>
      <c r="O161" s="1161"/>
      <c r="P161" s="1161"/>
      <c r="Q161" s="1161"/>
      <c r="R161" s="1637"/>
      <c r="S161" s="1161"/>
      <c r="T161" s="1161"/>
      <c r="U161" s="545"/>
      <c r="V161" s="1161"/>
      <c r="W161" s="1161"/>
      <c r="X161" s="1161"/>
      <c r="Y161" s="1161"/>
      <c r="Z161" s="1161"/>
      <c r="AA161" s="1633"/>
      <c r="AB161" s="567"/>
      <c r="AC161" s="567"/>
      <c r="AD161" s="567"/>
      <c r="AE161" s="567"/>
      <c r="AF161" s="1642">
        <v>11</v>
      </c>
    </row>
    <row s="1642" customFormat="1" customHeight="1" ht="11.549999999999999">
      <c r="A162" s="988"/>
      <c r="B162" s="1637"/>
      <c r="C162" s="1637"/>
      <c r="D162" s="352"/>
      <c r="K162" s="1161"/>
      <c r="L162" s="1637"/>
      <c r="M162" s="1637"/>
      <c r="N162" s="1161"/>
      <c r="O162" s="1161"/>
      <c r="P162" s="1161"/>
      <c r="Q162" s="1161"/>
      <c r="R162" s="1637"/>
      <c r="S162" s="1161"/>
      <c r="T162" s="1161"/>
      <c r="U162" s="545"/>
      <c r="V162" s="1161"/>
      <c r="W162" s="1161"/>
      <c r="X162" s="1161"/>
      <c r="Y162" s="1161"/>
      <c r="Z162" s="1161"/>
      <c r="AA162" s="1633"/>
      <c r="AB162" s="567"/>
      <c r="AC162" s="567"/>
      <c r="AD162" s="567"/>
      <c r="AE162" s="567"/>
      <c r="AF162" s="1642">
        <v>11</v>
      </c>
    </row>
    <row s="1642" customFormat="1" customHeight="1" ht="11.549999999999999">
      <c r="A163" s="988"/>
      <c r="B163" s="1637"/>
      <c r="C163" s="1637"/>
      <c r="D163" s="352"/>
      <c r="K163" s="1161"/>
      <c r="L163" s="1637"/>
      <c r="M163" s="1637"/>
      <c r="N163" s="1161"/>
      <c r="O163" s="1161"/>
      <c r="P163" s="1161"/>
      <c r="Q163" s="1161"/>
      <c r="R163" s="1637"/>
      <c r="S163" s="1161"/>
      <c r="T163" s="1161"/>
      <c r="U163" s="545"/>
      <c r="V163" s="1161"/>
      <c r="W163" s="1161"/>
      <c r="X163" s="1161"/>
      <c r="Y163" s="1161"/>
      <c r="Z163" s="1161"/>
      <c r="AA163" s="1633"/>
      <c r="AB163" s="567"/>
      <c r="AC163" s="567"/>
      <c r="AD163" s="567"/>
      <c r="AE163" s="567"/>
      <c r="AF163" s="1642">
        <v>11</v>
      </c>
    </row>
    <row s="1642" customFormat="1" customHeight="1" ht="11.549999999999999">
      <c r="A164" s="988"/>
      <c r="B164" s="1637"/>
      <c r="C164" s="1637"/>
      <c r="D164" s="352"/>
      <c r="K164" s="1161"/>
      <c r="L164" s="1637"/>
      <c r="M164" s="1637"/>
      <c r="N164" s="1161"/>
      <c r="O164" s="1161"/>
      <c r="P164" s="1161"/>
      <c r="Q164" s="1161"/>
      <c r="R164" s="1637"/>
      <c r="S164" s="1161"/>
      <c r="T164" s="1161"/>
      <c r="U164" s="545"/>
      <c r="V164" s="1161"/>
      <c r="W164" s="1161"/>
      <c r="X164" s="1161"/>
      <c r="Y164" s="1161"/>
      <c r="Z164" s="1161"/>
      <c r="AA164" s="1633"/>
      <c r="AB164" s="567"/>
      <c r="AC164" s="567"/>
      <c r="AD164" s="567"/>
      <c r="AE164" s="567"/>
      <c r="AF164" s="1642">
        <v>11</v>
      </c>
    </row>
    <row s="1642" customFormat="1" customHeight="1" ht="11.549999999999999">
      <c r="A165" s="988"/>
      <c r="B165" s="1637"/>
      <c r="C165" s="1637"/>
      <c r="D165" s="352"/>
      <c r="K165" s="1161"/>
      <c r="L165" s="1637"/>
      <c r="M165" s="1637"/>
      <c r="N165" s="1161"/>
      <c r="O165" s="1161"/>
      <c r="P165" s="1161"/>
      <c r="Q165" s="1161"/>
      <c r="R165" s="1637"/>
      <c r="S165" s="1161"/>
      <c r="T165" s="1161"/>
      <c r="U165" s="545"/>
      <c r="V165" s="1161"/>
      <c r="W165" s="1161"/>
      <c r="X165" s="1161"/>
      <c r="Y165" s="1161"/>
      <c r="Z165" s="1161"/>
      <c r="AA165" s="1633"/>
      <c r="AB165" s="567"/>
      <c r="AC165" s="567"/>
      <c r="AD165" s="567"/>
      <c r="AE165" s="567"/>
      <c r="AF165" s="1642">
        <v>11</v>
      </c>
    </row>
    <row s="1642" customFormat="1" customHeight="1" ht="11.549999999999999">
      <c r="A166" s="988"/>
      <c r="B166" s="1637"/>
      <c r="C166" s="1637"/>
      <c r="D166" s="352"/>
      <c r="K166" s="1161"/>
      <c r="L166" s="1637"/>
      <c r="M166" s="1637"/>
      <c r="N166" s="1161"/>
      <c r="O166" s="1161"/>
      <c r="P166" s="1161"/>
      <c r="Q166" s="1161"/>
      <c r="R166" s="1637"/>
      <c r="S166" s="1161"/>
      <c r="T166" s="1161"/>
      <c r="U166" s="545"/>
      <c r="V166" s="1161"/>
      <c r="W166" s="1161"/>
      <c r="X166" s="1161"/>
      <c r="Y166" s="1161"/>
      <c r="Z166" s="1161"/>
      <c r="AA166" s="1633"/>
      <c r="AB166" s="567"/>
      <c r="AC166" s="567"/>
      <c r="AD166" s="567"/>
      <c r="AE166" s="567"/>
      <c r="AF166" s="1642">
        <v>11</v>
      </c>
    </row>
    <row s="1642" customFormat="1" customHeight="1" ht="11.549999999999999">
      <c r="A167" s="988"/>
      <c r="B167" s="1637"/>
      <c r="C167" s="1637"/>
      <c r="D167" s="352"/>
      <c r="K167" s="1161"/>
      <c r="L167" s="1637"/>
      <c r="M167" s="1637"/>
      <c r="N167" s="1161"/>
      <c r="O167" s="1161"/>
      <c r="P167" s="1161"/>
      <c r="Q167" s="1161"/>
      <c r="R167" s="1637"/>
      <c r="S167" s="1161"/>
      <c r="T167" s="1161"/>
      <c r="U167" s="545"/>
      <c r="V167" s="1161"/>
      <c r="W167" s="1161"/>
      <c r="X167" s="1161"/>
      <c r="Y167" s="1161"/>
      <c r="Z167" s="1161"/>
      <c r="AA167" s="1633"/>
      <c r="AB167" s="567"/>
      <c r="AC167" s="567"/>
      <c r="AD167" s="567"/>
      <c r="AE167" s="567"/>
      <c r="AF167" s="1642">
        <v>11</v>
      </c>
    </row>
    <row s="1642" customFormat="1" customHeight="1" ht="11.549999999999999">
      <c r="A168" s="988"/>
      <c r="B168" s="1637"/>
      <c r="C168" s="1637"/>
      <c r="D168" s="352"/>
      <c r="K168" s="1161"/>
      <c r="L168" s="1637"/>
      <c r="M168" s="1637"/>
      <c r="N168" s="1161"/>
      <c r="O168" s="1161"/>
      <c r="P168" s="1161"/>
      <c r="Q168" s="1161"/>
      <c r="R168" s="1637"/>
      <c r="S168" s="1161"/>
      <c r="T168" s="1161"/>
      <c r="U168" s="545"/>
      <c r="V168" s="1161"/>
      <c r="W168" s="1161"/>
      <c r="X168" s="1161"/>
      <c r="Y168" s="1161"/>
      <c r="Z168" s="1161"/>
      <c r="AA168" s="1633"/>
      <c r="AB168" s="567"/>
      <c r="AC168" s="567"/>
      <c r="AD168" s="567"/>
      <c r="AE168" s="567"/>
      <c r="AF168" s="1642">
        <v>11</v>
      </c>
    </row>
    <row s="1642" customFormat="1" customHeight="1" ht="11.549999999999999">
      <c r="A169" s="988"/>
      <c r="B169" s="1637"/>
      <c r="C169" s="1637"/>
      <c r="D169" s="352"/>
      <c r="K169" s="1161"/>
      <c r="L169" s="1637"/>
      <c r="M169" s="1637"/>
      <c r="N169" s="1161"/>
      <c r="O169" s="1161"/>
      <c r="P169" s="1161"/>
      <c r="Q169" s="1161"/>
      <c r="R169" s="1637"/>
      <c r="S169" s="1161"/>
      <c r="T169" s="1161"/>
      <c r="U169" s="545"/>
      <c r="V169" s="1161"/>
      <c r="W169" s="1161"/>
      <c r="X169" s="1161"/>
      <c r="Y169" s="1161"/>
      <c r="Z169" s="1161"/>
      <c r="AA169" s="1633"/>
      <c r="AB169" s="567"/>
      <c r="AC169" s="567"/>
      <c r="AD169" s="567"/>
      <c r="AE169" s="567"/>
      <c r="AF169" s="1642">
        <v>11</v>
      </c>
    </row>
    <row s="1642" customFormat="1" customHeight="1" ht="11.549999999999999">
      <c r="A170" s="988"/>
      <c r="B170" s="1637"/>
      <c r="C170" s="1637"/>
      <c r="D170" s="352"/>
      <c r="K170" s="1161"/>
      <c r="L170" s="1637"/>
      <c r="M170" s="1637"/>
      <c r="N170" s="1161"/>
      <c r="O170" s="1161"/>
      <c r="P170" s="1161"/>
      <c r="Q170" s="1161"/>
      <c r="R170" s="1637"/>
      <c r="S170" s="1161"/>
      <c r="T170" s="1161"/>
      <c r="U170" s="545"/>
      <c r="V170" s="1161"/>
      <c r="W170" s="1161"/>
      <c r="X170" s="1161"/>
      <c r="Y170" s="1161"/>
      <c r="Z170" s="1161"/>
      <c r="AA170" s="1633"/>
      <c r="AB170" s="567"/>
      <c r="AC170" s="567"/>
      <c r="AD170" s="567"/>
      <c r="AE170" s="567"/>
      <c r="AF170" s="1642">
        <v>11</v>
      </c>
    </row>
    <row s="1642" customFormat="1" customHeight="1" ht="11.549999999999999">
      <c r="A171" s="988"/>
      <c r="B171" s="1637"/>
      <c r="C171" s="1637"/>
      <c r="D171" s="352"/>
      <c r="K171" s="1161"/>
      <c r="L171" s="1637"/>
      <c r="M171" s="1637"/>
      <c r="N171" s="1161"/>
      <c r="O171" s="1161"/>
      <c r="P171" s="1161"/>
      <c r="Q171" s="1161"/>
      <c r="R171" s="1637"/>
      <c r="S171" s="1161"/>
      <c r="T171" s="1161"/>
      <c r="U171" s="545"/>
      <c r="V171" s="1161"/>
      <c r="W171" s="1161"/>
      <c r="X171" s="1161"/>
      <c r="Y171" s="1161"/>
      <c r="Z171" s="1161"/>
      <c r="AA171" s="1633"/>
      <c r="AB171" s="567"/>
      <c r="AC171" s="567"/>
      <c r="AD171" s="567"/>
      <c r="AE171" s="567"/>
      <c r="AF171" s="1642">
        <v>11</v>
      </c>
    </row>
    <row s="1642" customFormat="1" customHeight="1" ht="11.549999999999999">
      <c r="A172" s="988"/>
      <c r="B172" s="1637"/>
      <c r="C172" s="1637"/>
      <c r="D172" s="352"/>
      <c r="K172" s="1161"/>
      <c r="L172" s="1637"/>
      <c r="M172" s="1637"/>
      <c r="N172" s="1161"/>
      <c r="O172" s="1161"/>
      <c r="P172" s="1161"/>
      <c r="Q172" s="1161"/>
      <c r="R172" s="1637"/>
      <c r="S172" s="1161"/>
      <c r="T172" s="1161"/>
      <c r="U172" s="545"/>
      <c r="V172" s="1161"/>
      <c r="W172" s="1161"/>
      <c r="X172" s="1161"/>
      <c r="Y172" s="1161"/>
      <c r="Z172" s="1161"/>
      <c r="AA172" s="1633"/>
      <c r="AB172" s="567"/>
      <c r="AC172" s="567"/>
      <c r="AD172" s="567"/>
      <c r="AE172" s="567"/>
      <c r="AF172" s="1642">
        <v>11</v>
      </c>
    </row>
    <row s="1642" customFormat="1" customHeight="1" ht="11.549999999999999">
      <c r="A173" s="988"/>
      <c r="B173" s="1637"/>
      <c r="C173" s="1637"/>
      <c r="D173" s="352"/>
      <c r="K173" s="1161"/>
      <c r="L173" s="1637"/>
      <c r="M173" s="1637"/>
      <c r="N173" s="1161"/>
      <c r="O173" s="1161"/>
      <c r="P173" s="1161"/>
      <c r="Q173" s="1161"/>
      <c r="R173" s="1637"/>
      <c r="S173" s="1161"/>
      <c r="T173" s="1161"/>
      <c r="U173" s="545"/>
      <c r="V173" s="1161"/>
      <c r="W173" s="1161"/>
      <c r="X173" s="1161"/>
      <c r="Y173" s="1161"/>
      <c r="Z173" s="1161"/>
      <c r="AA173" s="1633"/>
      <c r="AB173" s="567"/>
      <c r="AC173" s="567"/>
      <c r="AD173" s="567"/>
      <c r="AE173" s="567"/>
      <c r="AF173" s="1642">
        <v>11</v>
      </c>
    </row>
    <row s="1642" customFormat="1" customHeight="1" ht="11.549999999999999">
      <c r="A174" s="988"/>
      <c r="B174" s="1637"/>
      <c r="C174" s="1637"/>
      <c r="D174" s="352"/>
      <c r="K174" s="1161"/>
      <c r="L174" s="1637"/>
      <c r="M174" s="1637"/>
      <c r="N174" s="1161"/>
      <c r="O174" s="1161"/>
      <c r="P174" s="1161"/>
      <c r="Q174" s="1161"/>
      <c r="R174" s="1637"/>
      <c r="S174" s="1161"/>
      <c r="T174" s="1161"/>
      <c r="U174" s="545"/>
      <c r="V174" s="1161"/>
      <c r="W174" s="1161"/>
      <c r="X174" s="1161"/>
      <c r="Y174" s="1161"/>
      <c r="Z174" s="1161"/>
      <c r="AA174" s="1633"/>
      <c r="AB174" s="567"/>
      <c r="AC174" s="567"/>
      <c r="AD174" s="567"/>
      <c r="AE174" s="567"/>
      <c r="AF174" s="1642">
        <v>11</v>
      </c>
    </row>
    <row s="1642" customFormat="1" customHeight="1" ht="11.549999999999999">
      <c r="A175" s="988"/>
      <c r="B175" s="1637"/>
      <c r="C175" s="1637"/>
      <c r="D175" s="352"/>
      <c r="K175" s="1161"/>
      <c r="L175" s="1637"/>
      <c r="M175" s="1637"/>
      <c r="N175" s="1161"/>
      <c r="O175" s="1161"/>
      <c r="P175" s="1161"/>
      <c r="Q175" s="1161"/>
      <c r="R175" s="1637"/>
      <c r="S175" s="1161"/>
      <c r="T175" s="1161"/>
      <c r="U175" s="545"/>
      <c r="V175" s="1161"/>
      <c r="W175" s="1161"/>
      <c r="X175" s="1161"/>
      <c r="Y175" s="1161"/>
      <c r="Z175" s="1161"/>
      <c r="AA175" s="1633"/>
      <c r="AB175" s="567"/>
      <c r="AC175" s="567"/>
      <c r="AD175" s="567"/>
      <c r="AE175" s="567"/>
      <c r="AF175" s="1642">
        <v>11</v>
      </c>
    </row>
    <row s="1642" customFormat="1" customHeight="1" ht="11.549999999999999">
      <c r="A176" s="988"/>
      <c r="B176" s="1637"/>
      <c r="C176" s="1637"/>
      <c r="D176" s="352"/>
      <c r="K176" s="1161"/>
      <c r="L176" s="1637"/>
      <c r="M176" s="1637"/>
      <c r="N176" s="1161"/>
      <c r="O176" s="1161"/>
      <c r="P176" s="1161"/>
      <c r="Q176" s="1161"/>
      <c r="R176" s="1637"/>
      <c r="S176" s="1161"/>
      <c r="T176" s="1161"/>
      <c r="U176" s="545"/>
      <c r="V176" s="1161"/>
      <c r="W176" s="1161"/>
      <c r="X176" s="1161"/>
      <c r="Y176" s="1161"/>
      <c r="Z176" s="1161"/>
      <c r="AA176" s="1633"/>
      <c r="AB176" s="567"/>
      <c r="AC176" s="567"/>
      <c r="AD176" s="567"/>
      <c r="AE176" s="567"/>
      <c r="AF176" s="1642">
        <v>11</v>
      </c>
    </row>
    <row s="1642" customFormat="1" customHeight="1" ht="11.549999999999999">
      <c r="A177" s="988"/>
      <c r="B177" s="1637"/>
      <c r="C177" s="1637"/>
      <c r="D177" s="352"/>
      <c r="K177" s="1161"/>
      <c r="L177" s="1637"/>
      <c r="M177" s="1637"/>
      <c r="N177" s="1161"/>
      <c r="O177" s="1161"/>
      <c r="P177" s="1161"/>
      <c r="Q177" s="1161"/>
      <c r="R177" s="1637"/>
      <c r="S177" s="1161"/>
      <c r="T177" s="1161"/>
      <c r="U177" s="545"/>
      <c r="V177" s="1161"/>
      <c r="W177" s="1161"/>
      <c r="X177" s="1161"/>
      <c r="Y177" s="1161"/>
      <c r="Z177" s="1161"/>
      <c r="AA177" s="1633"/>
      <c r="AB177" s="567"/>
      <c r="AC177" s="567"/>
      <c r="AD177" s="567"/>
      <c r="AE177" s="567"/>
      <c r="AF177" s="1642">
        <v>11</v>
      </c>
    </row>
    <row s="1642" customFormat="1" customHeight="1" ht="11.549999999999999">
      <c r="A178" s="988"/>
      <c r="B178" s="1637"/>
      <c r="C178" s="1637"/>
      <c r="D178" s="352"/>
      <c r="K178" s="1161"/>
      <c r="L178" s="1637"/>
      <c r="M178" s="1637"/>
      <c r="N178" s="1161"/>
      <c r="O178" s="1161"/>
      <c r="P178" s="1161"/>
      <c r="Q178" s="1161"/>
      <c r="R178" s="1637"/>
      <c r="S178" s="1161"/>
      <c r="T178" s="1161"/>
      <c r="U178" s="545"/>
      <c r="V178" s="1161"/>
      <c r="W178" s="1161"/>
      <c r="X178" s="1161"/>
      <c r="Y178" s="1161"/>
      <c r="Z178" s="1161"/>
      <c r="AA178" s="1633"/>
      <c r="AB178" s="567"/>
      <c r="AC178" s="567"/>
      <c r="AD178" s="567"/>
      <c r="AE178" s="567"/>
      <c r="AF178" s="1642">
        <v>11</v>
      </c>
    </row>
    <row s="1642" customFormat="1" customHeight="1" ht="11.549999999999999">
      <c r="A179" s="988"/>
      <c r="B179" s="1637"/>
      <c r="C179" s="1637"/>
      <c r="D179" s="352"/>
      <c r="K179" s="1161"/>
      <c r="L179" s="1637"/>
      <c r="M179" s="1637"/>
      <c r="N179" s="1161"/>
      <c r="O179" s="1161"/>
      <c r="P179" s="1161"/>
      <c r="Q179" s="1161"/>
      <c r="R179" s="1637"/>
      <c r="S179" s="1161"/>
      <c r="T179" s="1161"/>
      <c r="U179" s="545"/>
      <c r="V179" s="1161"/>
      <c r="W179" s="1161"/>
      <c r="X179" s="1161"/>
      <c r="Y179" s="1161"/>
      <c r="Z179" s="1161"/>
      <c r="AA179" s="1633"/>
      <c r="AB179" s="567"/>
      <c r="AC179" s="567"/>
      <c r="AD179" s="567"/>
      <c r="AE179" s="567"/>
      <c r="AF179" s="1642">
        <v>11</v>
      </c>
    </row>
    <row s="1642" customFormat="1" customHeight="1" ht="11.549999999999999">
      <c r="A180" s="988"/>
      <c r="B180" s="1637"/>
      <c r="C180" s="1637"/>
      <c r="D180" s="352"/>
      <c r="K180" s="1161"/>
      <c r="L180" s="1637"/>
      <c r="M180" s="1637"/>
      <c r="N180" s="1161"/>
      <c r="O180" s="1161"/>
      <c r="P180" s="1161"/>
      <c r="Q180" s="1161"/>
      <c r="R180" s="1637"/>
      <c r="S180" s="1161"/>
      <c r="T180" s="1161"/>
      <c r="U180" s="545"/>
      <c r="V180" s="1161"/>
      <c r="W180" s="1161"/>
      <c r="X180" s="1161"/>
      <c r="Y180" s="1161"/>
      <c r="Z180" s="1161"/>
      <c r="AA180" s="1633"/>
      <c r="AB180" s="567"/>
      <c r="AC180" s="567"/>
      <c r="AD180" s="567"/>
      <c r="AE180" s="567"/>
      <c r="AF180" s="1642">
        <v>11</v>
      </c>
    </row>
    <row s="1642" customFormat="1" customHeight="1" ht="11.549999999999999">
      <c r="A181" s="988"/>
      <c r="B181" s="1637"/>
      <c r="C181" s="1637"/>
      <c r="D181" s="352"/>
      <c r="K181" s="1161"/>
      <c r="L181" s="1637"/>
      <c r="M181" s="1637"/>
      <c r="N181" s="1161"/>
      <c r="O181" s="1161"/>
      <c r="P181" s="1161"/>
      <c r="Q181" s="1161"/>
      <c r="R181" s="1637"/>
      <c r="S181" s="1161"/>
      <c r="T181" s="1161"/>
      <c r="U181" s="545"/>
      <c r="V181" s="1161"/>
      <c r="W181" s="1161"/>
      <c r="X181" s="1161"/>
      <c r="Y181" s="1161"/>
      <c r="Z181" s="1161"/>
      <c r="AA181" s="1633"/>
      <c r="AB181" s="567"/>
      <c r="AC181" s="567"/>
      <c r="AD181" s="567"/>
      <c r="AE181" s="567"/>
      <c r="AF181" s="1642">
        <v>11</v>
      </c>
    </row>
    <row s="1642" customFormat="1" customHeight="1" ht="11.549999999999999">
      <c r="A182" s="988"/>
      <c r="B182" s="1637"/>
      <c r="C182" s="1637"/>
      <c r="D182" s="352"/>
      <c r="K182" s="1161"/>
      <c r="L182" s="1637"/>
      <c r="M182" s="1637"/>
      <c r="N182" s="1161"/>
      <c r="O182" s="1161"/>
      <c r="P182" s="1161"/>
      <c r="Q182" s="1161"/>
      <c r="R182" s="1637"/>
      <c r="S182" s="1161"/>
      <c r="T182" s="1161"/>
      <c r="U182" s="545"/>
      <c r="V182" s="1161"/>
      <c r="W182" s="1161"/>
      <c r="X182" s="1161"/>
      <c r="Y182" s="1161"/>
      <c r="Z182" s="1161"/>
      <c r="AA182" s="1633"/>
      <c r="AB182" s="567"/>
      <c r="AC182" s="567"/>
      <c r="AD182" s="567"/>
      <c r="AE182" s="567"/>
      <c r="AF182" s="1642">
        <v>11</v>
      </c>
    </row>
    <row s="1642" customFormat="1" customHeight="1" ht="11.549999999999999">
      <c r="A183" s="988"/>
      <c r="B183" s="1637"/>
      <c r="C183" s="1637"/>
      <c r="D183" s="352"/>
      <c r="K183" s="1161"/>
      <c r="L183" s="1637"/>
      <c r="M183" s="1637"/>
      <c r="N183" s="1161"/>
      <c r="O183" s="1161"/>
      <c r="P183" s="1161"/>
      <c r="Q183" s="1161"/>
      <c r="R183" s="1637"/>
      <c r="S183" s="1161"/>
      <c r="T183" s="1161"/>
      <c r="U183" s="545"/>
      <c r="V183" s="1161"/>
      <c r="W183" s="1161"/>
      <c r="X183" s="1161"/>
      <c r="Y183" s="1161"/>
      <c r="Z183" s="1161"/>
      <c r="AA183" s="1633"/>
      <c r="AB183" s="567"/>
      <c r="AC183" s="567"/>
      <c r="AD183" s="567"/>
      <c r="AE183" s="567"/>
      <c r="AF183" s="1642">
        <v>11</v>
      </c>
    </row>
    <row s="1642" customFormat="1" customHeight="1" ht="11.549999999999999">
      <c r="A184" s="988"/>
      <c r="B184" s="1637"/>
      <c r="C184" s="1637"/>
      <c r="D184" s="352"/>
      <c r="K184" s="1161"/>
      <c r="L184" s="1637"/>
      <c r="M184" s="1637"/>
      <c r="N184" s="1161"/>
      <c r="O184" s="1161"/>
      <c r="P184" s="1161"/>
      <c r="Q184" s="1161"/>
      <c r="R184" s="1637"/>
      <c r="S184" s="1161"/>
      <c r="T184" s="1161"/>
      <c r="U184" s="545"/>
      <c r="V184" s="1161"/>
      <c r="W184" s="1161"/>
      <c r="X184" s="1161"/>
      <c r="Y184" s="1161"/>
      <c r="Z184" s="1161"/>
      <c r="AA184" s="1633"/>
      <c r="AB184" s="567"/>
      <c r="AC184" s="567"/>
      <c r="AD184" s="567"/>
      <c r="AE184" s="567"/>
      <c r="AF184" s="1642">
        <v>11</v>
      </c>
    </row>
    <row s="1642" customFormat="1" customHeight="1" ht="11.549999999999999">
      <c r="A185" s="988"/>
      <c r="B185" s="1637"/>
      <c r="C185" s="1637"/>
      <c r="D185" s="352"/>
      <c r="K185" s="1161"/>
      <c r="L185" s="1637"/>
      <c r="M185" s="1637"/>
      <c r="N185" s="1161"/>
      <c r="O185" s="1161"/>
      <c r="P185" s="1161"/>
      <c r="Q185" s="1161"/>
      <c r="R185" s="1637"/>
      <c r="S185" s="1161"/>
      <c r="T185" s="1161"/>
      <c r="U185" s="545"/>
      <c r="V185" s="1161"/>
      <c r="W185" s="1161"/>
      <c r="X185" s="1161"/>
      <c r="Y185" s="1161"/>
      <c r="Z185" s="1161"/>
      <c r="AA185" s="1633"/>
      <c r="AB185" s="567"/>
      <c r="AC185" s="567"/>
      <c r="AD185" s="567"/>
      <c r="AE185" s="567"/>
      <c r="AF185" s="1642">
        <v>11</v>
      </c>
    </row>
    <row s="1642" customFormat="1" customHeight="1" ht="11.549999999999999">
      <c r="A186" s="988"/>
      <c r="B186" s="1637"/>
      <c r="C186" s="1637"/>
      <c r="D186" s="352"/>
      <c r="K186" s="1161"/>
      <c r="L186" s="1637"/>
      <c r="M186" s="1637"/>
      <c r="N186" s="1161"/>
      <c r="O186" s="1161"/>
      <c r="P186" s="1161"/>
      <c r="Q186" s="1161"/>
      <c r="R186" s="1637"/>
      <c r="S186" s="1161"/>
      <c r="T186" s="1161"/>
      <c r="U186" s="545"/>
      <c r="V186" s="1161"/>
      <c r="W186" s="1161"/>
      <c r="X186" s="1161"/>
      <c r="Y186" s="1161"/>
      <c r="Z186" s="1161"/>
      <c r="AA186" s="1633"/>
      <c r="AB186" s="567"/>
      <c r="AC186" s="567"/>
      <c r="AD186" s="567"/>
      <c r="AE186" s="567"/>
      <c r="AF186" s="1642">
        <v>11</v>
      </c>
    </row>
    <row s="1642" customFormat="1" customHeight="1" ht="11.549999999999999">
      <c r="A187" s="988"/>
      <c r="B187" s="1637"/>
      <c r="C187" s="1637"/>
      <c r="D187" s="352"/>
      <c r="K187" s="1161"/>
      <c r="L187" s="1637"/>
      <c r="M187" s="1637"/>
      <c r="N187" s="1161"/>
      <c r="O187" s="1161"/>
      <c r="P187" s="1161"/>
      <c r="Q187" s="1161"/>
      <c r="R187" s="1637"/>
      <c r="S187" s="1161"/>
      <c r="T187" s="1161"/>
      <c r="U187" s="545"/>
      <c r="V187" s="1161"/>
      <c r="W187" s="1161"/>
      <c r="X187" s="1161"/>
      <c r="Y187" s="1161"/>
      <c r="Z187" s="1161"/>
      <c r="AA187" s="1633"/>
      <c r="AB187" s="567"/>
      <c r="AC187" s="567"/>
      <c r="AD187" s="567"/>
      <c r="AE187" s="567"/>
      <c r="AF187" s="1642">
        <v>11</v>
      </c>
    </row>
    <row s="1642" customFormat="1" customHeight="1" ht="11.549999999999999">
      <c r="A188" s="988"/>
      <c r="B188" s="1637"/>
      <c r="C188" s="1637"/>
      <c r="D188" s="352"/>
      <c r="K188" s="1161"/>
      <c r="L188" s="1637"/>
      <c r="M188" s="1637"/>
      <c r="N188" s="1161"/>
      <c r="O188" s="1161"/>
      <c r="P188" s="1161"/>
      <c r="Q188" s="1161"/>
      <c r="R188" s="1637"/>
      <c r="S188" s="1161"/>
      <c r="T188" s="1161"/>
      <c r="U188" s="545"/>
      <c r="V188" s="1161"/>
      <c r="W188" s="1161"/>
      <c r="X188" s="1161"/>
      <c r="Y188" s="1161"/>
      <c r="Z188" s="1161"/>
      <c r="AA188" s="1633"/>
      <c r="AB188" s="567"/>
      <c r="AC188" s="567"/>
      <c r="AD188" s="567"/>
      <c r="AE188" s="567"/>
      <c r="AF188" s="1642">
        <v>11</v>
      </c>
    </row>
    <row s="1642" customFormat="1" customHeight="1" ht="11.549999999999999">
      <c r="A189" s="988"/>
      <c r="B189" s="1637"/>
      <c r="C189" s="1637"/>
      <c r="D189" s="352"/>
      <c r="K189" s="1161"/>
      <c r="L189" s="1637"/>
      <c r="M189" s="1637"/>
      <c r="N189" s="1161"/>
      <c r="O189" s="1161"/>
      <c r="P189" s="1161"/>
      <c r="Q189" s="1161"/>
      <c r="R189" s="1637"/>
      <c r="S189" s="1161"/>
      <c r="T189" s="1161"/>
      <c r="U189" s="545"/>
      <c r="V189" s="1161"/>
      <c r="W189" s="1161"/>
      <c r="X189" s="1161"/>
      <c r="Y189" s="1161"/>
      <c r="Z189" s="1161"/>
      <c r="AA189" s="1633"/>
      <c r="AB189" s="567"/>
      <c r="AC189" s="567"/>
      <c r="AD189" s="567"/>
      <c r="AE189" s="567"/>
      <c r="AF189" s="1642">
        <v>11</v>
      </c>
    </row>
    <row s="1642" customFormat="1" customHeight="1" ht="11.549999999999999">
      <c r="A190" s="988"/>
      <c r="B190" s="1637"/>
      <c r="C190" s="1637"/>
      <c r="D190" s="352"/>
      <c r="K190" s="1161"/>
      <c r="L190" s="1637"/>
      <c r="M190" s="1637"/>
      <c r="N190" s="1161"/>
      <c r="O190" s="1161"/>
      <c r="P190" s="1161"/>
      <c r="Q190" s="1161"/>
      <c r="R190" s="1637"/>
      <c r="S190" s="1161"/>
      <c r="T190" s="1161"/>
      <c r="U190" s="545"/>
      <c r="V190" s="1161"/>
      <c r="W190" s="1161"/>
      <c r="X190" s="1161"/>
      <c r="Y190" s="1161"/>
      <c r="Z190" s="1161"/>
      <c r="AA190" s="1633"/>
      <c r="AB190" s="567"/>
      <c r="AC190" s="567"/>
      <c r="AD190" s="567"/>
      <c r="AE190" s="567"/>
      <c r="AF190" s="1642">
        <v>11</v>
      </c>
    </row>
    <row s="1642" customFormat="1" customHeight="1" ht="11.549999999999999">
      <c r="A191" s="988"/>
      <c r="B191" s="1637"/>
      <c r="C191" s="1637"/>
      <c r="D191" s="352"/>
      <c r="K191" s="1161"/>
      <c r="L191" s="1637"/>
      <c r="M191" s="1637"/>
      <c r="N191" s="1161"/>
      <c r="O191" s="1161"/>
      <c r="P191" s="1161"/>
      <c r="Q191" s="1161"/>
      <c r="R191" s="1637"/>
      <c r="S191" s="1161"/>
      <c r="T191" s="1161"/>
      <c r="U191" s="545"/>
      <c r="V191" s="1161"/>
      <c r="W191" s="1161"/>
      <c r="X191" s="1161"/>
      <c r="Y191" s="1161"/>
      <c r="Z191" s="1161"/>
      <c r="AA191" s="1633"/>
      <c r="AB191" s="567"/>
      <c r="AC191" s="567"/>
      <c r="AD191" s="567"/>
      <c r="AE191" s="567"/>
      <c r="AF191" s="1642">
        <v>11</v>
      </c>
    </row>
    <row s="1642" customFormat="1" customHeight="1" ht="11.549999999999999">
      <c r="A192" s="988"/>
      <c r="B192" s="1637"/>
      <c r="C192" s="1637"/>
      <c r="D192" s="352"/>
      <c r="K192" s="1161"/>
      <c r="L192" s="1637"/>
      <c r="M192" s="1637"/>
      <c r="N192" s="1161"/>
      <c r="O192" s="1161"/>
      <c r="P192" s="1161"/>
      <c r="Q192" s="1161"/>
      <c r="R192" s="1637"/>
      <c r="S192" s="1161"/>
      <c r="T192" s="1161"/>
      <c r="U192" s="545"/>
      <c r="V192" s="1161"/>
      <c r="W192" s="1161"/>
      <c r="X192" s="1161"/>
      <c r="Y192" s="1161"/>
      <c r="Z192" s="1161"/>
      <c r="AA192" s="1633"/>
      <c r="AB192" s="567"/>
      <c r="AC192" s="567"/>
      <c r="AD192" s="567"/>
      <c r="AE192" s="567"/>
      <c r="AF192" s="1642">
        <v>11</v>
      </c>
    </row>
    <row s="1642" customFormat="1" customHeight="1" ht="11.549999999999999">
      <c r="A193" s="988"/>
      <c r="B193" s="1637"/>
      <c r="C193" s="1637"/>
      <c r="D193" s="352"/>
      <c r="K193" s="1161"/>
      <c r="L193" s="1637"/>
      <c r="M193" s="1637"/>
      <c r="N193" s="1161"/>
      <c r="O193" s="1161"/>
      <c r="P193" s="1161"/>
      <c r="Q193" s="1161"/>
      <c r="R193" s="1637"/>
      <c r="S193" s="1161"/>
      <c r="T193" s="1161"/>
      <c r="U193" s="545"/>
      <c r="V193" s="1161"/>
      <c r="W193" s="1161"/>
      <c r="X193" s="1161"/>
      <c r="Y193" s="1161"/>
      <c r="Z193" s="1161"/>
      <c r="AA193" s="1633"/>
      <c r="AB193" s="567"/>
      <c r="AC193" s="567"/>
      <c r="AD193" s="567"/>
      <c r="AE193" s="567"/>
      <c r="AF193" s="1642">
        <v>11</v>
      </c>
    </row>
    <row s="1642" customFormat="1" customHeight="1" ht="11.549999999999999">
      <c r="A194" s="988"/>
      <c r="B194" s="1637"/>
      <c r="C194" s="1637"/>
      <c r="D194" s="352"/>
      <c r="K194" s="1161"/>
      <c r="L194" s="1637"/>
      <c r="M194" s="1637"/>
      <c r="N194" s="1161"/>
      <c r="O194" s="1161"/>
      <c r="P194" s="1161"/>
      <c r="Q194" s="1161"/>
      <c r="R194" s="1637"/>
      <c r="S194" s="1161"/>
      <c r="T194" s="1161"/>
      <c r="U194" s="545"/>
      <c r="V194" s="1161"/>
      <c r="W194" s="1161"/>
      <c r="X194" s="1161"/>
      <c r="Y194" s="1161"/>
      <c r="Z194" s="1161"/>
      <c r="AA194" s="1633"/>
      <c r="AB194" s="567"/>
      <c r="AC194" s="567"/>
      <c r="AD194" s="567"/>
      <c r="AE194" s="567"/>
      <c r="AF194" s="1642">
        <v>11</v>
      </c>
    </row>
    <row s="1642" customFormat="1" customHeight="1" ht="11.549999999999999">
      <c r="A195" s="988"/>
      <c r="B195" s="1637"/>
      <c r="C195" s="1637"/>
      <c r="D195" s="352"/>
      <c r="K195" s="1161"/>
      <c r="L195" s="1637"/>
      <c r="M195" s="1637"/>
      <c r="N195" s="1161"/>
      <c r="O195" s="1161"/>
      <c r="P195" s="1161"/>
      <c r="Q195" s="1161"/>
      <c r="R195" s="1637"/>
      <c r="S195" s="1161"/>
      <c r="T195" s="1161"/>
      <c r="U195" s="545"/>
      <c r="V195" s="1161"/>
      <c r="W195" s="1161"/>
      <c r="X195" s="1161"/>
      <c r="Y195" s="1161"/>
      <c r="Z195" s="1161"/>
      <c r="AA195" s="1633"/>
      <c r="AB195" s="567"/>
      <c r="AC195" s="567"/>
      <c r="AD195" s="567"/>
      <c r="AE195" s="567"/>
      <c r="AF195" s="1642">
        <v>11</v>
      </c>
    </row>
    <row s="1642" customFormat="1" customHeight="1" ht="11.549999999999999">
      <c r="A196" s="988"/>
      <c r="B196" s="1637"/>
      <c r="C196" s="1637"/>
      <c r="D196" s="352"/>
      <c r="K196" s="1161"/>
      <c r="L196" s="1637"/>
      <c r="M196" s="1637"/>
      <c r="N196" s="1161"/>
      <c r="O196" s="1161"/>
      <c r="P196" s="1161"/>
      <c r="Q196" s="1161"/>
      <c r="R196" s="1637"/>
      <c r="S196" s="1161"/>
      <c r="T196" s="1161"/>
      <c r="U196" s="545"/>
      <c r="V196" s="1161"/>
      <c r="W196" s="1161"/>
      <c r="X196" s="1161"/>
      <c r="Y196" s="1161"/>
      <c r="Z196" s="1161"/>
      <c r="AA196" s="1633"/>
      <c r="AB196" s="567"/>
      <c r="AC196" s="567"/>
      <c r="AD196" s="567"/>
      <c r="AE196" s="567"/>
      <c r="AF196" s="1642">
        <v>11</v>
      </c>
    </row>
    <row s="1642" customFormat="1" customHeight="1" ht="11.549999999999999">
      <c r="A197" s="988"/>
      <c r="B197" s="1637"/>
      <c r="C197" s="1637"/>
      <c r="D197" s="352"/>
      <c r="K197" s="1161"/>
      <c r="L197" s="1637"/>
      <c r="M197" s="1637"/>
      <c r="N197" s="1161"/>
      <c r="O197" s="1161"/>
      <c r="P197" s="1161"/>
      <c r="Q197" s="1161"/>
      <c r="R197" s="1637"/>
      <c r="S197" s="1161"/>
      <c r="T197" s="1161"/>
      <c r="U197" s="545"/>
      <c r="V197" s="1161"/>
      <c r="W197" s="1161"/>
      <c r="X197" s="1161"/>
      <c r="Y197" s="1161"/>
      <c r="Z197" s="1161"/>
      <c r="AA197" s="1633"/>
      <c r="AB197" s="567"/>
      <c r="AC197" s="567"/>
      <c r="AD197" s="567"/>
      <c r="AE197" s="567"/>
      <c r="AF197" s="1642">
        <v>11</v>
      </c>
    </row>
    <row s="1642" customFormat="1" customHeight="1" ht="11.549999999999999">
      <c r="A198" s="988"/>
      <c r="B198" s="1637"/>
      <c r="C198" s="1637"/>
      <c r="D198" s="352"/>
      <c r="K198" s="1161"/>
      <c r="L198" s="1637"/>
      <c r="M198" s="1637"/>
      <c r="N198" s="1161"/>
      <c r="O198" s="1161"/>
      <c r="P198" s="1161"/>
      <c r="Q198" s="1161"/>
      <c r="R198" s="1637"/>
      <c r="S198" s="1161"/>
      <c r="T198" s="1161"/>
      <c r="U198" s="545"/>
      <c r="V198" s="1161"/>
      <c r="W198" s="1161"/>
      <c r="X198" s="1161"/>
      <c r="Y198" s="1161"/>
      <c r="Z198" s="1161"/>
      <c r="AA198" s="1633"/>
      <c r="AB198" s="567"/>
      <c r="AC198" s="567"/>
      <c r="AD198" s="567"/>
      <c r="AE198" s="567"/>
      <c r="AF198" s="1642">
        <v>11</v>
      </c>
    </row>
    <row s="1642" customFormat="1" customHeight="1" ht="11.549999999999999">
      <c r="A199" s="988"/>
      <c r="B199" s="1637"/>
      <c r="C199" s="1637"/>
      <c r="D199" s="352"/>
      <c r="K199" s="1161"/>
      <c r="L199" s="1637"/>
      <c r="M199" s="1637"/>
      <c r="N199" s="1161"/>
      <c r="O199" s="1161"/>
      <c r="P199" s="1161"/>
      <c r="Q199" s="1161"/>
      <c r="R199" s="1637"/>
      <c r="S199" s="1161"/>
      <c r="T199" s="1161"/>
      <c r="U199" s="545"/>
      <c r="V199" s="1161"/>
      <c r="W199" s="1161"/>
      <c r="X199" s="1161"/>
      <c r="Y199" s="1161"/>
      <c r="Z199" s="1161"/>
      <c r="AA199" s="1633"/>
      <c r="AB199" s="567"/>
      <c r="AC199" s="567"/>
      <c r="AD199" s="567"/>
      <c r="AE199" s="567"/>
      <c r="AF199" s="1642">
        <v>11</v>
      </c>
    </row>
    <row s="1642" customFormat="1" customHeight="1" ht="11.549999999999999">
      <c r="A200" s="988"/>
      <c r="B200" s="1637"/>
      <c r="C200" s="1637"/>
      <c r="D200" s="352"/>
      <c r="K200" s="1161"/>
      <c r="L200" s="1637"/>
      <c r="M200" s="1637"/>
      <c r="N200" s="1161"/>
      <c r="O200" s="1161"/>
      <c r="P200" s="1161"/>
      <c r="Q200" s="1161"/>
      <c r="R200" s="1637"/>
      <c r="S200" s="1161"/>
      <c r="T200" s="1161"/>
      <c r="U200" s="545"/>
      <c r="V200" s="1161"/>
      <c r="W200" s="1161"/>
      <c r="X200" s="1161"/>
      <c r="Y200" s="1161"/>
      <c r="Z200" s="1161"/>
      <c r="AA200" s="1633"/>
      <c r="AB200" s="567"/>
      <c r="AC200" s="567"/>
      <c r="AD200" s="567"/>
      <c r="AE200" s="567"/>
      <c r="AF200" s="1642">
        <v>11</v>
      </c>
    </row>
    <row s="1642" customFormat="1" customHeight="1" ht="11.549999999999999">
      <c r="A201" s="988"/>
      <c r="B201" s="1637"/>
      <c r="C201" s="1637"/>
      <c r="D201" s="352"/>
      <c r="K201" s="1161"/>
      <c r="L201" s="1637"/>
      <c r="M201" s="1637"/>
      <c r="N201" s="1161"/>
      <c r="O201" s="1161"/>
      <c r="P201" s="1161"/>
      <c r="Q201" s="1161"/>
      <c r="R201" s="1637"/>
      <c r="S201" s="1161"/>
      <c r="T201" s="1161"/>
      <c r="U201" s="545"/>
      <c r="V201" s="1161"/>
      <c r="W201" s="1161"/>
      <c r="X201" s="1161"/>
      <c r="Y201" s="1161"/>
      <c r="Z201" s="1161"/>
      <c r="AA201" s="1633"/>
      <c r="AB201" s="567"/>
      <c r="AC201" s="567"/>
      <c r="AD201" s="567"/>
      <c r="AE201" s="567"/>
      <c r="AF201" s="1642">
        <v>11</v>
      </c>
    </row>
    <row s="1642" customFormat="1" customHeight="1" ht="11.549999999999999">
      <c r="A202" s="988"/>
      <c r="B202" s="1637"/>
      <c r="C202" s="1637"/>
      <c r="D202" s="352"/>
      <c r="K202" s="1161"/>
      <c r="L202" s="1637"/>
      <c r="M202" s="1637"/>
      <c r="N202" s="1161"/>
      <c r="O202" s="1161"/>
      <c r="P202" s="1161"/>
      <c r="Q202" s="1161"/>
      <c r="R202" s="1637"/>
      <c r="S202" s="1161"/>
      <c r="T202" s="1161"/>
      <c r="U202" s="545"/>
      <c r="V202" s="1161"/>
      <c r="W202" s="1161"/>
      <c r="X202" s="1161"/>
      <c r="Y202" s="1161"/>
      <c r="Z202" s="1161"/>
      <c r="AA202" s="1633"/>
      <c r="AB202" s="567"/>
      <c r="AC202" s="567"/>
      <c r="AD202" s="567"/>
      <c r="AE202" s="567"/>
      <c r="AF202" s="1642">
        <v>11</v>
      </c>
    </row>
    <row s="1642" customFormat="1" customHeight="1" ht="11.549999999999999">
      <c r="A203" s="988"/>
      <c r="B203" s="1637"/>
      <c r="C203" s="1637"/>
      <c r="D203" s="352"/>
      <c r="K203" s="1161"/>
      <c r="L203" s="1637"/>
      <c r="M203" s="1637"/>
      <c r="N203" s="1161"/>
      <c r="O203" s="1161"/>
      <c r="P203" s="1161"/>
      <c r="Q203" s="1161"/>
      <c r="R203" s="1637"/>
      <c r="S203" s="1161"/>
      <c r="T203" s="1161"/>
      <c r="U203" s="545"/>
      <c r="V203" s="1161"/>
      <c r="W203" s="1161"/>
      <c r="X203" s="1161"/>
      <c r="Y203" s="1161"/>
      <c r="Z203" s="1161"/>
      <c r="AA203" s="1633"/>
      <c r="AB203" s="567"/>
      <c r="AC203" s="567"/>
      <c r="AD203" s="567"/>
      <c r="AE203" s="567"/>
      <c r="AF203" s="1642">
        <v>11</v>
      </c>
    </row>
    <row s="1642" customFormat="1" customHeight="1" ht="11.549999999999999">
      <c r="A204" s="988"/>
      <c r="B204" s="1637"/>
      <c r="C204" s="1637"/>
      <c r="D204" s="352"/>
      <c r="K204" s="1161"/>
      <c r="L204" s="1637"/>
      <c r="M204" s="1637"/>
      <c r="N204" s="1161"/>
      <c r="O204" s="1161"/>
      <c r="P204" s="1161"/>
      <c r="Q204" s="1161"/>
      <c r="R204" s="1637"/>
      <c r="S204" s="1161"/>
      <c r="T204" s="1161"/>
      <c r="U204" s="545"/>
      <c r="V204" s="1161"/>
      <c r="W204" s="1161"/>
      <c r="X204" s="1161"/>
      <c r="Y204" s="1161"/>
      <c r="Z204" s="1161"/>
      <c r="AA204" s="1633"/>
      <c r="AB204" s="567"/>
      <c r="AC204" s="567"/>
      <c r="AD204" s="567"/>
      <c r="AE204" s="567"/>
      <c r="AF204" s="1642">
        <v>11</v>
      </c>
    </row>
    <row s="1642" customFormat="1" customHeight="1" ht="11.549999999999999">
      <c r="A205" s="988"/>
      <c r="B205" s="1637"/>
      <c r="C205" s="1637"/>
      <c r="D205" s="352"/>
      <c r="K205" s="1161"/>
      <c r="L205" s="1637"/>
      <c r="M205" s="1637"/>
      <c r="N205" s="1161"/>
      <c r="O205" s="1161"/>
      <c r="P205" s="1161"/>
      <c r="Q205" s="1161"/>
      <c r="R205" s="1637"/>
      <c r="S205" s="1161"/>
      <c r="T205" s="1161"/>
      <c r="U205" s="545"/>
      <c r="V205" s="1161"/>
      <c r="W205" s="1161"/>
      <c r="X205" s="1161"/>
      <c r="Y205" s="1161"/>
      <c r="Z205" s="1161"/>
      <c r="AA205" s="1633"/>
      <c r="AB205" s="567"/>
      <c r="AC205" s="567"/>
      <c r="AD205" s="567"/>
      <c r="AE205" s="567"/>
      <c r="AF205" s="1642">
        <v>11</v>
      </c>
    </row>
    <row s="1642" customFormat="1" customHeight="1" ht="11.549999999999999">
      <c r="A206" s="988"/>
      <c r="B206" s="1637"/>
      <c r="C206" s="1637"/>
      <c r="D206" s="352"/>
      <c r="K206" s="1161"/>
      <c r="L206" s="1637"/>
      <c r="M206" s="1637"/>
      <c r="N206" s="1161"/>
      <c r="O206" s="1161"/>
      <c r="P206" s="1161"/>
      <c r="Q206" s="1161"/>
      <c r="R206" s="1637"/>
      <c r="S206" s="1161"/>
      <c r="T206" s="1161"/>
      <c r="U206" s="545"/>
      <c r="V206" s="1161"/>
      <c r="W206" s="1161"/>
      <c r="X206" s="1161"/>
      <c r="Y206" s="1161"/>
      <c r="Z206" s="1161"/>
      <c r="AA206" s="1633"/>
      <c r="AB206" s="567"/>
      <c r="AC206" s="567"/>
      <c r="AD206" s="567"/>
      <c r="AE206" s="567"/>
      <c r="AF206" s="1642">
        <v>11</v>
      </c>
    </row>
    <row s="1642" customFormat="1" customHeight="1" ht="11.549999999999999">
      <c r="A207" s="988"/>
      <c r="B207" s="1637"/>
      <c r="C207" s="1637"/>
      <c r="D207" s="352"/>
      <c r="K207" s="1161"/>
      <c r="L207" s="1637"/>
      <c r="M207" s="1637"/>
      <c r="N207" s="1161"/>
      <c r="O207" s="1161"/>
      <c r="P207" s="1161"/>
      <c r="Q207" s="1161"/>
      <c r="R207" s="1637"/>
      <c r="S207" s="1161"/>
      <c r="T207" s="1161"/>
      <c r="U207" s="545"/>
      <c r="V207" s="1161"/>
      <c r="W207" s="1161"/>
      <c r="X207" s="1161"/>
      <c r="Y207" s="1161"/>
      <c r="Z207" s="1161"/>
      <c r="AA207" s="1633"/>
      <c r="AB207" s="567"/>
      <c r="AC207" s="567"/>
      <c r="AD207" s="567"/>
      <c r="AE207" s="567"/>
      <c r="AF207" s="1642">
        <v>11</v>
      </c>
    </row>
    <row s="1642" customFormat="1" customHeight="1" ht="11.549999999999999">
      <c r="A208" s="988"/>
      <c r="B208" s="1637"/>
      <c r="C208" s="1637"/>
      <c r="D208" s="352"/>
      <c r="K208" s="1161"/>
      <c r="L208" s="1637"/>
      <c r="M208" s="1637"/>
      <c r="N208" s="1161"/>
      <c r="O208" s="1161"/>
      <c r="P208" s="1161"/>
      <c r="Q208" s="1161"/>
      <c r="R208" s="1637"/>
      <c r="S208" s="1161"/>
      <c r="T208" s="1161"/>
      <c r="U208" s="545"/>
      <c r="V208" s="1161"/>
      <c r="W208" s="1161"/>
      <c r="X208" s="1161"/>
      <c r="Y208" s="1161"/>
      <c r="Z208" s="1161"/>
      <c r="AA208" s="1633"/>
      <c r="AB208" s="567"/>
      <c r="AC208" s="567"/>
      <c r="AD208" s="567"/>
      <c r="AE208" s="567"/>
      <c r="AF208" s="1642">
        <v>11</v>
      </c>
    </row>
    <row s="1642" customFormat="1" customHeight="1" ht="11.549999999999999">
      <c r="A209" s="988"/>
      <c r="B209" s="1637"/>
      <c r="C209" s="1637"/>
      <c r="D209" s="352"/>
      <c r="K209" s="1161"/>
      <c r="L209" s="1637"/>
      <c r="M209" s="1637"/>
      <c r="N209" s="1161"/>
      <c r="O209" s="1161"/>
      <c r="P209" s="1161"/>
      <c r="Q209" s="1161"/>
      <c r="R209" s="1637"/>
      <c r="S209" s="1161"/>
      <c r="T209" s="1161"/>
      <c r="U209" s="545"/>
      <c r="V209" s="1161"/>
      <c r="W209" s="1161"/>
      <c r="X209" s="1161"/>
      <c r="Y209" s="1161"/>
      <c r="Z209" s="1161"/>
      <c r="AA209" s="1633"/>
      <c r="AB209" s="567"/>
      <c r="AC209" s="567"/>
      <c r="AD209" s="567"/>
      <c r="AE209" s="567"/>
      <c r="AF209" s="1642">
        <v>11</v>
      </c>
    </row>
    <row s="1642" customFormat="1" customHeight="1" ht="11.549999999999999">
      <c r="A210" s="988"/>
      <c r="B210" s="1637"/>
      <c r="C210" s="1637"/>
      <c r="D210" s="352"/>
      <c r="K210" s="1161"/>
      <c r="L210" s="1637"/>
      <c r="M210" s="1637"/>
      <c r="N210" s="1161"/>
      <c r="O210" s="1161"/>
      <c r="P210" s="1161"/>
      <c r="Q210" s="1161"/>
      <c r="R210" s="1637"/>
      <c r="S210" s="1161"/>
      <c r="T210" s="1161"/>
      <c r="U210" s="545"/>
      <c r="V210" s="1161"/>
      <c r="W210" s="1161"/>
      <c r="X210" s="1161"/>
      <c r="Y210" s="1161"/>
      <c r="Z210" s="1161"/>
      <c r="AA210" s="1633"/>
      <c r="AB210" s="567"/>
      <c r="AC210" s="567"/>
      <c r="AD210" s="567"/>
      <c r="AE210" s="567"/>
      <c r="AF210" s="1642">
        <v>11</v>
      </c>
    </row>
    <row s="1642" customFormat="1" customHeight="1" ht="11.549999999999999">
      <c r="A211" s="988"/>
      <c r="B211" s="1637"/>
      <c r="C211" s="1637"/>
      <c r="D211" s="352"/>
      <c r="K211" s="1161"/>
      <c r="L211" s="1637"/>
      <c r="M211" s="1637"/>
      <c r="N211" s="1161"/>
      <c r="O211" s="1161"/>
      <c r="P211" s="1161"/>
      <c r="Q211" s="1161"/>
      <c r="R211" s="1637"/>
      <c r="S211" s="1161"/>
      <c r="T211" s="1161"/>
      <c r="U211" s="545"/>
      <c r="V211" s="1161"/>
      <c r="W211" s="1161"/>
      <c r="X211" s="1161"/>
      <c r="Y211" s="1161"/>
      <c r="Z211" s="1161"/>
      <c r="AA211" s="1633"/>
      <c r="AB211" s="567"/>
      <c r="AC211" s="567"/>
      <c r="AD211" s="567"/>
      <c r="AE211" s="567"/>
      <c r="AF211" s="1642">
        <v>11</v>
      </c>
    </row>
    <row s="1642" customFormat="1" customHeight="1" ht="11.549999999999999">
      <c r="A212" s="988"/>
      <c r="B212" s="1637"/>
      <c r="C212" s="1637"/>
      <c r="D212" s="352"/>
      <c r="K212" s="1161"/>
      <c r="L212" s="1637"/>
      <c r="M212" s="1637"/>
      <c r="N212" s="1161"/>
      <c r="O212" s="1161"/>
      <c r="P212" s="1161"/>
      <c r="Q212" s="1161"/>
      <c r="R212" s="1637"/>
      <c r="S212" s="1161"/>
      <c r="T212" s="1161"/>
      <c r="U212" s="545"/>
      <c r="V212" s="1161"/>
      <c r="W212" s="1161"/>
      <c r="X212" s="1161"/>
      <c r="Y212" s="1161"/>
      <c r="Z212" s="1161"/>
      <c r="AA212" s="1633"/>
      <c r="AB212" s="567"/>
      <c r="AC212" s="567"/>
      <c r="AD212" s="567"/>
      <c r="AE212" s="567"/>
      <c r="AF212" s="1642">
        <v>11</v>
      </c>
    </row>
    <row s="1642" customFormat="1" customHeight="1" ht="11.549999999999999">
      <c r="A213" s="988"/>
      <c r="B213" s="1637"/>
      <c r="C213" s="1637"/>
      <c r="D213" s="352"/>
      <c r="K213" s="1161"/>
      <c r="L213" s="1637"/>
      <c r="M213" s="1637"/>
      <c r="N213" s="1161"/>
      <c r="O213" s="1161"/>
      <c r="P213" s="1161"/>
      <c r="Q213" s="1161"/>
      <c r="R213" s="1637"/>
      <c r="S213" s="1161"/>
      <c r="T213" s="1161"/>
      <c r="U213" s="545"/>
      <c r="V213" s="1161"/>
      <c r="W213" s="1161"/>
      <c r="X213" s="1161"/>
      <c r="Y213" s="1161"/>
      <c r="Z213" s="1161"/>
      <c r="AA213" s="1633"/>
      <c r="AB213" s="567"/>
      <c r="AC213" s="567"/>
      <c r="AD213" s="567"/>
      <c r="AE213" s="567"/>
      <c r="AF213" s="1642">
        <v>11</v>
      </c>
    </row>
    <row s="1642" customFormat="1" customHeight="1" ht="11.549999999999999">
      <c r="A214" s="988"/>
      <c r="B214" s="1637"/>
      <c r="C214" s="1637"/>
      <c r="D214" s="352"/>
      <c r="K214" s="1161"/>
      <c r="L214" s="1637"/>
      <c r="M214" s="1637"/>
      <c r="N214" s="1161"/>
      <c r="O214" s="1161"/>
      <c r="P214" s="1161"/>
      <c r="Q214" s="1161"/>
      <c r="R214" s="1637"/>
      <c r="S214" s="1161"/>
      <c r="T214" s="1161"/>
      <c r="U214" s="545"/>
      <c r="V214" s="1161"/>
      <c r="W214" s="1161"/>
      <c r="X214" s="1161"/>
      <c r="Y214" s="1161"/>
      <c r="Z214" s="1161"/>
      <c r="AA214" s="1633"/>
      <c r="AB214" s="567"/>
      <c r="AC214" s="567"/>
      <c r="AD214" s="567"/>
      <c r="AE214" s="567"/>
      <c r="AF214" s="1642">
        <v>11</v>
      </c>
    </row>
    <row s="1642" customFormat="1" customHeight="1" ht="11.549999999999999">
      <c r="A215" s="988"/>
      <c r="B215" s="1637"/>
      <c r="C215" s="1637"/>
      <c r="D215" s="352"/>
      <c r="K215" s="1161"/>
      <c r="L215" s="1637"/>
      <c r="M215" s="1637"/>
      <c r="N215" s="1161"/>
      <c r="O215" s="1161"/>
      <c r="P215" s="1161"/>
      <c r="Q215" s="1161"/>
      <c r="R215" s="1637"/>
      <c r="S215" s="1161"/>
      <c r="T215" s="1161"/>
      <c r="U215" s="545"/>
      <c r="V215" s="1161"/>
      <c r="W215" s="1161"/>
      <c r="X215" s="1161"/>
      <c r="Y215" s="1161"/>
      <c r="Z215" s="1161"/>
      <c r="AA215" s="1633"/>
      <c r="AB215" s="567"/>
      <c r="AC215" s="567"/>
      <c r="AD215" s="567"/>
      <c r="AE215" s="567"/>
      <c r="AF215" s="1642">
        <v>11</v>
      </c>
    </row>
    <row s="1642" customFormat="1" customHeight="1" ht="11.549999999999999">
      <c r="A216" s="988"/>
      <c r="B216" s="1637"/>
      <c r="C216" s="1637"/>
      <c r="D216" s="352"/>
      <c r="K216" s="1161"/>
      <c r="L216" s="1637"/>
      <c r="M216" s="1637"/>
      <c r="N216" s="1161"/>
      <c r="O216" s="1161"/>
      <c r="P216" s="1161"/>
      <c r="Q216" s="1161"/>
      <c r="R216" s="1637"/>
      <c r="S216" s="1161"/>
      <c r="T216" s="1161"/>
      <c r="U216" s="545"/>
      <c r="V216" s="1161"/>
      <c r="W216" s="1161"/>
      <c r="X216" s="1161"/>
      <c r="Y216" s="1161"/>
      <c r="Z216" s="1161"/>
      <c r="AA216" s="1633"/>
      <c r="AB216" s="567"/>
      <c r="AC216" s="567"/>
      <c r="AD216" s="567"/>
      <c r="AE216" s="567"/>
      <c r="AF216" s="1642">
        <v>11</v>
      </c>
    </row>
    <row s="1642" customFormat="1" customHeight="1" ht="11.549999999999999">
      <c r="A217" s="988"/>
      <c r="B217" s="1637"/>
      <c r="C217" s="1637"/>
      <c r="D217" s="352"/>
      <c r="K217" s="1161"/>
      <c r="L217" s="1637"/>
      <c r="M217" s="1637"/>
      <c r="N217" s="1161"/>
      <c r="O217" s="1161"/>
      <c r="P217" s="1161"/>
      <c r="Q217" s="1161"/>
      <c r="R217" s="1637"/>
      <c r="S217" s="1161"/>
      <c r="T217" s="1161"/>
      <c r="U217" s="545"/>
      <c r="V217" s="1161"/>
      <c r="W217" s="1161"/>
      <c r="X217" s="1161"/>
      <c r="Y217" s="1161"/>
      <c r="Z217" s="1161"/>
      <c r="AA217" s="1633"/>
      <c r="AB217" s="567"/>
      <c r="AC217" s="567"/>
      <c r="AD217" s="567"/>
      <c r="AE217" s="567"/>
      <c r="AF217" s="1642">
        <v>11</v>
      </c>
    </row>
    <row s="1642" customFormat="1" customHeight="1" ht="11.549999999999999">
      <c r="A218" s="988"/>
      <c r="B218" s="1637"/>
      <c r="C218" s="1637"/>
      <c r="D218" s="352"/>
      <c r="K218" s="1161"/>
      <c r="L218" s="1637"/>
      <c r="M218" s="1637"/>
      <c r="N218" s="1161"/>
      <c r="O218" s="1161"/>
      <c r="P218" s="1161"/>
      <c r="Q218" s="1161"/>
      <c r="R218" s="1637"/>
      <c r="S218" s="1161"/>
      <c r="T218" s="1161"/>
      <c r="U218" s="545"/>
      <c r="V218" s="1161"/>
      <c r="W218" s="1161"/>
      <c r="X218" s="1161"/>
      <c r="Y218" s="1161"/>
      <c r="Z218" s="1161"/>
      <c r="AA218" s="1633"/>
      <c r="AB218" s="567"/>
      <c r="AC218" s="567"/>
      <c r="AD218" s="567"/>
      <c r="AE218" s="567"/>
      <c r="AF218" s="1642">
        <v>11</v>
      </c>
    </row>
    <row s="1642" customFormat="1" customHeight="1" ht="11.549999999999999">
      <c r="A219" s="988"/>
      <c r="B219" s="1637"/>
      <c r="C219" s="1637"/>
      <c r="D219" s="352"/>
      <c r="K219" s="1161"/>
      <c r="L219" s="1637"/>
      <c r="M219" s="1637"/>
      <c r="N219" s="1161"/>
      <c r="O219" s="1161"/>
      <c r="P219" s="1161"/>
      <c r="Q219" s="1161"/>
      <c r="R219" s="1637"/>
      <c r="S219" s="1161"/>
      <c r="T219" s="1161"/>
      <c r="U219" s="545"/>
      <c r="V219" s="1161"/>
      <c r="W219" s="1161"/>
      <c r="X219" s="1161"/>
      <c r="Y219" s="1161"/>
      <c r="Z219" s="1161"/>
      <c r="AA219" s="1633"/>
      <c r="AB219" s="567"/>
      <c r="AC219" s="567"/>
      <c r="AD219" s="567"/>
      <c r="AE219" s="567"/>
      <c r="AF219" s="1642">
        <v>11</v>
      </c>
    </row>
    <row s="1642" customFormat="1" customHeight="1" ht="11.549999999999999">
      <c r="A220" s="988"/>
      <c r="B220" s="1637"/>
      <c r="C220" s="1637"/>
      <c r="D220" s="352"/>
      <c r="K220" s="1161"/>
      <c r="L220" s="1637"/>
      <c r="M220" s="1637"/>
      <c r="N220" s="1161"/>
      <c r="O220" s="1161"/>
      <c r="P220" s="1161"/>
      <c r="Q220" s="1161"/>
      <c r="R220" s="1637"/>
      <c r="S220" s="1161"/>
      <c r="T220" s="1161"/>
      <c r="U220" s="545"/>
      <c r="V220" s="1161"/>
      <c r="W220" s="1161"/>
      <c r="X220" s="1161"/>
      <c r="Y220" s="1161"/>
      <c r="Z220" s="1161"/>
      <c r="AA220" s="1633"/>
      <c r="AB220" s="567"/>
      <c r="AC220" s="567"/>
      <c r="AD220" s="567"/>
      <c r="AE220" s="567"/>
      <c r="AF220" s="1642">
        <v>11</v>
      </c>
    </row>
    <row s="1642" customFormat="1" customHeight="1" ht="11.549999999999999">
      <c r="A221" s="988"/>
      <c r="B221" s="1637"/>
      <c r="C221" s="1637"/>
      <c r="D221" s="352"/>
      <c r="K221" s="1161"/>
      <c r="L221" s="1637"/>
      <c r="M221" s="1637"/>
      <c r="N221" s="1161"/>
      <c r="O221" s="1161"/>
      <c r="P221" s="1161"/>
      <c r="Q221" s="1161"/>
      <c r="R221" s="1637"/>
      <c r="S221" s="1161"/>
      <c r="T221" s="1161"/>
      <c r="U221" s="545"/>
      <c r="V221" s="1161"/>
      <c r="W221" s="1161"/>
      <c r="X221" s="1161"/>
      <c r="Y221" s="1161"/>
      <c r="Z221" s="1161"/>
      <c r="AA221" s="1633"/>
      <c r="AB221" s="567"/>
      <c r="AC221" s="567"/>
      <c r="AD221" s="567"/>
      <c r="AE221" s="567"/>
      <c r="AF221" s="1642">
        <v>11</v>
      </c>
    </row>
    <row s="1642" customFormat="1" customHeight="1" ht="11.549999999999999">
      <c r="A222" s="988"/>
      <c r="B222" s="1637"/>
      <c r="C222" s="1637"/>
      <c r="D222" s="352"/>
      <c r="K222" s="1161"/>
      <c r="L222" s="1637"/>
      <c r="M222" s="1637"/>
      <c r="N222" s="1161"/>
      <c r="O222" s="1161"/>
      <c r="P222" s="1161"/>
      <c r="Q222" s="1161"/>
      <c r="R222" s="1637"/>
      <c r="S222" s="1161"/>
      <c r="T222" s="1161"/>
      <c r="U222" s="545"/>
      <c r="V222" s="1161"/>
      <c r="W222" s="1161"/>
      <c r="X222" s="1161"/>
      <c r="Y222" s="1161"/>
      <c r="Z222" s="1161"/>
      <c r="AA222" s="1633"/>
      <c r="AB222" s="567"/>
      <c r="AC222" s="567"/>
      <c r="AD222" s="567"/>
      <c r="AE222" s="567"/>
      <c r="AF222" s="1642">
        <v>11</v>
      </c>
    </row>
    <row s="1642" customFormat="1" customHeight="1" ht="11.549999999999999">
      <c r="A223" s="988"/>
      <c r="B223" s="1637"/>
      <c r="C223" s="1637"/>
      <c r="D223" s="352"/>
      <c r="K223" s="1161"/>
      <c r="L223" s="1637"/>
      <c r="M223" s="1637"/>
      <c r="N223" s="1161"/>
      <c r="O223" s="1161"/>
      <c r="P223" s="1161"/>
      <c r="Q223" s="1161"/>
      <c r="R223" s="1637"/>
      <c r="S223" s="1161"/>
      <c r="T223" s="1161"/>
      <c r="U223" s="545"/>
      <c r="V223" s="1161"/>
      <c r="W223" s="1161"/>
      <c r="X223" s="1161"/>
      <c r="Y223" s="1161"/>
      <c r="Z223" s="1161"/>
      <c r="AA223" s="1633"/>
      <c r="AB223" s="567"/>
      <c r="AC223" s="567"/>
      <c r="AD223" s="567"/>
      <c r="AE223" s="567"/>
      <c r="AF223" s="1642">
        <v>11</v>
      </c>
    </row>
    <row s="1642" customFormat="1" customHeight="1" ht="11.549999999999999">
      <c r="A224" s="988"/>
      <c r="B224" s="1637"/>
      <c r="C224" s="1637"/>
      <c r="D224" s="352"/>
      <c r="K224" s="1161"/>
      <c r="L224" s="1637"/>
      <c r="M224" s="1637"/>
      <c r="N224" s="1161"/>
      <c r="O224" s="1161"/>
      <c r="P224" s="1161"/>
      <c r="Q224" s="1161"/>
      <c r="R224" s="1637"/>
      <c r="S224" s="1161"/>
      <c r="T224" s="1161"/>
      <c r="U224" s="545"/>
      <c r="V224" s="1161"/>
      <c r="W224" s="1161"/>
      <c r="X224" s="1161"/>
      <c r="Y224" s="1161"/>
      <c r="Z224" s="1161"/>
      <c r="AA224" s="1633"/>
      <c r="AB224" s="567"/>
      <c r="AC224" s="567"/>
      <c r="AD224" s="567"/>
      <c r="AE224" s="567"/>
      <c r="AF224" s="1642">
        <v>11</v>
      </c>
    </row>
    <row s="1642" customFormat="1" customHeight="1" ht="11.549999999999999">
      <c r="A225" s="988"/>
      <c r="B225" s="1637"/>
      <c r="C225" s="1637"/>
      <c r="D225" s="352"/>
      <c r="K225" s="1161"/>
      <c r="L225" s="1637"/>
      <c r="M225" s="1637"/>
      <c r="N225" s="1161"/>
      <c r="O225" s="1161"/>
      <c r="P225" s="1161"/>
      <c r="Q225" s="1161"/>
      <c r="R225" s="1637"/>
      <c r="S225" s="1161"/>
      <c r="T225" s="1161"/>
      <c r="U225" s="545"/>
      <c r="V225" s="1161"/>
      <c r="W225" s="1161"/>
      <c r="X225" s="1161"/>
      <c r="Y225" s="1161"/>
      <c r="Z225" s="1161"/>
      <c r="AA225" s="1633"/>
      <c r="AB225" s="567"/>
      <c r="AC225" s="567"/>
      <c r="AD225" s="567"/>
      <c r="AE225" s="567"/>
      <c r="AF225" s="1642">
        <v>11</v>
      </c>
    </row>
    <row s="1642" customFormat="1" customHeight="1" ht="11.549999999999999">
      <c r="A226" s="988"/>
      <c r="B226" s="1637"/>
      <c r="C226" s="1637"/>
      <c r="D226" s="352"/>
      <c r="K226" s="1161"/>
      <c r="L226" s="1637"/>
      <c r="M226" s="1637"/>
      <c r="N226" s="1161"/>
      <c r="O226" s="1161"/>
      <c r="P226" s="1161"/>
      <c r="Q226" s="1161"/>
      <c r="R226" s="1637"/>
      <c r="S226" s="1161"/>
      <c r="T226" s="1161"/>
      <c r="U226" s="545"/>
      <c r="V226" s="1161"/>
      <c r="W226" s="1161"/>
      <c r="X226" s="1161"/>
      <c r="Y226" s="1161"/>
      <c r="Z226" s="1161"/>
      <c r="AA226" s="1633"/>
      <c r="AB226" s="567"/>
      <c r="AC226" s="567"/>
      <c r="AD226" s="567"/>
      <c r="AE226" s="567"/>
      <c r="AF226" s="1642">
        <v>11</v>
      </c>
    </row>
    <row s="1642" customFormat="1" customHeight="1" ht="11.549999999999999">
      <c r="A227" s="988"/>
      <c r="B227" s="1637"/>
      <c r="C227" s="1637"/>
      <c r="D227" s="352"/>
      <c r="K227" s="1161"/>
      <c r="L227" s="1637"/>
      <c r="M227" s="1637"/>
      <c r="N227" s="1161"/>
      <c r="O227" s="1161"/>
      <c r="P227" s="1161"/>
      <c r="Q227" s="1161"/>
      <c r="R227" s="1637"/>
      <c r="S227" s="1161"/>
      <c r="T227" s="1161"/>
      <c r="U227" s="545"/>
      <c r="V227" s="1161"/>
      <c r="W227" s="1161"/>
      <c r="X227" s="1161"/>
      <c r="Y227" s="1161"/>
      <c r="Z227" s="1161"/>
      <c r="AA227" s="1633"/>
      <c r="AB227" s="567"/>
      <c r="AC227" s="567"/>
      <c r="AD227" s="567"/>
      <c r="AE227" s="567"/>
      <c r="AF227" s="1642">
        <v>11</v>
      </c>
    </row>
    <row s="1642" customFormat="1" customHeight="1" ht="11.549999999999999">
      <c r="A228" s="988"/>
      <c r="B228" s="1637"/>
      <c r="C228" s="1637"/>
      <c r="D228" s="352"/>
      <c r="K228" s="1161"/>
      <c r="L228" s="1637"/>
      <c r="M228" s="1637"/>
      <c r="N228" s="1161"/>
      <c r="O228" s="1161"/>
      <c r="P228" s="1161"/>
      <c r="Q228" s="1161"/>
      <c r="R228" s="1637"/>
      <c r="S228" s="1161"/>
      <c r="T228" s="1161"/>
      <c r="U228" s="545"/>
      <c r="V228" s="1161"/>
      <c r="W228" s="1161"/>
      <c r="X228" s="1161"/>
      <c r="Y228" s="1161"/>
      <c r="Z228" s="1161"/>
      <c r="AA228" s="1633"/>
      <c r="AB228" s="567"/>
      <c r="AC228" s="567"/>
      <c r="AD228" s="567"/>
      <c r="AE228" s="567"/>
      <c r="AF228" s="1642">
        <v>11</v>
      </c>
    </row>
    <row s="1642" customFormat="1" customHeight="1" ht="11.549999999999999">
      <c r="A229" s="988"/>
      <c r="B229" s="1637"/>
      <c r="C229" s="1637"/>
      <c r="D229" s="352"/>
      <c r="K229" s="1161"/>
      <c r="L229" s="1637"/>
      <c r="M229" s="1637"/>
      <c r="N229" s="1161"/>
      <c r="O229" s="1161"/>
      <c r="P229" s="1161"/>
      <c r="Q229" s="1161"/>
      <c r="R229" s="1637"/>
      <c r="S229" s="1161"/>
      <c r="T229" s="1161"/>
      <c r="U229" s="545"/>
      <c r="V229" s="1161"/>
      <c r="W229" s="1161"/>
      <c r="X229" s="1161"/>
      <c r="Y229" s="1161"/>
      <c r="Z229" s="1161"/>
      <c r="AA229" s="1633"/>
      <c r="AB229" s="567"/>
      <c r="AC229" s="567"/>
      <c r="AD229" s="567"/>
      <c r="AE229" s="567"/>
      <c r="AF229" s="1642">
        <v>11</v>
      </c>
    </row>
    <row s="1642" customFormat="1" customHeight="1" ht="11.549999999999999">
      <c r="A230" s="988"/>
      <c r="B230" s="1637"/>
      <c r="C230" s="1637"/>
      <c r="D230" s="352"/>
      <c r="K230" s="1161"/>
      <c r="L230" s="1637"/>
      <c r="M230" s="1637"/>
      <c r="N230" s="1161"/>
      <c r="O230" s="1161"/>
      <c r="P230" s="1161"/>
      <c r="Q230" s="1161"/>
      <c r="R230" s="1637"/>
      <c r="S230" s="1161"/>
      <c r="T230" s="1161"/>
      <c r="U230" s="545"/>
      <c r="V230" s="1161"/>
      <c r="W230" s="1161"/>
      <c r="X230" s="1161"/>
      <c r="Y230" s="1161"/>
      <c r="Z230" s="1161"/>
      <c r="AA230" s="1633"/>
      <c r="AB230" s="567"/>
      <c r="AC230" s="567"/>
      <c r="AD230" s="567"/>
      <c r="AE230" s="567"/>
      <c r="AF230" s="1642">
        <v>11</v>
      </c>
    </row>
    <row s="1642" customFormat="1" customHeight="1" ht="11.549999999999999">
      <c r="A231" s="988"/>
      <c r="B231" s="1637"/>
      <c r="C231" s="1637"/>
      <c r="D231" s="352"/>
      <c r="K231" s="1161"/>
      <c r="L231" s="1637"/>
      <c r="M231" s="1637"/>
      <c r="N231" s="1161"/>
      <c r="O231" s="1161"/>
      <c r="P231" s="1161"/>
      <c r="Q231" s="1161"/>
      <c r="R231" s="1637"/>
      <c r="S231" s="1161"/>
      <c r="T231" s="1161"/>
      <c r="U231" s="545"/>
      <c r="V231" s="1161"/>
      <c r="W231" s="1161"/>
      <c r="X231" s="1161"/>
      <c r="Y231" s="1161"/>
      <c r="Z231" s="1161"/>
      <c r="AA231" s="1633"/>
      <c r="AB231" s="567"/>
      <c r="AC231" s="567"/>
      <c r="AD231" s="567"/>
      <c r="AE231" s="567"/>
      <c r="AF231" s="1642">
        <v>11</v>
      </c>
    </row>
    <row s="1642" customFormat="1" customHeight="1" ht="11.549999999999999">
      <c r="A232" s="988"/>
      <c r="B232" s="1637"/>
      <c r="C232" s="1637"/>
      <c r="D232" s="352"/>
      <c r="K232" s="1161"/>
      <c r="L232" s="1637"/>
      <c r="M232" s="1637"/>
      <c r="N232" s="1161"/>
      <c r="O232" s="1161"/>
      <c r="P232" s="1161"/>
      <c r="Q232" s="1161"/>
      <c r="R232" s="1637"/>
      <c r="S232" s="1161"/>
      <c r="T232" s="1161"/>
      <c r="U232" s="545"/>
      <c r="V232" s="1161"/>
      <c r="W232" s="1161"/>
      <c r="X232" s="1161"/>
      <c r="Y232" s="1161"/>
      <c r="Z232" s="1161"/>
      <c r="AA232" s="1633"/>
      <c r="AB232" s="567"/>
      <c r="AC232" s="567"/>
      <c r="AD232" s="567"/>
      <c r="AE232" s="567"/>
      <c r="AF232" s="1642">
        <v>11</v>
      </c>
    </row>
    <row s="1642" customFormat="1" customHeight="1" ht="11.549999999999999">
      <c r="A233" s="988"/>
      <c r="B233" s="1637"/>
      <c r="C233" s="1637"/>
      <c r="D233" s="352"/>
      <c r="K233" s="1161"/>
      <c r="L233" s="1637"/>
      <c r="M233" s="1637"/>
      <c r="N233" s="1161"/>
      <c r="O233" s="1161"/>
      <c r="P233" s="1161"/>
      <c r="Q233" s="1161"/>
      <c r="R233" s="1637"/>
      <c r="S233" s="1161"/>
      <c r="T233" s="1161"/>
      <c r="U233" s="545"/>
      <c r="V233" s="1161"/>
      <c r="W233" s="1161"/>
      <c r="X233" s="1161"/>
      <c r="Y233" s="1161"/>
      <c r="Z233" s="1161"/>
      <c r="AA233" s="1633"/>
      <c r="AB233" s="567"/>
      <c r="AC233" s="567"/>
      <c r="AD233" s="567"/>
      <c r="AE233" s="567"/>
      <c r="AF233" s="1642">
        <v>11</v>
      </c>
    </row>
    <row s="1642" customFormat="1" customHeight="1" ht="11.549999999999999">
      <c r="A234" s="988"/>
      <c r="B234" s="1637"/>
      <c r="C234" s="1637"/>
      <c r="D234" s="352"/>
      <c r="K234" s="1161"/>
      <c r="L234" s="1637"/>
      <c r="M234" s="1637"/>
      <c r="N234" s="1161"/>
      <c r="O234" s="1161"/>
      <c r="P234" s="1161"/>
      <c r="Q234" s="1161"/>
      <c r="R234" s="1637"/>
      <c r="S234" s="1161"/>
      <c r="T234" s="1161"/>
      <c r="U234" s="545"/>
      <c r="V234" s="1161"/>
      <c r="W234" s="1161"/>
      <c r="X234" s="1161"/>
      <c r="Y234" s="1161"/>
      <c r="Z234" s="1161"/>
      <c r="AA234" s="1633"/>
      <c r="AB234" s="567"/>
      <c r="AC234" s="567"/>
      <c r="AD234" s="567"/>
      <c r="AE234" s="567"/>
      <c r="AF234" s="1642">
        <v>11</v>
      </c>
    </row>
    <row s="1642" customFormat="1" customHeight="1" ht="11.549999999999999">
      <c r="A235" s="988"/>
      <c r="B235" s="1637"/>
      <c r="C235" s="1637"/>
      <c r="D235" s="352"/>
      <c r="K235" s="1161"/>
      <c r="L235" s="1637"/>
      <c r="M235" s="1637"/>
      <c r="N235" s="1161"/>
      <c r="O235" s="1161"/>
      <c r="P235" s="1161"/>
      <c r="Q235" s="1161"/>
      <c r="R235" s="1637"/>
      <c r="S235" s="1161"/>
      <c r="T235" s="1161"/>
      <c r="U235" s="545"/>
      <c r="V235" s="1161"/>
      <c r="W235" s="1161"/>
      <c r="X235" s="1161"/>
      <c r="Y235" s="1161"/>
      <c r="Z235" s="1161"/>
      <c r="AA235" s="1633"/>
      <c r="AB235" s="567"/>
      <c r="AC235" s="567"/>
      <c r="AD235" s="567"/>
      <c r="AE235" s="567"/>
      <c r="AF235" s="1642">
        <v>11</v>
      </c>
    </row>
    <row s="1642" customFormat="1" customHeight="1" ht="11.549999999999999">
      <c r="A236" s="988"/>
      <c r="B236" s="1637"/>
      <c r="C236" s="1637"/>
      <c r="D236" s="352"/>
      <c r="K236" s="1161"/>
      <c r="L236" s="1637"/>
      <c r="M236" s="1637"/>
      <c r="N236" s="1161"/>
      <c r="O236" s="1161"/>
      <c r="P236" s="1161"/>
      <c r="Q236" s="1161"/>
      <c r="R236" s="1637"/>
      <c r="S236" s="1161"/>
      <c r="T236" s="1161"/>
      <c r="U236" s="545"/>
      <c r="V236" s="1161"/>
      <c r="W236" s="1161"/>
      <c r="X236" s="1161"/>
      <c r="Y236" s="1161"/>
      <c r="Z236" s="1161"/>
      <c r="AA236" s="1633"/>
      <c r="AB236" s="567"/>
      <c r="AC236" s="567"/>
      <c r="AD236" s="567"/>
      <c r="AE236" s="567"/>
      <c r="AF236" s="1642">
        <v>11</v>
      </c>
    </row>
    <row s="1642" customFormat="1" customHeight="1" ht="11.549999999999999">
      <c r="A237" s="988"/>
      <c r="B237" s="1637"/>
      <c r="C237" s="1637"/>
      <c r="D237" s="352"/>
      <c r="K237" s="1161"/>
      <c r="L237" s="1637"/>
      <c r="M237" s="1637"/>
      <c r="N237" s="1161"/>
      <c r="O237" s="1161"/>
      <c r="P237" s="1161"/>
      <c r="Q237" s="1161"/>
      <c r="R237" s="1637"/>
      <c r="S237" s="1161"/>
      <c r="T237" s="1161"/>
      <c r="U237" s="545"/>
      <c r="V237" s="1161"/>
      <c r="W237" s="1161"/>
      <c r="X237" s="1161"/>
      <c r="Y237" s="1161"/>
      <c r="Z237" s="1161"/>
      <c r="AA237" s="1633"/>
      <c r="AB237" s="567"/>
      <c r="AC237" s="567"/>
      <c r="AD237" s="567"/>
      <c r="AE237" s="567"/>
      <c r="AF237" s="1642">
        <v>11</v>
      </c>
    </row>
    <row s="1642" customFormat="1" customHeight="1" ht="11.549999999999999">
      <c r="A238" s="988"/>
      <c r="B238" s="1637"/>
      <c r="C238" s="1637"/>
      <c r="D238" s="352"/>
      <c r="K238" s="1161"/>
      <c r="L238" s="1637"/>
      <c r="M238" s="1637"/>
      <c r="N238" s="1161"/>
      <c r="O238" s="1161"/>
      <c r="P238" s="1161"/>
      <c r="Q238" s="1161"/>
      <c r="R238" s="1637"/>
      <c r="S238" s="1161"/>
      <c r="T238" s="1161"/>
      <c r="U238" s="545"/>
      <c r="V238" s="1161"/>
      <c r="W238" s="1161"/>
      <c r="X238" s="1161"/>
      <c r="Y238" s="1161"/>
      <c r="Z238" s="1161"/>
      <c r="AA238" s="1633"/>
      <c r="AB238" s="567"/>
      <c r="AC238" s="567"/>
      <c r="AD238" s="567"/>
      <c r="AE238" s="567"/>
      <c r="AF238" s="1642">
        <v>11</v>
      </c>
    </row>
    <row s="1642" customFormat="1" customHeight="1" ht="11.549999999999999">
      <c r="A239" s="988"/>
      <c r="B239" s="1637"/>
      <c r="C239" s="1637"/>
      <c r="D239" s="352"/>
      <c r="K239" s="1161"/>
      <c r="L239" s="1637"/>
      <c r="M239" s="1637"/>
      <c r="N239" s="1161"/>
      <c r="O239" s="1161"/>
      <c r="P239" s="1161"/>
      <c r="Q239" s="1161"/>
      <c r="R239" s="1637"/>
      <c r="S239" s="1161"/>
      <c r="T239" s="1161"/>
      <c r="U239" s="545"/>
      <c r="V239" s="1161"/>
      <c r="W239" s="1161"/>
      <c r="X239" s="1161"/>
      <c r="Y239" s="1161"/>
      <c r="Z239" s="1161"/>
      <c r="AA239" s="1633"/>
      <c r="AB239" s="567"/>
      <c r="AC239" s="567"/>
      <c r="AD239" s="567"/>
      <c r="AE239" s="567"/>
      <c r="AF239" s="1642">
        <v>11</v>
      </c>
    </row>
    <row s="1642" customFormat="1" customHeight="1" ht="11.549999999999999">
      <c r="A240" s="988"/>
      <c r="B240" s="1637"/>
      <c r="C240" s="1637"/>
      <c r="D240" s="352"/>
      <c r="K240" s="1161"/>
      <c r="L240" s="1637"/>
      <c r="M240" s="1637"/>
      <c r="N240" s="1161"/>
      <c r="O240" s="1161"/>
      <c r="P240" s="1161"/>
      <c r="Q240" s="1161"/>
      <c r="R240" s="1637"/>
      <c r="S240" s="1161"/>
      <c r="T240" s="1161"/>
      <c r="U240" s="545"/>
      <c r="V240" s="1161"/>
      <c r="W240" s="1161"/>
      <c r="X240" s="1161"/>
      <c r="Y240" s="1161"/>
      <c r="Z240" s="1161"/>
      <c r="AA240" s="1633"/>
      <c r="AB240" s="567"/>
      <c r="AC240" s="567"/>
      <c r="AD240" s="567"/>
      <c r="AE240" s="567"/>
      <c r="AF240" s="1642">
        <v>11</v>
      </c>
    </row>
    <row s="1642" customFormat="1" customHeight="1" ht="11.549999999999999">
      <c r="A241" s="988"/>
      <c r="B241" s="1637"/>
      <c r="C241" s="1637"/>
      <c r="D241" s="352"/>
      <c r="K241" s="1161"/>
      <c r="L241" s="1637"/>
      <c r="M241" s="1637"/>
      <c r="N241" s="1161"/>
      <c r="O241" s="1161"/>
      <c r="P241" s="1161"/>
      <c r="Q241" s="1161"/>
      <c r="R241" s="1637"/>
      <c r="S241" s="1161"/>
      <c r="T241" s="1161"/>
      <c r="U241" s="545"/>
      <c r="V241" s="1161"/>
      <c r="W241" s="1161"/>
      <c r="X241" s="1161"/>
      <c r="Y241" s="1161"/>
      <c r="Z241" s="1161"/>
      <c r="AA241" s="1633"/>
      <c r="AB241" s="567"/>
      <c r="AC241" s="567"/>
      <c r="AD241" s="567"/>
      <c r="AE241" s="567"/>
      <c r="AF241" s="1642">
        <v>11</v>
      </c>
    </row>
    <row s="1642" customFormat="1" customHeight="1" ht="11.549999999999999">
      <c r="A242" s="988"/>
      <c r="B242" s="1637"/>
      <c r="C242" s="1637"/>
      <c r="D242" s="352"/>
      <c r="K242" s="1161"/>
      <c r="L242" s="1637"/>
      <c r="M242" s="1637"/>
      <c r="N242" s="1161"/>
      <c r="O242" s="1161"/>
      <c r="P242" s="1161"/>
      <c r="Q242" s="1161"/>
      <c r="R242" s="1637"/>
      <c r="S242" s="1161"/>
      <c r="T242" s="1161"/>
      <c r="U242" s="545"/>
      <c r="V242" s="1161"/>
      <c r="W242" s="1161"/>
      <c r="X242" s="1161"/>
      <c r="Y242" s="1161"/>
      <c r="Z242" s="1161"/>
      <c r="AA242" s="1633"/>
      <c r="AB242" s="567"/>
      <c r="AC242" s="567"/>
      <c r="AD242" s="567"/>
      <c r="AE242" s="567"/>
      <c r="AF242" s="1642">
        <v>11</v>
      </c>
    </row>
    <row s="1642" customFormat="1" customHeight="1" ht="11.549999999999999">
      <c r="A243" s="988"/>
      <c r="B243" s="1637"/>
      <c r="C243" s="1637"/>
      <c r="D243" s="352"/>
      <c r="K243" s="1161"/>
      <c r="L243" s="1637"/>
      <c r="M243" s="1637"/>
      <c r="N243" s="1161"/>
      <c r="O243" s="1161"/>
      <c r="P243" s="1161"/>
      <c r="Q243" s="1161"/>
      <c r="R243" s="1637"/>
      <c r="S243" s="1161"/>
      <c r="T243" s="1161"/>
      <c r="U243" s="545"/>
      <c r="V243" s="1161"/>
      <c r="W243" s="1161"/>
      <c r="X243" s="1161"/>
      <c r="Y243" s="1161"/>
      <c r="Z243" s="1161"/>
      <c r="AA243" s="1633"/>
      <c r="AB243" s="567"/>
      <c r="AC243" s="567"/>
      <c r="AD243" s="567"/>
      <c r="AE243" s="567"/>
      <c r="AF243" s="1642">
        <v>11</v>
      </c>
    </row>
    <row s="1642" customFormat="1" customHeight="1" ht="11.549999999999999">
      <c r="A244" s="988"/>
      <c r="B244" s="1637"/>
      <c r="C244" s="1637"/>
      <c r="D244" s="352"/>
      <c r="K244" s="1161"/>
      <c r="L244" s="1637"/>
      <c r="M244" s="1637"/>
      <c r="N244" s="1161"/>
      <c r="O244" s="1161"/>
      <c r="P244" s="1161"/>
      <c r="Q244" s="1161"/>
      <c r="R244" s="1637"/>
      <c r="S244" s="1161"/>
      <c r="T244" s="1161"/>
      <c r="U244" s="545"/>
      <c r="V244" s="1161"/>
      <c r="W244" s="1161"/>
      <c r="X244" s="1161"/>
      <c r="Y244" s="1161"/>
      <c r="Z244" s="1161"/>
      <c r="AA244" s="1633"/>
      <c r="AB244" s="567"/>
      <c r="AC244" s="567"/>
      <c r="AD244" s="567"/>
      <c r="AE244" s="567"/>
      <c r="AF244" s="1642">
        <v>11</v>
      </c>
    </row>
    <row s="1642" customFormat="1" customHeight="1" ht="11.549999999999999">
      <c r="A245" s="988"/>
      <c r="B245" s="1637"/>
      <c r="C245" s="1637"/>
      <c r="D245" s="352"/>
      <c r="K245" s="1161"/>
      <c r="L245" s="1637"/>
      <c r="M245" s="1637"/>
      <c r="N245" s="1161"/>
      <c r="O245" s="1161"/>
      <c r="P245" s="1161"/>
      <c r="Q245" s="1161"/>
      <c r="R245" s="1637"/>
      <c r="S245" s="1161"/>
      <c r="T245" s="1161"/>
      <c r="U245" s="545"/>
      <c r="V245" s="1161"/>
      <c r="W245" s="1161"/>
      <c r="X245" s="1161"/>
      <c r="Y245" s="1161"/>
      <c r="Z245" s="1161"/>
      <c r="AA245" s="1633"/>
      <c r="AB245" s="567"/>
      <c r="AC245" s="567"/>
      <c r="AD245" s="567"/>
      <c r="AE245" s="567"/>
      <c r="AF245" s="1642">
        <v>11</v>
      </c>
    </row>
    <row s="1642" customFormat="1" customHeight="1" ht="11.549999999999999">
      <c r="A246" s="988"/>
      <c r="B246" s="1637"/>
      <c r="C246" s="1637"/>
      <c r="D246" s="352"/>
      <c r="K246" s="1161"/>
      <c r="L246" s="1637"/>
      <c r="M246" s="1637"/>
      <c r="N246" s="1161"/>
      <c r="O246" s="1161"/>
      <c r="P246" s="1161"/>
      <c r="Q246" s="1161"/>
      <c r="R246" s="1637"/>
      <c r="S246" s="1161"/>
      <c r="T246" s="1161"/>
      <c r="U246" s="545"/>
      <c r="V246" s="1161"/>
      <c r="W246" s="1161"/>
      <c r="X246" s="1161"/>
      <c r="Y246" s="1161"/>
      <c r="Z246" s="1161"/>
      <c r="AA246" s="1633"/>
      <c r="AB246" s="567"/>
      <c r="AC246" s="567"/>
      <c r="AD246" s="567"/>
      <c r="AE246" s="567"/>
      <c r="AF246" s="1642">
        <v>11</v>
      </c>
    </row>
    <row s="1642" customFormat="1" customHeight="1" ht="11.549999999999999">
      <c r="A247" s="988"/>
      <c r="B247" s="1637"/>
      <c r="C247" s="1637"/>
      <c r="D247" s="352"/>
      <c r="K247" s="1161"/>
      <c r="L247" s="1637"/>
      <c r="M247" s="1637"/>
      <c r="N247" s="1161"/>
      <c r="O247" s="1161"/>
      <c r="P247" s="1161"/>
      <c r="Q247" s="1161"/>
      <c r="R247" s="1637"/>
      <c r="S247" s="1161"/>
      <c r="T247" s="1161"/>
      <c r="U247" s="545"/>
      <c r="V247" s="1161"/>
      <c r="W247" s="1161"/>
      <c r="X247" s="1161"/>
      <c r="Y247" s="1161"/>
      <c r="Z247" s="1161"/>
      <c r="AA247" s="1633"/>
      <c r="AB247" s="567"/>
      <c r="AC247" s="567"/>
      <c r="AD247" s="567"/>
      <c r="AE247" s="567"/>
      <c r="AF247" s="1642">
        <v>11</v>
      </c>
    </row>
    <row s="1642" customFormat="1" customHeight="1" ht="11.549999999999999">
      <c r="A248" s="988"/>
      <c r="B248" s="1637"/>
      <c r="C248" s="1637"/>
      <c r="D248" s="352"/>
      <c r="K248" s="1161"/>
      <c r="L248" s="1637"/>
      <c r="M248" s="1637"/>
      <c r="N248" s="1161"/>
      <c r="O248" s="1161"/>
      <c r="P248" s="1161"/>
      <c r="Q248" s="1161"/>
      <c r="R248" s="1637"/>
      <c r="S248" s="1161"/>
      <c r="T248" s="1161"/>
      <c r="U248" s="545"/>
      <c r="V248" s="1161"/>
      <c r="W248" s="1161"/>
      <c r="X248" s="1161"/>
      <c r="Y248" s="1161"/>
      <c r="Z248" s="1161"/>
      <c r="AA248" s="1633"/>
      <c r="AB248" s="567"/>
      <c r="AC248" s="567"/>
      <c r="AD248" s="567"/>
      <c r="AE248" s="567"/>
      <c r="AF248" s="1642">
        <v>11</v>
      </c>
    </row>
    <row s="1642" customFormat="1" customHeight="1" ht="11.549999999999999">
      <c r="A249" s="988"/>
      <c r="B249" s="1637"/>
      <c r="C249" s="1637"/>
      <c r="D249" s="352"/>
      <c r="K249" s="1161"/>
      <c r="L249" s="1637"/>
      <c r="M249" s="1637"/>
      <c r="N249" s="1161"/>
      <c r="O249" s="1161"/>
      <c r="P249" s="1161"/>
      <c r="Q249" s="1161"/>
      <c r="R249" s="1637"/>
      <c r="S249" s="1161"/>
      <c r="T249" s="1161"/>
      <c r="U249" s="545"/>
      <c r="V249" s="1161"/>
      <c r="W249" s="1161"/>
      <c r="X249" s="1161"/>
      <c r="Y249" s="1161"/>
      <c r="Z249" s="1161"/>
      <c r="AA249" s="1633"/>
      <c r="AB249" s="567"/>
      <c r="AC249" s="567"/>
      <c r="AD249" s="567"/>
      <c r="AE249" s="567"/>
      <c r="AF249" s="1642">
        <v>11</v>
      </c>
    </row>
    <row s="1642" customFormat="1" customHeight="1" ht="11.549999999999999">
      <c r="A250" s="988"/>
      <c r="B250" s="1637"/>
      <c r="C250" s="1637"/>
      <c r="D250" s="352"/>
      <c r="K250" s="1161"/>
      <c r="L250" s="1637"/>
      <c r="M250" s="1637"/>
      <c r="N250" s="1161"/>
      <c r="O250" s="1161"/>
      <c r="P250" s="1161"/>
      <c r="Q250" s="1161"/>
      <c r="R250" s="1637"/>
      <c r="S250" s="1161"/>
      <c r="T250" s="1161"/>
      <c r="U250" s="545"/>
      <c r="V250" s="1161"/>
      <c r="W250" s="1161"/>
      <c r="X250" s="1161"/>
      <c r="Y250" s="1161"/>
      <c r="Z250" s="1161"/>
      <c r="AA250" s="1633"/>
      <c r="AB250" s="567"/>
      <c r="AC250" s="567"/>
      <c r="AD250" s="567"/>
      <c r="AE250" s="567"/>
      <c r="AF250" s="1642">
        <v>11</v>
      </c>
    </row>
    <row s="1642" customFormat="1" customHeight="1" ht="11.549999999999999">
      <c r="A251" s="988"/>
      <c r="B251" s="1637"/>
      <c r="C251" s="1637"/>
      <c r="D251" s="352"/>
      <c r="K251" s="1161"/>
      <c r="L251" s="1637"/>
      <c r="M251" s="1637"/>
      <c r="N251" s="1161"/>
      <c r="O251" s="1161"/>
      <c r="P251" s="1161"/>
      <c r="Q251" s="1161"/>
      <c r="R251" s="1637"/>
      <c r="S251" s="1161"/>
      <c r="T251" s="1161"/>
      <c r="U251" s="545"/>
      <c r="V251" s="1161"/>
      <c r="W251" s="1161"/>
      <c r="X251" s="1161"/>
      <c r="Y251" s="1161"/>
      <c r="Z251" s="1161"/>
      <c r="AA251" s="1633"/>
      <c r="AB251" s="567"/>
      <c r="AC251" s="567"/>
      <c r="AD251" s="567"/>
      <c r="AE251" s="567"/>
      <c r="AF251" s="1642">
        <v>11</v>
      </c>
    </row>
    <row s="1642" customFormat="1" customHeight="1" ht="11.549999999999999">
      <c r="A252" s="988"/>
      <c r="B252" s="1637"/>
      <c r="C252" s="1637"/>
      <c r="D252" s="352"/>
      <c r="K252" s="1161"/>
      <c r="L252" s="1637"/>
      <c r="M252" s="1637"/>
      <c r="N252" s="1161"/>
      <c r="O252" s="1161"/>
      <c r="P252" s="1161"/>
      <c r="Q252" s="1161"/>
      <c r="R252" s="1637"/>
      <c r="S252" s="1161"/>
      <c r="T252" s="1161"/>
      <c r="U252" s="545"/>
      <c r="V252" s="1161"/>
      <c r="W252" s="1161"/>
      <c r="X252" s="1161"/>
      <c r="Y252" s="1161"/>
      <c r="Z252" s="1161"/>
      <c r="AA252" s="1633"/>
      <c r="AB252" s="567"/>
      <c r="AC252" s="567"/>
      <c r="AD252" s="567"/>
      <c r="AE252" s="567"/>
      <c r="AF252" s="1642">
        <v>11</v>
      </c>
    </row>
    <row s="1642" customFormat="1" customHeight="1" ht="11.549999999999999">
      <c r="A253" s="988"/>
      <c r="B253" s="1637"/>
      <c r="C253" s="1637"/>
      <c r="D253" s="352"/>
      <c r="K253" s="1161"/>
      <c r="L253" s="1637"/>
      <c r="M253" s="1637"/>
      <c r="N253" s="1161"/>
      <c r="O253" s="1161"/>
      <c r="P253" s="1161"/>
      <c r="Q253" s="1161"/>
      <c r="R253" s="1637"/>
      <c r="S253" s="1161"/>
      <c r="T253" s="1161"/>
      <c r="U253" s="545"/>
      <c r="V253" s="1161"/>
      <c r="W253" s="1161"/>
      <c r="X253" s="1161"/>
      <c r="Y253" s="1161"/>
      <c r="Z253" s="1161"/>
      <c r="AA253" s="1633"/>
      <c r="AB253" s="567"/>
      <c r="AC253" s="567"/>
      <c r="AD253" s="567"/>
      <c r="AE253" s="567"/>
      <c r="AF253" s="1642">
        <v>11</v>
      </c>
    </row>
    <row s="1642" customFormat="1" customHeight="1" ht="11.549999999999999">
      <c r="A254" s="988"/>
      <c r="B254" s="1637"/>
      <c r="C254" s="1637"/>
      <c r="D254" s="352"/>
      <c r="K254" s="1161"/>
      <c r="L254" s="1637"/>
      <c r="M254" s="1637"/>
      <c r="N254" s="1161"/>
      <c r="O254" s="1161"/>
      <c r="P254" s="1161"/>
      <c r="Q254" s="1161"/>
      <c r="R254" s="1637"/>
      <c r="S254" s="1161"/>
      <c r="T254" s="1161"/>
      <c r="U254" s="545"/>
      <c r="V254" s="1161"/>
      <c r="W254" s="1161"/>
      <c r="X254" s="1161"/>
      <c r="Y254" s="1161"/>
      <c r="Z254" s="1161"/>
      <c r="AA254" s="1633"/>
      <c r="AB254" s="567"/>
      <c r="AC254" s="567"/>
      <c r="AD254" s="567"/>
      <c r="AE254" s="567"/>
      <c r="AF254" s="1642">
        <v>11</v>
      </c>
    </row>
    <row s="1642" customFormat="1" customHeight="1" ht="11.549999999999999">
      <c r="A255" s="988"/>
      <c r="B255" s="1637"/>
      <c r="C255" s="1637"/>
      <c r="D255" s="352"/>
      <c r="K255" s="1161"/>
      <c r="L255" s="1637"/>
      <c r="M255" s="1637"/>
      <c r="N255" s="1161"/>
      <c r="O255" s="1161"/>
      <c r="P255" s="1161"/>
      <c r="Q255" s="1161"/>
      <c r="R255" s="1637"/>
      <c r="S255" s="1161"/>
      <c r="T255" s="1161"/>
      <c r="U255" s="545"/>
      <c r="V255" s="1161"/>
      <c r="W255" s="1161"/>
      <c r="X255" s="1161"/>
      <c r="Y255" s="1161"/>
      <c r="Z255" s="1161"/>
      <c r="AA255" s="1633"/>
      <c r="AB255" s="567"/>
      <c r="AC255" s="567"/>
      <c r="AD255" s="567"/>
      <c r="AE255" s="567"/>
      <c r="AF255" s="1642">
        <v>11</v>
      </c>
    </row>
    <row s="1642" customFormat="1" customHeight="1" ht="11.549999999999999">
      <c r="A256" s="988"/>
      <c r="B256" s="1637"/>
      <c r="C256" s="1637"/>
      <c r="D256" s="352"/>
      <c r="K256" s="1161"/>
      <c r="L256" s="1637"/>
      <c r="M256" s="1637"/>
      <c r="N256" s="1161"/>
      <c r="O256" s="1161"/>
      <c r="P256" s="1161"/>
      <c r="Q256" s="1161"/>
      <c r="R256" s="1637"/>
      <c r="S256" s="1161"/>
      <c r="T256" s="1161"/>
      <c r="U256" s="545"/>
      <c r="V256" s="1161"/>
      <c r="W256" s="1161"/>
      <c r="X256" s="1161"/>
      <c r="Y256" s="1161"/>
      <c r="Z256" s="1161"/>
      <c r="AA256" s="1633"/>
      <c r="AB256" s="567"/>
      <c r="AC256" s="567"/>
      <c r="AD256" s="567"/>
      <c r="AE256" s="567"/>
      <c r="AF256" s="1642">
        <v>11</v>
      </c>
    </row>
    <row s="1642" customFormat="1" customHeight="1" ht="11.549999999999999">
      <c r="A257" s="988"/>
      <c r="B257" s="1637"/>
      <c r="C257" s="1637"/>
      <c r="D257" s="352"/>
      <c r="K257" s="1161"/>
      <c r="L257" s="1637"/>
      <c r="M257" s="1637"/>
      <c r="N257" s="1161"/>
      <c r="O257" s="1161"/>
      <c r="P257" s="1161"/>
      <c r="Q257" s="1161"/>
      <c r="R257" s="1637"/>
      <c r="S257" s="1161"/>
      <c r="T257" s="1161"/>
      <c r="U257" s="545"/>
      <c r="V257" s="1161"/>
      <c r="W257" s="1161"/>
      <c r="X257" s="1161"/>
      <c r="Y257" s="1161"/>
      <c r="Z257" s="1161"/>
      <c r="AA257" s="1633"/>
      <c r="AB257" s="567"/>
      <c r="AC257" s="567"/>
      <c r="AD257" s="567"/>
      <c r="AE257" s="567"/>
      <c r="AF257" s="1642">
        <v>11</v>
      </c>
    </row>
    <row s="1642" customFormat="1" customHeight="1" ht="11.549999999999999">
      <c r="A258" s="988"/>
      <c r="B258" s="1637"/>
      <c r="C258" s="1637"/>
      <c r="D258" s="352"/>
      <c r="K258" s="1161"/>
      <c r="L258" s="1637"/>
      <c r="M258" s="1637"/>
      <c r="N258" s="1161"/>
      <c r="O258" s="1161"/>
      <c r="P258" s="1161"/>
      <c r="Q258" s="1161"/>
      <c r="R258" s="1637"/>
      <c r="S258" s="1161"/>
      <c r="T258" s="1161"/>
      <c r="U258" s="545"/>
      <c r="V258" s="1161"/>
      <c r="W258" s="1161"/>
      <c r="X258" s="1161"/>
      <c r="Y258" s="1161"/>
      <c r="Z258" s="1161"/>
      <c r="AA258" s="1633"/>
      <c r="AB258" s="567"/>
      <c r="AC258" s="567"/>
      <c r="AD258" s="567"/>
      <c r="AE258" s="567"/>
      <c r="AF258" s="1642">
        <v>11</v>
      </c>
    </row>
    <row s="1642" customFormat="1" customHeight="1" ht="11.549999999999999">
      <c r="A259" s="988"/>
      <c r="B259" s="1637"/>
      <c r="C259" s="1637"/>
      <c r="D259" s="352"/>
      <c r="K259" s="1161"/>
      <c r="L259" s="1637"/>
      <c r="M259" s="1637"/>
      <c r="N259" s="1161"/>
      <c r="O259" s="1161"/>
      <c r="P259" s="1161"/>
      <c r="Q259" s="1161"/>
      <c r="R259" s="1637"/>
      <c r="S259" s="1161"/>
      <c r="T259" s="1161"/>
      <c r="U259" s="545"/>
      <c r="V259" s="1161"/>
      <c r="W259" s="1161"/>
      <c r="X259" s="1161"/>
      <c r="Y259" s="1161"/>
      <c r="Z259" s="1161"/>
      <c r="AA259" s="1633"/>
      <c r="AB259" s="567"/>
      <c r="AC259" s="567"/>
      <c r="AD259" s="567"/>
      <c r="AE259" s="567"/>
      <c r="AF259" s="1642">
        <v>11</v>
      </c>
    </row>
    <row s="1642" customFormat="1" customHeight="1" ht="11.549999999999999">
      <c r="A260" s="988"/>
      <c r="B260" s="1637"/>
      <c r="C260" s="1637"/>
      <c r="D260" s="352"/>
      <c r="K260" s="1161"/>
      <c r="L260" s="1637"/>
      <c r="M260" s="1637"/>
      <c r="N260" s="1161"/>
      <c r="O260" s="1161"/>
      <c r="P260" s="1161"/>
      <c r="Q260" s="1161"/>
      <c r="R260" s="1637"/>
      <c r="S260" s="1161"/>
      <c r="T260" s="1161"/>
      <c r="U260" s="545"/>
      <c r="V260" s="1161"/>
      <c r="W260" s="1161"/>
      <c r="X260" s="1161"/>
      <c r="Y260" s="1161"/>
      <c r="Z260" s="1161"/>
      <c r="AA260" s="1633"/>
      <c r="AB260" s="567"/>
      <c r="AC260" s="567"/>
      <c r="AD260" s="567"/>
      <c r="AE260" s="567"/>
      <c r="AF260" s="1642">
        <v>11</v>
      </c>
    </row>
    <row s="1642" customFormat="1" customHeight="1" ht="11.549999999999999">
      <c r="A261" s="988"/>
      <c r="B261" s="1637"/>
      <c r="C261" s="1637"/>
      <c r="D261" s="352"/>
      <c r="K261" s="1161"/>
      <c r="L261" s="1637"/>
      <c r="M261" s="1637"/>
      <c r="N261" s="1161"/>
      <c r="O261" s="1161"/>
      <c r="P261" s="1161"/>
      <c r="Q261" s="1161"/>
      <c r="R261" s="1637"/>
      <c r="S261" s="1161"/>
      <c r="T261" s="1161"/>
      <c r="U261" s="545"/>
      <c r="V261" s="1161"/>
      <c r="W261" s="1161"/>
      <c r="X261" s="1161"/>
      <c r="Y261" s="1161"/>
      <c r="Z261" s="1161"/>
      <c r="AA261" s="1633"/>
      <c r="AB261" s="567"/>
      <c r="AC261" s="567"/>
      <c r="AD261" s="567"/>
      <c r="AE261" s="567"/>
      <c r="AF261" s="1642">
        <v>11</v>
      </c>
    </row>
    <row s="1642" customFormat="1" customHeight="1" ht="11.549999999999999">
      <c r="A262" s="988"/>
      <c r="B262" s="1637"/>
      <c r="C262" s="1637"/>
      <c r="D262" s="352"/>
      <c r="K262" s="1161"/>
      <c r="L262" s="1637"/>
      <c r="M262" s="1637"/>
      <c r="N262" s="1161"/>
      <c r="O262" s="1161"/>
      <c r="P262" s="1161"/>
      <c r="Q262" s="1161"/>
      <c r="R262" s="1637"/>
      <c r="S262" s="1161"/>
      <c r="T262" s="1161"/>
      <c r="U262" s="545"/>
      <c r="V262" s="1161"/>
      <c r="W262" s="1161"/>
      <c r="X262" s="1161"/>
      <c r="Y262" s="1161"/>
      <c r="Z262" s="1161"/>
      <c r="AA262" s="1633"/>
      <c r="AB262" s="567"/>
      <c r="AC262" s="567"/>
      <c r="AD262" s="567"/>
      <c r="AE262" s="567"/>
      <c r="AF262" s="1642">
        <v>11</v>
      </c>
    </row>
    <row s="1642" customFormat="1" customHeight="1" ht="11.549999999999999">
      <c r="A263" s="988"/>
      <c r="B263" s="1637"/>
      <c r="C263" s="1637"/>
      <c r="D263" s="352"/>
      <c r="K263" s="1161"/>
      <c r="L263" s="1637"/>
      <c r="M263" s="1637"/>
      <c r="N263" s="1161"/>
      <c r="O263" s="1161"/>
      <c r="P263" s="1161"/>
      <c r="Q263" s="1161"/>
      <c r="R263" s="1637"/>
      <c r="S263" s="1161"/>
      <c r="T263" s="1161"/>
      <c r="U263" s="545"/>
      <c r="V263" s="1161"/>
      <c r="W263" s="1161"/>
      <c r="X263" s="1161"/>
      <c r="Y263" s="1161"/>
      <c r="Z263" s="1161"/>
      <c r="AA263" s="1633"/>
      <c r="AB263" s="567"/>
      <c r="AC263" s="567"/>
      <c r="AD263" s="567"/>
      <c r="AE263" s="567"/>
      <c r="AF263" s="1642">
        <v>11</v>
      </c>
    </row>
    <row s="1642" customFormat="1" customHeight="1" ht="11.549999999999999">
      <c r="A264" s="988"/>
      <c r="B264" s="1637"/>
      <c r="C264" s="1637"/>
      <c r="D264" s="352"/>
      <c r="K264" s="1161"/>
      <c r="L264" s="1637"/>
      <c r="M264" s="1637"/>
      <c r="N264" s="1161"/>
      <c r="O264" s="1161"/>
      <c r="P264" s="1161"/>
      <c r="Q264" s="1161"/>
      <c r="R264" s="1637"/>
      <c r="S264" s="1161"/>
      <c r="T264" s="1161"/>
      <c r="U264" s="545"/>
      <c r="V264" s="1161"/>
      <c r="W264" s="1161"/>
      <c r="X264" s="1161"/>
      <c r="Y264" s="1161"/>
      <c r="Z264" s="1161"/>
      <c r="AA264" s="1633"/>
      <c r="AB264" s="567"/>
      <c r="AC264" s="567"/>
      <c r="AD264" s="567"/>
      <c r="AE264" s="567"/>
      <c r="AF264" s="1642">
        <v>11</v>
      </c>
    </row>
    <row s="1642" customFormat="1" customHeight="1" ht="11.549999999999999">
      <c r="A265" s="988"/>
      <c r="B265" s="1637"/>
      <c r="C265" s="1637"/>
      <c r="D265" s="352"/>
      <c r="K265" s="1161"/>
      <c r="L265" s="1637"/>
      <c r="M265" s="1637"/>
      <c r="N265" s="1161"/>
      <c r="O265" s="1161"/>
      <c r="P265" s="1161"/>
      <c r="Q265" s="1161"/>
      <c r="R265" s="1637"/>
      <c r="S265" s="1161"/>
      <c r="T265" s="1161"/>
      <c r="U265" s="545"/>
      <c r="V265" s="1161"/>
      <c r="W265" s="1161"/>
      <c r="X265" s="1161"/>
      <c r="Y265" s="1161"/>
      <c r="Z265" s="1161"/>
      <c r="AA265" s="1633"/>
      <c r="AB265" s="567"/>
      <c r="AC265" s="567"/>
      <c r="AD265" s="567"/>
      <c r="AE265" s="567"/>
      <c r="AF265" s="1642">
        <v>11</v>
      </c>
    </row>
    <row s="1642" customFormat="1" customHeight="1" ht="11.549999999999999">
      <c r="A266" s="988"/>
      <c r="B266" s="1637"/>
      <c r="C266" s="1637"/>
      <c r="D266" s="352"/>
      <c r="K266" s="1161"/>
      <c r="L266" s="1637"/>
      <c r="M266" s="1637"/>
      <c r="N266" s="1161"/>
      <c r="O266" s="1161"/>
      <c r="P266" s="1161"/>
      <c r="Q266" s="1161"/>
      <c r="R266" s="1637"/>
      <c r="S266" s="1161"/>
      <c r="T266" s="1161"/>
      <c r="U266" s="545"/>
      <c r="V266" s="1161"/>
      <c r="W266" s="1161"/>
      <c r="X266" s="1161"/>
      <c r="Y266" s="1161"/>
      <c r="Z266" s="1161"/>
      <c r="AA266" s="1633"/>
      <c r="AB266" s="567"/>
      <c r="AC266" s="567"/>
      <c r="AD266" s="567"/>
      <c r="AE266" s="567"/>
      <c r="AF266" s="1642">
        <v>11</v>
      </c>
    </row>
    <row s="1642" customFormat="1" customHeight="1" ht="11.549999999999999">
      <c r="A267" s="988"/>
      <c r="B267" s="1637"/>
      <c r="C267" s="1637"/>
      <c r="D267" s="352"/>
      <c r="K267" s="1161"/>
      <c r="L267" s="1637"/>
      <c r="M267" s="1637"/>
      <c r="N267" s="1161"/>
      <c r="O267" s="1161"/>
      <c r="P267" s="1161"/>
      <c r="Q267" s="1161"/>
      <c r="R267" s="1637"/>
      <c r="S267" s="1161"/>
      <c r="T267" s="1161"/>
      <c r="U267" s="545"/>
      <c r="V267" s="1161"/>
      <c r="W267" s="1161"/>
      <c r="X267" s="1161"/>
      <c r="Y267" s="1161"/>
      <c r="Z267" s="1161"/>
      <c r="AA267" s="1633"/>
      <c r="AB267" s="567"/>
      <c r="AC267" s="567"/>
      <c r="AD267" s="567"/>
      <c r="AE267" s="567"/>
      <c r="AF267" s="1642">
        <v>11</v>
      </c>
    </row>
    <row s="1642" customFormat="1" customHeight="1" ht="11.549999999999999">
      <c r="A268" s="988"/>
      <c r="B268" s="1637"/>
      <c r="C268" s="1637"/>
      <c r="D268" s="352"/>
      <c r="K268" s="1161"/>
      <c r="L268" s="1637"/>
      <c r="M268" s="1637"/>
      <c r="N268" s="1161"/>
      <c r="O268" s="1161"/>
      <c r="P268" s="1161"/>
      <c r="Q268" s="1161"/>
      <c r="R268" s="1637"/>
      <c r="S268" s="1161"/>
      <c r="T268" s="1161"/>
      <c r="U268" s="545"/>
      <c r="V268" s="1161"/>
      <c r="W268" s="1161"/>
      <c r="X268" s="1161"/>
      <c r="Y268" s="1161"/>
      <c r="Z268" s="1161"/>
      <c r="AA268" s="1633"/>
      <c r="AB268" s="567"/>
      <c r="AC268" s="567"/>
      <c r="AD268" s="567"/>
      <c r="AE268" s="567"/>
      <c r="AF268" s="1642">
        <v>11</v>
      </c>
    </row>
    <row s="1642" customFormat="1" customHeight="1" ht="11.549999999999999">
      <c r="A269" s="988"/>
      <c r="B269" s="1637"/>
      <c r="C269" s="1637"/>
      <c r="D269" s="352"/>
      <c r="K269" s="1161"/>
      <c r="L269" s="1637"/>
      <c r="M269" s="1637"/>
      <c r="N269" s="1161"/>
      <c r="O269" s="1161"/>
      <c r="P269" s="1161"/>
      <c r="Q269" s="1161"/>
      <c r="R269" s="1637"/>
      <c r="S269" s="1161"/>
      <c r="T269" s="1161"/>
      <c r="U269" s="545"/>
      <c r="V269" s="1161"/>
      <c r="W269" s="1161"/>
      <c r="X269" s="1161"/>
      <c r="Y269" s="1161"/>
      <c r="Z269" s="1161"/>
      <c r="AA269" s="1633"/>
      <c r="AB269" s="567"/>
      <c r="AC269" s="567"/>
      <c r="AD269" s="567"/>
      <c r="AE269" s="567"/>
      <c r="AF269" s="1642">
        <v>11</v>
      </c>
    </row>
    <row s="1642" customFormat="1" customHeight="1" ht="11.549999999999999">
      <c r="A270" s="988"/>
      <c r="B270" s="1637"/>
      <c r="C270" s="1637"/>
      <c r="D270" s="352"/>
      <c r="K270" s="1161"/>
      <c r="L270" s="1637"/>
      <c r="M270" s="1637"/>
      <c r="N270" s="1161"/>
      <c r="O270" s="1161"/>
      <c r="P270" s="1161"/>
      <c r="Q270" s="1161"/>
      <c r="R270" s="1637"/>
      <c r="S270" s="1161"/>
      <c r="T270" s="1161"/>
      <c r="U270" s="545"/>
      <c r="V270" s="1161"/>
      <c r="W270" s="1161"/>
      <c r="X270" s="1161"/>
      <c r="Y270" s="1161"/>
      <c r="Z270" s="1161"/>
      <c r="AA270" s="1633"/>
      <c r="AB270" s="567"/>
      <c r="AC270" s="567"/>
      <c r="AD270" s="567"/>
      <c r="AE270" s="567"/>
      <c r="AF270" s="1642">
        <v>11</v>
      </c>
    </row>
    <row s="1642" customFormat="1" customHeight="1" ht="11.549999999999999">
      <c r="A271" s="988"/>
      <c r="B271" s="1637"/>
      <c r="C271" s="1637"/>
      <c r="D271" s="352"/>
      <c r="K271" s="1161"/>
      <c r="L271" s="1637"/>
      <c r="M271" s="1637"/>
      <c r="N271" s="1161"/>
      <c r="O271" s="1161"/>
      <c r="P271" s="1161"/>
      <c r="Q271" s="1161"/>
      <c r="R271" s="1637"/>
      <c r="S271" s="1161"/>
      <c r="T271" s="1161"/>
      <c r="U271" s="545"/>
      <c r="V271" s="1161"/>
      <c r="W271" s="1161"/>
      <c r="X271" s="1161"/>
      <c r="Y271" s="1161"/>
      <c r="Z271" s="1161"/>
      <c r="AA271" s="1633"/>
      <c r="AB271" s="567"/>
      <c r="AC271" s="567"/>
      <c r="AD271" s="567"/>
      <c r="AE271" s="567"/>
      <c r="AF271" s="1642">
        <v>11</v>
      </c>
    </row>
    <row s="1642" customFormat="1" customHeight="1" ht="11.549999999999999">
      <c r="A272" s="988"/>
      <c r="B272" s="1637"/>
      <c r="C272" s="1637"/>
      <c r="D272" s="352"/>
      <c r="K272" s="1161"/>
      <c r="L272" s="1637"/>
      <c r="M272" s="1637"/>
      <c r="N272" s="1161"/>
      <c r="O272" s="1161"/>
      <c r="P272" s="1161"/>
      <c r="Q272" s="1161"/>
      <c r="R272" s="1637"/>
      <c r="S272" s="1161"/>
      <c r="T272" s="1161"/>
      <c r="U272" s="545"/>
      <c r="V272" s="1161"/>
      <c r="W272" s="1161"/>
      <c r="X272" s="1161"/>
      <c r="Y272" s="1161"/>
      <c r="Z272" s="1161"/>
      <c r="AA272" s="1633"/>
      <c r="AB272" s="567"/>
      <c r="AC272" s="567"/>
      <c r="AD272" s="567"/>
      <c r="AE272" s="567"/>
      <c r="AF272" s="1642">
        <v>11</v>
      </c>
    </row>
    <row s="1642" customFormat="1" customHeight="1" ht="11.549999999999999">
      <c r="A273" s="988"/>
      <c r="B273" s="1637"/>
      <c r="C273" s="1637"/>
      <c r="D273" s="352"/>
      <c r="K273" s="1161"/>
      <c r="L273" s="1637"/>
      <c r="M273" s="1637"/>
      <c r="N273" s="1161"/>
      <c r="O273" s="1161"/>
      <c r="P273" s="1161"/>
      <c r="Q273" s="1161"/>
      <c r="R273" s="1637"/>
      <c r="S273" s="1161"/>
      <c r="T273" s="1161"/>
      <c r="U273" s="545"/>
      <c r="V273" s="1161"/>
      <c r="W273" s="1161"/>
      <c r="X273" s="1161"/>
      <c r="Y273" s="1161"/>
      <c r="Z273" s="1161"/>
      <c r="AA273" s="1633"/>
      <c r="AB273" s="567"/>
      <c r="AC273" s="567"/>
      <c r="AD273" s="567"/>
      <c r="AE273" s="567"/>
      <c r="AF273" s="1642">
        <v>11</v>
      </c>
    </row>
    <row s="1642" customFormat="1" customHeight="1" ht="11.549999999999999">
      <c r="A274" s="988"/>
      <c r="B274" s="1637"/>
      <c r="C274" s="1637"/>
      <c r="D274" s="352"/>
      <c r="K274" s="1161"/>
      <c r="L274" s="1637"/>
      <c r="M274" s="1637"/>
      <c r="N274" s="1161"/>
      <c r="O274" s="1161"/>
      <c r="P274" s="1161"/>
      <c r="Q274" s="1161"/>
      <c r="R274" s="1637"/>
      <c r="S274" s="1161"/>
      <c r="T274" s="1161"/>
      <c r="U274" s="545"/>
      <c r="V274" s="1161"/>
      <c r="W274" s="1161"/>
      <c r="X274" s="1161"/>
      <c r="Y274" s="1161"/>
      <c r="Z274" s="1161"/>
      <c r="AA274" s="1633"/>
      <c r="AB274" s="567"/>
      <c r="AC274" s="567"/>
      <c r="AD274" s="567"/>
      <c r="AE274" s="567"/>
      <c r="AF274" s="1642">
        <v>11</v>
      </c>
    </row>
    <row s="1642" customFormat="1" customHeight="1" ht="11.549999999999999">
      <c r="A275" s="988"/>
      <c r="B275" s="1637"/>
      <c r="C275" s="1637"/>
      <c r="D275" s="352"/>
      <c r="K275" s="1161"/>
      <c r="L275" s="1637"/>
      <c r="M275" s="1637"/>
      <c r="N275" s="1161"/>
      <c r="O275" s="1161"/>
      <c r="P275" s="1161"/>
      <c r="Q275" s="1161"/>
      <c r="R275" s="1637"/>
      <c r="S275" s="1161"/>
      <c r="T275" s="1161"/>
      <c r="U275" s="545"/>
      <c r="V275" s="1161"/>
      <c r="W275" s="1161"/>
      <c r="X275" s="1161"/>
      <c r="Y275" s="1161"/>
      <c r="Z275" s="1161"/>
      <c r="AA275" s="1633"/>
      <c r="AB275" s="567"/>
      <c r="AC275" s="567"/>
      <c r="AD275" s="567"/>
      <c r="AE275" s="567"/>
      <c r="AF275" s="1642">
        <v>11</v>
      </c>
    </row>
    <row s="1642" customFormat="1" customHeight="1" ht="11.549999999999999">
      <c r="A276" s="988"/>
      <c r="B276" s="1637"/>
      <c r="C276" s="1637"/>
      <c r="D276" s="352"/>
      <c r="K276" s="1161"/>
      <c r="L276" s="1637"/>
      <c r="M276" s="1637"/>
      <c r="N276" s="1161"/>
      <c r="O276" s="1161"/>
      <c r="P276" s="1161"/>
      <c r="Q276" s="1161"/>
      <c r="R276" s="1637"/>
      <c r="S276" s="1161"/>
      <c r="T276" s="1161"/>
      <c r="U276" s="545"/>
      <c r="V276" s="1161"/>
      <c r="W276" s="1161"/>
      <c r="X276" s="1161"/>
      <c r="Y276" s="1161"/>
      <c r="Z276" s="1161"/>
      <c r="AA276" s="1633"/>
      <c r="AB276" s="567"/>
      <c r="AC276" s="567"/>
      <c r="AD276" s="567"/>
      <c r="AE276" s="567"/>
      <c r="AF276" s="1642">
        <v>11</v>
      </c>
    </row>
    <row s="1642" customFormat="1" customHeight="1" ht="11.549999999999999">
      <c r="A277" s="988"/>
      <c r="B277" s="1637"/>
      <c r="C277" s="1637"/>
      <c r="D277" s="352"/>
      <c r="K277" s="1161"/>
      <c r="L277" s="1637"/>
      <c r="M277" s="1637"/>
      <c r="N277" s="1161"/>
      <c r="O277" s="1161"/>
      <c r="P277" s="1161"/>
      <c r="Q277" s="1161"/>
      <c r="R277" s="1637"/>
      <c r="S277" s="1161"/>
      <c r="T277" s="1161"/>
      <c r="U277" s="545"/>
      <c r="V277" s="1161"/>
      <c r="W277" s="1161"/>
      <c r="X277" s="1161"/>
      <c r="Y277" s="1161"/>
      <c r="Z277" s="1161"/>
      <c r="AA277" s="1633"/>
      <c r="AB277" s="567"/>
      <c r="AC277" s="567"/>
      <c r="AD277" s="567"/>
      <c r="AE277" s="567"/>
      <c r="AF277" s="1642">
        <v>11</v>
      </c>
    </row>
    <row s="1642" customFormat="1" customHeight="1" ht="11.549999999999999">
      <c r="A278" s="988"/>
      <c r="B278" s="1637"/>
      <c r="C278" s="1637"/>
      <c r="D278" s="352"/>
      <c r="K278" s="1161"/>
      <c r="L278" s="1637"/>
      <c r="M278" s="1637"/>
      <c r="N278" s="1161"/>
      <c r="O278" s="1161"/>
      <c r="P278" s="1161"/>
      <c r="Q278" s="1161"/>
      <c r="R278" s="1637"/>
      <c r="S278" s="1161"/>
      <c r="T278" s="1161"/>
      <c r="U278" s="545"/>
      <c r="V278" s="1161"/>
      <c r="W278" s="1161"/>
      <c r="X278" s="1161"/>
      <c r="Y278" s="1161"/>
      <c r="Z278" s="1161"/>
      <c r="AA278" s="1633"/>
      <c r="AB278" s="567"/>
      <c r="AC278" s="567"/>
      <c r="AD278" s="567"/>
      <c r="AE278" s="567"/>
      <c r="AF278" s="1642">
        <v>11</v>
      </c>
    </row>
    <row s="1642" customFormat="1" customHeight="1" ht="11.549999999999999">
      <c r="A279" s="988"/>
      <c r="B279" s="1637"/>
      <c r="C279" s="1637"/>
      <c r="D279" s="352"/>
      <c r="K279" s="1161"/>
      <c r="L279" s="1637"/>
      <c r="M279" s="1637"/>
      <c r="N279" s="1161"/>
      <c r="O279" s="1161"/>
      <c r="P279" s="1161"/>
      <c r="Q279" s="1161"/>
      <c r="R279" s="1637"/>
      <c r="S279" s="1161"/>
      <c r="T279" s="1161"/>
      <c r="U279" s="545"/>
      <c r="V279" s="1161"/>
      <c r="W279" s="1161"/>
      <c r="X279" s="1161"/>
      <c r="Y279" s="1161"/>
      <c r="Z279" s="1161"/>
      <c r="AA279" s="1633"/>
      <c r="AB279" s="567"/>
      <c r="AC279" s="567"/>
      <c r="AD279" s="567"/>
      <c r="AE279" s="567"/>
      <c r="AF279" s="1642">
        <v>11</v>
      </c>
    </row>
    <row s="1642" customFormat="1" customHeight="1" ht="11.549999999999999">
      <c r="A280" s="988"/>
      <c r="B280" s="1637"/>
      <c r="C280" s="1637"/>
      <c r="D280" s="352"/>
      <c r="K280" s="1161"/>
      <c r="L280" s="1637"/>
      <c r="M280" s="1637"/>
      <c r="N280" s="1161"/>
      <c r="O280" s="1161"/>
      <c r="P280" s="1161"/>
      <c r="Q280" s="1161"/>
      <c r="R280" s="1637"/>
      <c r="S280" s="1161"/>
      <c r="T280" s="1161"/>
      <c r="U280" s="545"/>
      <c r="V280" s="1161"/>
      <c r="W280" s="1161"/>
      <c r="X280" s="1161"/>
      <c r="Y280" s="1161"/>
      <c r="Z280" s="1161"/>
      <c r="AA280" s="1633"/>
      <c r="AB280" s="567"/>
      <c r="AC280" s="567"/>
      <c r="AD280" s="567"/>
      <c r="AE280" s="567"/>
      <c r="AF280" s="1642">
        <v>11</v>
      </c>
    </row>
    <row s="1642" customFormat="1" customHeight="1" ht="11.549999999999999">
      <c r="A281" s="988"/>
      <c r="B281" s="1637"/>
      <c r="C281" s="1637"/>
      <c r="D281" s="352"/>
      <c r="K281" s="1161"/>
      <c r="L281" s="1637"/>
      <c r="M281" s="1637"/>
      <c r="N281" s="1161"/>
      <c r="O281" s="1161"/>
      <c r="P281" s="1161"/>
      <c r="Q281" s="1161"/>
      <c r="R281" s="1637"/>
      <c r="S281" s="1161"/>
      <c r="T281" s="1161"/>
      <c r="U281" s="545"/>
      <c r="V281" s="1161"/>
      <c r="W281" s="1161"/>
      <c r="X281" s="1161"/>
      <c r="Y281" s="1161"/>
      <c r="Z281" s="1161"/>
      <c r="AA281" s="1633"/>
      <c r="AB281" s="567"/>
      <c r="AC281" s="567"/>
      <c r="AD281" s="567"/>
      <c r="AE281" s="567"/>
      <c r="AF281" s="1642">
        <v>11</v>
      </c>
    </row>
    <row s="1642" customFormat="1" customHeight="1" ht="11.549999999999999">
      <c r="A282" s="988"/>
      <c r="B282" s="1637"/>
      <c r="C282" s="1637"/>
      <c r="D282" s="352"/>
      <c r="K282" s="1161"/>
      <c r="L282" s="1637"/>
      <c r="M282" s="1637"/>
      <c r="N282" s="1161"/>
      <c r="O282" s="1161"/>
      <c r="P282" s="1161"/>
      <c r="Q282" s="1161"/>
      <c r="R282" s="1637"/>
      <c r="S282" s="1161"/>
      <c r="T282" s="1161"/>
      <c r="U282" s="545"/>
      <c r="V282" s="1161"/>
      <c r="W282" s="1161"/>
      <c r="X282" s="1161"/>
      <c r="Y282" s="1161"/>
      <c r="Z282" s="1161"/>
      <c r="AA282" s="1633"/>
      <c r="AB282" s="567"/>
      <c r="AC282" s="567"/>
      <c r="AD282" s="567"/>
      <c r="AE282" s="567"/>
      <c r="AF282" s="1642">
        <v>11</v>
      </c>
    </row>
    <row s="1642" customFormat="1" customHeight="1" ht="11.549999999999999">
      <c r="A283" s="988"/>
      <c r="B283" s="1637"/>
      <c r="C283" s="1637"/>
      <c r="D283" s="352"/>
      <c r="K283" s="1161"/>
      <c r="L283" s="1637"/>
      <c r="M283" s="1637"/>
      <c r="N283" s="1161"/>
      <c r="O283" s="1161"/>
      <c r="P283" s="1161"/>
      <c r="Q283" s="1161"/>
      <c r="R283" s="1637"/>
      <c r="S283" s="1161"/>
      <c r="T283" s="1161"/>
      <c r="U283" s="545"/>
      <c r="V283" s="1161"/>
      <c r="W283" s="1161"/>
      <c r="X283" s="1161"/>
      <c r="Y283" s="1161"/>
      <c r="Z283" s="1161"/>
      <c r="AA283" s="1633"/>
      <c r="AB283" s="567"/>
      <c r="AC283" s="567"/>
      <c r="AD283" s="567"/>
      <c r="AE283" s="567"/>
      <c r="AF283" s="1642">
        <v>11</v>
      </c>
    </row>
    <row s="1642" customFormat="1" customHeight="1" ht="11.549999999999999">
      <c r="A284" s="988"/>
      <c r="B284" s="1637"/>
      <c r="C284" s="1637"/>
      <c r="D284" s="352"/>
      <c r="K284" s="1161"/>
      <c r="L284" s="1637"/>
      <c r="M284" s="1637"/>
      <c r="N284" s="1161"/>
      <c r="O284" s="1161"/>
      <c r="P284" s="1161"/>
      <c r="Q284" s="1161"/>
      <c r="R284" s="1637"/>
      <c r="S284" s="1161"/>
      <c r="T284" s="1161"/>
      <c r="U284" s="545"/>
      <c r="V284" s="1161"/>
      <c r="W284" s="1161"/>
      <c r="X284" s="1161"/>
      <c r="Y284" s="1161"/>
      <c r="Z284" s="1161"/>
      <c r="AA284" s="1633"/>
      <c r="AB284" s="567"/>
      <c r="AC284" s="567"/>
      <c r="AD284" s="567"/>
      <c r="AE284" s="567"/>
      <c r="AF284" s="1642">
        <v>11</v>
      </c>
    </row>
    <row s="1642" customFormat="1" customHeight="1" ht="11.549999999999999">
      <c r="A285" s="988"/>
      <c r="B285" s="1637"/>
      <c r="C285" s="1637"/>
      <c r="D285" s="352"/>
      <c r="K285" s="1161"/>
      <c r="L285" s="1637"/>
      <c r="M285" s="1637"/>
      <c r="N285" s="1161"/>
      <c r="O285" s="1161"/>
      <c r="P285" s="1161"/>
      <c r="Q285" s="1161"/>
      <c r="R285" s="1637"/>
      <c r="S285" s="1161"/>
      <c r="T285" s="1161"/>
      <c r="U285" s="545"/>
      <c r="V285" s="1161"/>
      <c r="W285" s="1161"/>
      <c r="X285" s="1161"/>
      <c r="Y285" s="1161"/>
      <c r="Z285" s="1161"/>
      <c r="AA285" s="1633"/>
      <c r="AB285" s="567"/>
      <c r="AC285" s="567"/>
      <c r="AD285" s="567"/>
      <c r="AE285" s="567"/>
      <c r="AF285" s="1642">
        <v>11</v>
      </c>
    </row>
    <row s="1642" customFormat="1" customHeight="1" ht="11.549999999999999">
      <c r="A286" s="988"/>
      <c r="B286" s="1637"/>
      <c r="C286" s="1637"/>
      <c r="D286" s="352"/>
      <c r="K286" s="1161"/>
      <c r="L286" s="1637"/>
      <c r="M286" s="1637"/>
      <c r="N286" s="1161"/>
      <c r="O286" s="1161"/>
      <c r="P286" s="1161"/>
      <c r="Q286" s="1161"/>
      <c r="R286" s="1637"/>
      <c r="S286" s="1161"/>
      <c r="T286" s="1161"/>
      <c r="U286" s="545"/>
      <c r="V286" s="1161"/>
      <c r="W286" s="1161"/>
      <c r="X286" s="1161"/>
      <c r="Y286" s="1161"/>
      <c r="Z286" s="1161"/>
      <c r="AA286" s="1633"/>
      <c r="AB286" s="567"/>
      <c r="AC286" s="567"/>
      <c r="AD286" s="567"/>
      <c r="AE286" s="567"/>
      <c r="AF286" s="1642">
        <v>11</v>
      </c>
    </row>
    <row s="1642" customFormat="1" customHeight="1" ht="11.549999999999999">
      <c r="A287" s="988"/>
      <c r="B287" s="1637"/>
      <c r="C287" s="1637"/>
      <c r="D287" s="352"/>
      <c r="K287" s="1161"/>
      <c r="L287" s="1637"/>
      <c r="M287" s="1637"/>
      <c r="N287" s="1161"/>
      <c r="O287" s="1161"/>
      <c r="P287" s="1161"/>
      <c r="Q287" s="1161"/>
      <c r="R287" s="1637"/>
      <c r="S287" s="1161"/>
      <c r="T287" s="1161"/>
      <c r="U287" s="545"/>
      <c r="V287" s="1161"/>
      <c r="W287" s="1161"/>
      <c r="X287" s="1161"/>
      <c r="Y287" s="1161"/>
      <c r="Z287" s="1161"/>
      <c r="AA287" s="1633"/>
      <c r="AB287" s="567"/>
      <c r="AC287" s="567"/>
      <c r="AD287" s="567"/>
      <c r="AE287" s="567"/>
      <c r="AF287" s="1642">
        <v>11</v>
      </c>
    </row>
    <row s="1642" customFormat="1" customHeight="1" ht="11.549999999999999">
      <c r="A288" s="988"/>
      <c r="B288" s="1637"/>
      <c r="C288" s="1637"/>
      <c r="D288" s="352"/>
      <c r="K288" s="1161"/>
      <c r="L288" s="1637"/>
      <c r="M288" s="1637"/>
      <c r="N288" s="1161"/>
      <c r="O288" s="1161"/>
      <c r="P288" s="1161"/>
      <c r="Q288" s="1161"/>
      <c r="R288" s="1637"/>
      <c r="S288" s="1161"/>
      <c r="T288" s="1161"/>
      <c r="U288" s="545"/>
      <c r="V288" s="1161"/>
      <c r="W288" s="1161"/>
      <c r="X288" s="1161"/>
      <c r="Y288" s="1161"/>
      <c r="Z288" s="1161"/>
      <c r="AA288" s="1633"/>
      <c r="AB288" s="567"/>
      <c r="AC288" s="567"/>
      <c r="AD288" s="567"/>
      <c r="AE288" s="567"/>
      <c r="AF288" s="1642">
        <v>11</v>
      </c>
    </row>
    <row customHeight="1" ht="11.549999999999999">
      <c r="AF289" s="1632">
        <v>11</v>
      </c>
    </row>
    <row customHeight="1" ht="11.549999999999999">
      <c r="AF290" s="1632">
        <v>11</v>
      </c>
    </row>
    <row customHeight="1" ht="11.549999999999999">
      <c r="AF291" s="1632">
        <v>11</v>
      </c>
    </row>
    <row customHeight="1" ht="11.549999999999999">
      <c r="A292" s="991"/>
      <c r="B292" s="1632"/>
      <c r="D292" s="1632"/>
      <c r="K292" s="1632"/>
      <c r="N292" s="1632"/>
      <c r="O292" s="1632"/>
      <c r="P292" s="1632"/>
      <c r="Q292" s="1632"/>
      <c r="S292" s="1632"/>
      <c r="T292" s="1632"/>
      <c r="U292" s="1632"/>
      <c r="V292" s="1632"/>
      <c r="W292" s="1632"/>
      <c r="X292" s="1632"/>
      <c r="Y292" s="1632"/>
      <c r="Z292" s="1632"/>
      <c r="AA292" s="1632"/>
      <c r="AB292" s="1632"/>
      <c r="AC292" s="1632"/>
      <c r="AD292" s="1632"/>
      <c r="AE292" s="1632"/>
      <c r="AF292" s="1632">
        <v>11</v>
      </c>
    </row>
    <row customHeight="1" ht="11.549999999999999">
      <c r="A293" s="991"/>
      <c r="B293" s="1632"/>
      <c r="D293" s="1632"/>
      <c r="K293" s="1632"/>
      <c r="N293" s="1632"/>
      <c r="O293" s="1632"/>
      <c r="P293" s="1632"/>
      <c r="Q293" s="1632"/>
      <c r="S293" s="1632"/>
      <c r="T293" s="1632"/>
      <c r="U293" s="1632"/>
      <c r="V293" s="1632"/>
      <c r="W293" s="1632"/>
      <c r="X293" s="1632"/>
      <c r="Y293" s="1632"/>
      <c r="Z293" s="1632"/>
      <c r="AA293" s="1632"/>
      <c r="AB293" s="1632"/>
      <c r="AC293" s="1632"/>
      <c r="AD293" s="1632"/>
      <c r="AE293" s="1632"/>
      <c r="AF293" s="1632">
        <v>11</v>
      </c>
    </row>
    <row customHeight="1" ht="11.549999999999999">
      <c r="A294" s="991"/>
      <c r="B294" s="1632"/>
      <c r="D294" s="1632"/>
      <c r="K294" s="1632"/>
      <c r="N294" s="1632"/>
      <c r="O294" s="1632"/>
      <c r="P294" s="1632"/>
      <c r="Q294" s="1632"/>
      <c r="S294" s="1632"/>
      <c r="T294" s="1632"/>
      <c r="U294" s="1632"/>
      <c r="V294" s="1632"/>
      <c r="W294" s="1632"/>
      <c r="X294" s="1632"/>
      <c r="Y294" s="1632"/>
      <c r="Z294" s="1632"/>
      <c r="AA294" s="1632"/>
      <c r="AB294" s="1632"/>
      <c r="AC294" s="1632"/>
      <c r="AD294" s="1632"/>
      <c r="AE294" s="1632"/>
      <c r="AF294" s="1632">
        <v>11</v>
      </c>
    </row>
    <row customHeight="1" ht="11.549999999999999">
      <c r="A295" s="991"/>
      <c r="B295" s="1632"/>
      <c r="D295" s="1632"/>
      <c r="K295" s="1632"/>
      <c r="N295" s="1632"/>
      <c r="O295" s="1632"/>
      <c r="P295" s="1632"/>
      <c r="Q295" s="1632"/>
      <c r="S295" s="1632"/>
      <c r="T295" s="1632"/>
      <c r="U295" s="1632"/>
      <c r="V295" s="1632"/>
      <c r="W295" s="1632"/>
      <c r="X295" s="1632"/>
      <c r="Y295" s="1632"/>
      <c r="Z295" s="1632"/>
      <c r="AA295" s="1632"/>
      <c r="AB295" s="1632"/>
      <c r="AC295" s="1632"/>
      <c r="AD295" s="1632"/>
      <c r="AE295" s="1632"/>
      <c r="AF295" s="1632">
        <v>11</v>
      </c>
    </row>
    <row customHeight="1" ht="11.549999999999999">
      <c r="A296" s="991"/>
      <c r="B296" s="1632"/>
      <c r="D296" s="1632"/>
      <c r="K296" s="1632"/>
      <c r="N296" s="1632"/>
      <c r="O296" s="1632"/>
      <c r="P296" s="1632"/>
      <c r="Q296" s="1632"/>
      <c r="S296" s="1632"/>
      <c r="T296" s="1632"/>
      <c r="U296" s="1632"/>
      <c r="V296" s="1632"/>
      <c r="W296" s="1632"/>
      <c r="X296" s="1632"/>
      <c r="Y296" s="1632"/>
      <c r="Z296" s="1632"/>
      <c r="AA296" s="1632"/>
      <c r="AB296" s="1632"/>
      <c r="AC296" s="1632"/>
      <c r="AD296" s="1632"/>
      <c r="AE296" s="1632"/>
      <c r="AF296" s="1632">
        <v>11</v>
      </c>
    </row>
    <row customHeight="1" ht="11.549999999999999">
      <c r="A297" s="991"/>
      <c r="B297" s="1632"/>
      <c r="D297" s="1632"/>
      <c r="K297" s="1632"/>
      <c r="N297" s="1632"/>
      <c r="O297" s="1632"/>
      <c r="P297" s="1632"/>
      <c r="Q297" s="1632"/>
      <c r="S297" s="1632"/>
      <c r="T297" s="1632"/>
      <c r="U297" s="1632"/>
      <c r="V297" s="1632"/>
      <c r="W297" s="1632"/>
      <c r="X297" s="1632"/>
      <c r="Y297" s="1632"/>
      <c r="Z297" s="1632"/>
      <c r="AA297" s="1632"/>
      <c r="AB297" s="1632"/>
      <c r="AC297" s="1632"/>
      <c r="AD297" s="1632"/>
      <c r="AE297" s="1632"/>
      <c r="AF297" s="1632">
        <v>11</v>
      </c>
    </row>
    <row customHeight="1" ht="11.549999999999999">
      <c r="A298" s="991"/>
      <c r="B298" s="1632"/>
      <c r="D298" s="1632"/>
      <c r="K298" s="1632"/>
      <c r="N298" s="1632"/>
      <c r="O298" s="1632"/>
      <c r="P298" s="1632"/>
      <c r="Q298" s="1632"/>
      <c r="S298" s="1632"/>
      <c r="T298" s="1632"/>
      <c r="U298" s="1632"/>
      <c r="V298" s="1632"/>
      <c r="W298" s="1632"/>
      <c r="X298" s="1632"/>
      <c r="Y298" s="1632"/>
      <c r="Z298" s="1632"/>
      <c r="AA298" s="1632"/>
      <c r="AB298" s="1632"/>
      <c r="AC298" s="1632"/>
      <c r="AD298" s="1632"/>
      <c r="AE298" s="1632"/>
      <c r="AF298" s="1632">
        <v>11</v>
      </c>
    </row>
    <row customHeight="1" ht="11.549999999999999">
      <c r="A299" s="991"/>
      <c r="B299" s="1632"/>
      <c r="D299" s="1632"/>
      <c r="K299" s="1632"/>
      <c r="N299" s="1632"/>
      <c r="O299" s="1632"/>
      <c r="P299" s="1632"/>
      <c r="Q299" s="1632"/>
      <c r="S299" s="1632"/>
      <c r="T299" s="1632"/>
      <c r="U299" s="1632"/>
      <c r="V299" s="1632"/>
      <c r="W299" s="1632"/>
      <c r="X299" s="1632"/>
      <c r="Y299" s="1632"/>
      <c r="Z299" s="1632"/>
      <c r="AA299" s="1632"/>
      <c r="AB299" s="1632"/>
      <c r="AC299" s="1632"/>
      <c r="AD299" s="1632"/>
      <c r="AE299" s="1632"/>
      <c r="AF299" s="1632">
        <v>11</v>
      </c>
    </row>
    <row customHeight="1" ht="11.549999999999999">
      <c r="A300" s="991"/>
      <c r="B300" s="1632"/>
      <c r="D300" s="1632"/>
      <c r="K300" s="1632"/>
      <c r="N300" s="1632"/>
      <c r="O300" s="1632"/>
      <c r="P300" s="1632"/>
      <c r="Q300" s="1632"/>
      <c r="S300" s="1632"/>
      <c r="T300" s="1632"/>
      <c r="U300" s="1632"/>
      <c r="V300" s="1632"/>
      <c r="W300" s="1632"/>
      <c r="X300" s="1632"/>
      <c r="Y300" s="1632"/>
      <c r="Z300" s="1632"/>
      <c r="AA300" s="1632"/>
      <c r="AB300" s="1632"/>
      <c r="AC300" s="1632"/>
      <c r="AD300" s="1632"/>
      <c r="AE300" s="1632"/>
      <c r="AF300" s="1632">
        <v>11</v>
      </c>
    </row>
    <row customHeight="1" ht="11.549999999999999">
      <c r="A301" s="991"/>
      <c r="B301" s="1632"/>
      <c r="D301" s="1632"/>
      <c r="K301" s="1632"/>
      <c r="N301" s="1632"/>
      <c r="O301" s="1632"/>
      <c r="P301" s="1632"/>
      <c r="Q301" s="1632"/>
      <c r="S301" s="1632"/>
      <c r="T301" s="1632"/>
      <c r="U301" s="1632"/>
      <c r="V301" s="1632"/>
      <c r="W301" s="1632"/>
      <c r="X301" s="1632"/>
      <c r="Y301" s="1632"/>
      <c r="Z301" s="1632"/>
      <c r="AA301" s="1632"/>
      <c r="AB301" s="1632"/>
      <c r="AC301" s="1632"/>
      <c r="AD301" s="1632"/>
      <c r="AE301" s="1632"/>
      <c r="AF301" s="1632">
        <v>11</v>
      </c>
    </row>
    <row customHeight="1" ht="11.549999999999999">
      <c r="A302" s="991"/>
      <c r="B302" s="1632"/>
      <c r="D302" s="1632"/>
      <c r="K302" s="1632"/>
      <c r="N302" s="1632"/>
      <c r="O302" s="1632"/>
      <c r="P302" s="1632"/>
      <c r="Q302" s="1632"/>
      <c r="S302" s="1632"/>
      <c r="T302" s="1632"/>
      <c r="U302" s="1632"/>
      <c r="V302" s="1632"/>
      <c r="W302" s="1632"/>
      <c r="X302" s="1632"/>
      <c r="Y302" s="1632"/>
      <c r="Z302" s="1632"/>
      <c r="AA302" s="1632"/>
      <c r="AB302" s="1632"/>
      <c r="AC302" s="1632"/>
      <c r="AD302" s="1632"/>
      <c r="AE302" s="1632"/>
      <c r="AF302" s="1632">
        <v>11</v>
      </c>
    </row>
    <row customHeight="1" ht="11.25" hidden="1">
      <c r="A303" s="988" t="s">
        <v>86</v>
      </c>
      <c r="B303" s="1161">
        <v>0</v>
      </c>
      <c r="C303" s="1637">
        <v>0</v>
      </c>
      <c r="D303" s="1636">
        <v>3</v>
      </c>
      <c r="E303" s="1632">
        <v>7</v>
      </c>
      <c r="F303" s="1632">
        <v>54</v>
      </c>
      <c r="G303" s="1632">
        <v>10</v>
      </c>
      <c r="H303" s="1632">
        <v>0</v>
      </c>
      <c r="I303" s="1632">
        <v>40</v>
      </c>
      <c r="J303" s="1632">
        <v>102</v>
      </c>
      <c r="K303" s="1161">
        <v>9</v>
      </c>
      <c r="L303" s="1637">
        <v>5</v>
      </c>
      <c r="M303" s="1637">
        <v>3</v>
      </c>
      <c r="N303" s="1161">
        <v>3</v>
      </c>
      <c r="O303" s="1161">
        <v>3</v>
      </c>
      <c r="P303" s="1161">
        <v>3</v>
      </c>
      <c r="Q303" s="1161">
        <v>3</v>
      </c>
      <c r="R303" s="1637">
        <v>10</v>
      </c>
      <c r="S303" s="1161">
        <v>34</v>
      </c>
      <c r="T303" s="1161">
        <v>9</v>
      </c>
      <c r="U303" s="545">
        <v>8</v>
      </c>
      <c r="V303" s="1161">
        <v>8</v>
      </c>
      <c r="W303" s="1161">
        <v>8</v>
      </c>
      <c r="X303" s="1161">
        <v>8</v>
      </c>
      <c r="Y303" s="1161">
        <v>8</v>
      </c>
      <c r="Z303" s="1161">
        <v>8</v>
      </c>
      <c r="AA303" s="1633">
        <v>8</v>
      </c>
      <c r="AB303" s="1633">
        <v>8</v>
      </c>
      <c r="AC303" s="1633">
        <v>8</v>
      </c>
      <c r="AD303" s="1633">
        <v>8</v>
      </c>
      <c r="AE303" s="1633">
        <v>8</v>
      </c>
      <c r="AF303" s="1632">
        <v>11</v>
      </c>
    </row>
  </sheetData>
  <sheetProtection formatColumns="0" formatRows="0" autoFilter="0" sort="0" insertRows="0" insertColumns="1" deleteRows="0" deleteColumns="0"/>
  <mergeCells count="18">
    <mergeCell ref="A120:A130"/>
    <mergeCell ref="E21:I21"/>
    <mergeCell ref="E22:I22"/>
    <mergeCell ref="A33:A40"/>
    <mergeCell ref="B34:B39"/>
    <mergeCell ref="A41:A43"/>
    <mergeCell ref="A67:A68"/>
    <mergeCell ref="A82:A90"/>
    <mergeCell ref="A91:A95"/>
    <mergeCell ref="A96:A98"/>
    <mergeCell ref="A99:A111"/>
    <mergeCell ref="A115:A119"/>
    <mergeCell ref="B2:B7"/>
    <mergeCell ref="J25:J29"/>
    <mergeCell ref="F25:G25"/>
    <mergeCell ref="F26:G26"/>
    <mergeCell ref="F27:G27"/>
    <mergeCell ref="E28:G28"/>
  </mergeCells>
  <dataValidations count="12">
    <dataValidation allowBlank="1" showInputMessage="1" showErrorMessage="1" prompt="Для выбора выполните двойной щелчок левой клавиши мыши по соответствующей ячейке." sqref="H68:I68 H66:I66"/>
    <dataValidation type="decimal" allowBlank="1" showErrorMessage="1" errorTitle="Ошибка" error="Введите значение от 0 до 100%" sqref="H90:I90 H95:I95">
      <formula1>0</formula1>
      <formula2>100</formula2>
    </dataValidation>
    <dataValidation type="decimal" allowBlank="1" showErrorMessage="1" errorTitle="Ошибка" error="Допускается ввод только действительных чисел!" sqref="H123:I123 H120:I120 H126:I126 H75:I80">
      <formula1>-9.99999999999999E+37</formula1>
      <formula2>9.99999999999999E+37</formula2>
    </dataValidation>
    <dataValidation type="decimal" allowBlank="1" showErrorMessage="1" errorTitle="Ошибка" error="Допускается ввод только действительных чисел!" sqref="H72:I73">
      <formula1>-9.99999999999999E+23</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128:I130 H81:I81">
      <formula1>900</formula1>
    </dataValidation>
    <dataValidation type="list" allowBlank="1" showInputMessage="1" showErrorMessage="1" errorTitle="Ошибка" error="Выберите значение из списка" prompt="Выберите значение из списка" sqref="G93">
      <formula1>kind_of_volume_te_unit</formula1>
    </dataValidation>
    <dataValidation type="list" allowBlank="1" showInputMessage="1" showErrorMessage="1" errorTitle="Ошибка" error="Выберите значение из списка" prompt="Выберите значение из списка" sqref="F2">
      <formula1>kind_of_fuels</formula1>
    </dataValidation>
    <dataValidation type="textLength" operator="lessThanOrEqual" allowBlank="1" showInputMessage="1" showErrorMessage="1" errorTitle="Ошибка" error="Допускается ввод не более 900 символов!" prompt="Введите источник тепловой энергии" sqref="1:1">
      <formula1>900</formula1>
    </dataValidation>
    <dataValidation type="decimal" allowBlank="1" showErrorMessage="1" errorTitle="Ошибка" error="Допускается ввод только неотрицательных чисел!" sqref="H67:I67 H69:I69 H91:I94 H127:I127 H30:I30 H32:I33 H35:I38 H40:I65 H82:I86 H17:I17 H9:I13 H15:I15 H96:I119 H74:I74 H88:I89 H4:I6">
      <formula1>0</formula1>
      <formula2>9.99999999999999E+23</formula2>
    </dataValidation>
    <dataValidation type="textLength" operator="lessThanOrEqual" allowBlank="1" showInputMessage="1" showErrorMessage="1" errorTitle="Ошибка" error="Допускается ввод не более 900 символов!" sqref="G4 H34:I34 H39:I39">
      <formula1>900</formula1>
    </dataValidation>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F12 F10 H70:I70">
      <formula1>900</formula1>
    </dataValidation>
    <dataValidation type="list" allowBlank="1" showInputMessage="1" showErrorMessage="1" errorTitle="Ошибка" error="Выберите значение из списка" prompt="Выберите значение из списка" sqref="H7:I7">
      <formula1>kind_of_purchase_method</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3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8E599FA-CC18-0227-7A03-988A6325064B}" mc:Ignorable="x14ac xr xr2 xr3">
  <sheetPr>
    <tabColor theme="9" tint="-0.25"/>
  </sheetPr>
  <dimension ref="A1:CF29"/>
  <sheetViews>
    <sheetView topLeftCell="C4" showGridLines="0" zoomScale="90" workbookViewId="0">
      <selection activeCell="A1" sqref="A1"/>
    </sheetView>
  </sheetViews>
  <sheetFormatPr defaultColWidth="9.140625" customHeight="1" defaultRowHeight="11.25"/>
  <cols>
    <col min="1" max="1" style="944" width="14.7109375" hidden="1" customWidth="1"/>
    <col min="2" max="2" style="1633" width="17.00390625" hidden="1" customWidth="1"/>
    <col min="3" max="3" style="1636" width="3.00390625" customWidth="1"/>
    <col min="4" max="4" style="1636" width="1.8515625" hidden="1" customWidth="1"/>
    <col min="5" max="6" style="1636" width="7.00390625" customWidth="1"/>
    <col min="7" max="7" style="1636" width="29.00390625" customWidth="1"/>
    <col min="8" max="8" style="1636" width="3.7109375" customWidth="1"/>
    <col min="9" max="9" style="1636" width="5.00390625" customWidth="1"/>
    <col min="10" max="11" style="1636" width="24.00390625" customWidth="1"/>
    <col min="12" max="12" style="1636" width="3.00390625" customWidth="1"/>
    <col min="13" max="13" style="1636" width="6.00390625" customWidth="1"/>
    <col min="14" max="14" style="1636" width="25.00390625" customWidth="1"/>
    <col min="15" max="18" style="1636" width="18.00390625" customWidth="1"/>
    <col min="19" max="19" style="1636" width="93.00390625" customWidth="1"/>
    <col min="20" max="20" style="1636" width="10.00390625" customWidth="1"/>
    <col min="21" max="21" style="1643" width="10.00390625" customWidth="1"/>
    <col min="22" max="22" style="1643" width="11.00390625" customWidth="1"/>
    <col min="23" max="27" style="1633" width="10.00390625" customWidth="1"/>
    <col min="28" max="83" style="1636" width="8.00390625" customWidth="1"/>
    <col min="84" max="84" style="1636" width="9.140625" hidden="1"/>
  </cols>
  <sheetData>
    <row customHeight="1" ht="22.5" hidden="1">
      <c r="CF1" s="506" t="s">
        <v>14</v>
      </c>
    </row>
    <row customHeight="1" ht="11.25" hidden="1">
      <c r="CF2" s="506">
        <v>0</v>
      </c>
    </row>
    <row customHeight="1" ht="11.25" hidden="1">
      <c r="CF3" s="506">
        <v>0</v>
      </c>
    </row>
    <row customHeight="1" ht="3">
      <c r="C4" s="510"/>
      <c r="D4" s="510"/>
      <c r="E4" s="510"/>
      <c r="F4" s="510"/>
      <c r="G4" s="510"/>
      <c r="H4" s="510"/>
      <c r="I4" s="510"/>
      <c r="J4" s="510"/>
      <c r="K4" s="167"/>
      <c r="L4" s="167"/>
      <c r="M4" s="167"/>
      <c r="CF4" s="506">
        <v>3</v>
      </c>
    </row>
    <row customHeight="1" ht="29.25">
      <c r="C5" s="510"/>
      <c r="D5" s="1058"/>
      <c r="E5" s="2238" t="str">
        <f>FHD20_NAME_FORM</f>
        <v>Форма 11. Информация о расходах на капитальный и текущий ремонт основных средств</v>
      </c>
      <c r="F5" s="2238"/>
      <c r="G5" s="2238"/>
      <c r="H5" s="2238"/>
      <c r="I5" s="2238"/>
      <c r="J5" s="2238"/>
      <c r="K5" s="2238"/>
      <c r="L5" s="614"/>
      <c r="M5" s="614"/>
      <c r="CF5" s="506">
        <v>28</v>
      </c>
    </row>
    <row s="1636" customFormat="1" customHeight="1" ht="16.8">
      <c r="A6" s="611"/>
      <c r="B6" s="760"/>
      <c r="C6" s="510"/>
      <c r="D6" s="1059"/>
      <c r="E6" s="2177" t="str">
        <f>IF(org=0,"Не определено",org)</f>
        <v>ПАО "ТГК-1" (филиал "Кольский")</v>
      </c>
      <c r="F6" s="2177"/>
      <c r="G6" s="2177"/>
      <c r="H6" s="2177"/>
      <c r="I6" s="2177"/>
      <c r="J6" s="2177"/>
      <c r="K6" s="2177"/>
      <c r="L6" s="614"/>
      <c r="M6" s="614"/>
      <c r="U6" s="612"/>
      <c r="V6" s="612"/>
      <c r="W6" s="613"/>
      <c r="X6" s="760"/>
      <c r="Y6" s="760"/>
      <c r="Z6" s="760"/>
      <c r="AA6" s="760"/>
      <c r="CF6" s="759">
        <v>16</v>
      </c>
    </row>
    <row customHeight="1" ht="11.549999999999999">
      <c r="C7" s="510"/>
      <c r="D7" s="510"/>
      <c r="E7" s="510"/>
      <c r="F7" s="510"/>
      <c r="G7" s="523"/>
      <c r="H7" s="523"/>
      <c r="I7" s="523"/>
      <c r="J7" s="523"/>
      <c r="K7" s="615"/>
      <c r="L7" s="615"/>
      <c r="M7" s="615"/>
      <c r="R7" s="753"/>
      <c r="CF7" s="506">
        <v>11</v>
      </c>
    </row>
    <row s="1642" customFormat="1" customHeight="1" ht="4.2">
      <c r="A8" s="622"/>
      <c r="B8" s="567"/>
      <c r="C8" s="352"/>
      <c r="D8" s="352"/>
      <c r="E8" s="352"/>
      <c r="F8" s="352"/>
      <c r="G8" s="976"/>
      <c r="H8" s="976"/>
      <c r="I8" s="976"/>
      <c r="J8" s="976"/>
      <c r="K8" s="1019"/>
      <c r="L8" s="1019"/>
      <c r="M8" s="1019"/>
      <c r="R8" s="1020"/>
      <c r="U8" s="612"/>
      <c r="V8" s="612"/>
      <c r="W8" s="623"/>
      <c r="X8" s="567"/>
      <c r="Y8" s="567"/>
      <c r="Z8" s="567"/>
      <c r="AA8" s="567"/>
      <c r="CF8" s="497">
        <v>4</v>
      </c>
    </row>
    <row customHeight="1" ht="19.95">
      <c r="D9" s="290"/>
      <c r="E9" s="2102" t="s">
        <v>430</v>
      </c>
      <c r="F9" s="2103"/>
      <c r="G9" s="2103"/>
      <c r="H9" s="2103"/>
      <c r="I9" s="2103"/>
      <c r="J9" s="2103"/>
      <c r="K9" s="2103"/>
      <c r="L9" s="2103"/>
      <c r="M9" s="2103"/>
      <c r="N9" s="2103"/>
      <c r="O9" s="2103"/>
      <c r="P9" s="2103"/>
      <c r="Q9" s="2103"/>
      <c r="R9" s="2104"/>
      <c r="S9" s="2128" t="s">
        <v>431</v>
      </c>
      <c r="T9" s="335"/>
      <c r="CF9" s="506">
        <v>19</v>
      </c>
    </row>
    <row customHeight="1" ht="48.29999999999999">
      <c r="D10" s="552" t="s">
        <v>92</v>
      </c>
      <c r="E10" s="2128" t="s">
        <v>92</v>
      </c>
      <c r="F10" s="2128"/>
      <c r="G10" s="522" t="s">
        <v>432</v>
      </c>
      <c r="H10" s="2128" t="s">
        <v>92</v>
      </c>
      <c r="I10" s="2128"/>
      <c r="J10" s="522" t="s">
        <v>733</v>
      </c>
      <c r="K10" s="522" t="s">
        <v>734</v>
      </c>
      <c r="L10" s="2128" t="s">
        <v>92</v>
      </c>
      <c r="M10" s="2128"/>
      <c r="N10" s="522" t="s">
        <v>735</v>
      </c>
      <c r="O10" s="522" t="s">
        <v>736</v>
      </c>
      <c r="P10" s="522" t="s">
        <v>737</v>
      </c>
      <c r="Q10" s="522" t="s">
        <v>738</v>
      </c>
      <c r="R10" s="522" t="s">
        <v>739</v>
      </c>
      <c r="S10" s="2128"/>
      <c r="T10" s="335"/>
      <c r="CF10" s="506">
        <v>46</v>
      </c>
    </row>
    <row s="1643" customFormat="1" customHeight="1" ht="15" hidden="1">
      <c r="A11" s="1053"/>
      <c r="D11" s="1026" t="s">
        <v>123</v>
      </c>
      <c r="E11" s="1026"/>
      <c r="F11" s="1026" t="s">
        <v>107</v>
      </c>
      <c r="G11" s="1026" t="s">
        <v>94</v>
      </c>
      <c r="H11" s="1026"/>
      <c r="I11" s="1026" t="s">
        <v>95</v>
      </c>
      <c r="J11" s="1026" t="s">
        <v>124</v>
      </c>
      <c r="K11" s="1026" t="s">
        <v>96</v>
      </c>
      <c r="L11" s="1026"/>
      <c r="M11" s="1026" t="s">
        <v>97</v>
      </c>
      <c r="N11" s="1026" t="s">
        <v>125</v>
      </c>
      <c r="O11" s="1026" t="s">
        <v>161</v>
      </c>
      <c r="P11" s="1026" t="s">
        <v>162</v>
      </c>
      <c r="Q11" s="1026" t="s">
        <v>163</v>
      </c>
      <c r="R11" s="1026" t="s">
        <v>164</v>
      </c>
      <c r="S11" s="1026" t="s">
        <v>165</v>
      </c>
      <c r="U11" s="612"/>
      <c r="V11" s="612"/>
      <c r="W11" s="612"/>
      <c r="CF11" s="512">
        <v>0</v>
      </c>
    </row>
    <row s="1636" customFormat="1" customHeight="1" ht="1.05">
      <c r="A12" s="616"/>
      <c r="B12" s="363"/>
      <c r="D12" s="549"/>
      <c r="E12" s="347"/>
      <c r="F12" s="347"/>
      <c r="Q12" s="617"/>
      <c r="R12" s="618"/>
      <c r="T12" s="619"/>
      <c r="U12" s="620"/>
      <c r="V12" s="620"/>
      <c r="W12" s="621"/>
      <c r="X12" s="363"/>
      <c r="Y12" s="363"/>
      <c r="Z12" s="363"/>
      <c r="AA12" s="363"/>
      <c r="CF12" s="510">
        <v>1</v>
      </c>
    </row>
    <row s="1642" customFormat="1" customHeight="1" ht="1.05">
      <c r="A13" s="622"/>
      <c r="B13" s="567"/>
      <c r="D13" s="549" t="s">
        <v>506</v>
      </c>
      <c r="E13" s="561"/>
      <c r="F13" s="561"/>
      <c r="G13" s="561"/>
      <c r="H13" s="561"/>
      <c r="I13" s="561"/>
      <c r="J13" s="561"/>
      <c r="K13" s="561"/>
      <c r="L13" s="561"/>
      <c r="M13" s="561"/>
      <c r="N13" s="561"/>
      <c r="O13" s="561"/>
      <c r="P13" s="561"/>
      <c r="Q13" s="561"/>
      <c r="R13" s="561"/>
      <c r="T13" s="335"/>
      <c r="U13" s="612"/>
      <c r="V13" s="612"/>
      <c r="W13" s="623"/>
      <c r="X13" s="567"/>
      <c r="Y13" s="567"/>
      <c r="Z13" s="567"/>
      <c r="AA13" s="567"/>
      <c r="CF13" s="497">
        <v>1</v>
      </c>
    </row>
    <row s="1851" customFormat="1" customHeight="1" ht="15" hidden="1">
      <c r="A14" s="624" t="s">
        <v>130</v>
      </c>
      <c r="B14" s="625"/>
      <c r="C14" s="625"/>
      <c r="D14" s="2381" t="s">
        <v>123</v>
      </c>
      <c r="E14" s="2378" t="s">
        <v>119</v>
      </c>
      <c r="F14" s="2379"/>
      <c r="G14" s="2380"/>
      <c r="H14" s="2384">
        <f>IF(A14="","",INDEX(DIFFERENTIATION_UNMERGE_VD,MATCH(A14,DIFFERENTIATION_ID_DIFF,0)))</f>
        <v>0</v>
      </c>
      <c r="I14" s="2384"/>
      <c r="J14" s="2384"/>
      <c r="K14" s="2384"/>
      <c r="L14" s="2384"/>
      <c r="M14" s="2384"/>
      <c r="N14" s="2384"/>
      <c r="O14" s="2384"/>
      <c r="P14" s="2384"/>
      <c r="Q14" s="2384"/>
      <c r="R14" s="2384"/>
      <c r="S14" s="720"/>
      <c r="T14" s="717"/>
      <c r="U14" s="626"/>
      <c r="V14" s="626"/>
      <c r="W14" s="627"/>
      <c r="X14" s="627"/>
      <c r="Y14" s="627"/>
      <c r="Z14" s="627"/>
      <c r="AA14" s="628"/>
      <c r="AB14" s="629"/>
      <c r="AC14" s="2376"/>
      <c r="AD14" s="630"/>
      <c r="AE14" s="631" t="s">
        <v>28</v>
      </c>
      <c r="AF14" s="631"/>
      <c r="AG14" s="632" t="s">
        <v>740</v>
      </c>
      <c r="AH14" s="633">
        <v>3</v>
      </c>
      <c r="AI14" s="626"/>
      <c r="AJ14" s="626"/>
      <c r="AK14" s="626"/>
      <c r="AL14" s="626"/>
      <c r="AM14" s="626"/>
      <c r="AN14" s="626"/>
      <c r="AO14" s="626"/>
      <c r="AP14" s="626"/>
      <c r="AQ14" s="626"/>
      <c r="AR14" s="626"/>
      <c r="AS14" s="626"/>
      <c r="AT14" s="626"/>
      <c r="AU14" s="626"/>
      <c r="AV14" s="626"/>
      <c r="AW14" s="626"/>
      <c r="AX14" s="626"/>
      <c r="AY14" s="626"/>
      <c r="AZ14" s="626"/>
      <c r="BA14" s="626"/>
      <c r="BB14" s="626"/>
      <c r="BC14" s="626"/>
      <c r="BD14" s="626"/>
      <c r="BE14" s="626"/>
      <c r="BF14" s="626"/>
      <c r="BG14" s="626"/>
      <c r="BH14" s="626"/>
      <c r="BI14" s="626"/>
      <c r="BJ14" s="626"/>
      <c r="BK14" s="626"/>
      <c r="BL14" s="626"/>
      <c r="BM14" s="626"/>
      <c r="BN14" s="626"/>
      <c r="BO14" s="626"/>
      <c r="BP14" s="626"/>
      <c r="BQ14" s="626"/>
      <c r="BR14" s="626"/>
      <c r="BS14" s="626"/>
      <c r="BT14" s="626"/>
      <c r="BU14" s="626"/>
      <c r="BV14" s="627"/>
      <c r="BW14" s="627"/>
      <c r="BX14" s="627"/>
      <c r="BY14" s="627"/>
      <c r="BZ14" s="627"/>
      <c r="CA14" s="627"/>
      <c r="CB14" s="627"/>
      <c r="CC14" s="627"/>
      <c r="CD14" s="627"/>
      <c r="CE14" s="627"/>
      <c r="CF14" s="294">
        <v>0</v>
      </c>
    </row>
    <row s="1851" customFormat="1" customHeight="1" ht="15" hidden="1">
      <c r="A15" s="624"/>
      <c r="B15" s="625"/>
      <c r="C15" s="625"/>
      <c r="D15" s="2382"/>
      <c r="E15" s="2378" t="s">
        <v>695</v>
      </c>
      <c r="F15" s="2379"/>
      <c r="G15" s="2380"/>
      <c r="H15" s="2384" t="str">
        <f>IF(A14="","",INDEX(DIFFERENTIATION_UNMERGE_AREA,MATCH(A14,DIFFERENTIATION_ID_DIFF,0)))</f>
        <v/>
      </c>
      <c r="I15" s="2384"/>
      <c r="J15" s="2384"/>
      <c r="K15" s="2384"/>
      <c r="L15" s="2384"/>
      <c r="M15" s="2384"/>
      <c r="N15" s="2384"/>
      <c r="O15" s="2384"/>
      <c r="P15" s="2384"/>
      <c r="Q15" s="2384"/>
      <c r="R15" s="2384"/>
      <c r="S15" s="720"/>
      <c r="T15" s="717"/>
      <c r="U15" s="626"/>
      <c r="V15" s="626"/>
      <c r="W15" s="627"/>
      <c r="X15" s="627"/>
      <c r="Y15" s="627"/>
      <c r="Z15" s="627"/>
      <c r="AA15" s="628"/>
      <c r="AB15" s="629"/>
      <c r="AC15" s="2376"/>
      <c r="AD15" s="630"/>
      <c r="AE15" s="631"/>
      <c r="AF15" s="631"/>
      <c r="AG15" s="632"/>
      <c r="AH15" s="633"/>
      <c r="AI15" s="626"/>
      <c r="AJ15" s="626"/>
      <c r="AK15" s="626"/>
      <c r="AL15" s="626"/>
      <c r="AM15" s="626"/>
      <c r="AN15" s="626"/>
      <c r="AO15" s="626"/>
      <c r="AP15" s="626"/>
      <c r="AQ15" s="626"/>
      <c r="AR15" s="626"/>
      <c r="AS15" s="626"/>
      <c r="AT15" s="626"/>
      <c r="AU15" s="626"/>
      <c r="AV15" s="626"/>
      <c r="AW15" s="626"/>
      <c r="AX15" s="626"/>
      <c r="AY15" s="626"/>
      <c r="AZ15" s="626"/>
      <c r="BA15" s="626"/>
      <c r="BB15" s="626"/>
      <c r="BC15" s="626"/>
      <c r="BD15" s="626"/>
      <c r="BE15" s="626"/>
      <c r="BF15" s="626"/>
      <c r="BG15" s="626"/>
      <c r="BH15" s="626"/>
      <c r="BI15" s="626"/>
      <c r="BJ15" s="626"/>
      <c r="BK15" s="626"/>
      <c r="BL15" s="626"/>
      <c r="BM15" s="626"/>
      <c r="BN15" s="626"/>
      <c r="BO15" s="626"/>
      <c r="BP15" s="626"/>
      <c r="BQ15" s="626"/>
      <c r="BR15" s="626"/>
      <c r="BS15" s="626"/>
      <c r="BT15" s="626"/>
      <c r="BU15" s="626"/>
      <c r="BV15" s="627"/>
      <c r="BW15" s="627"/>
      <c r="BX15" s="627"/>
      <c r="BY15" s="627"/>
      <c r="BZ15" s="627"/>
      <c r="CA15" s="627"/>
      <c r="CB15" s="627"/>
      <c r="CC15" s="627"/>
      <c r="CD15" s="627"/>
      <c r="CE15" s="627"/>
      <c r="CF15" s="294">
        <v>0</v>
      </c>
    </row>
    <row s="1851" customFormat="1" customHeight="1" ht="15" hidden="1">
      <c r="A16" s="624"/>
      <c r="B16" s="625"/>
      <c r="C16" s="625"/>
      <c r="D16" s="2382"/>
      <c r="E16" s="2378" t="s">
        <v>696</v>
      </c>
      <c r="F16" s="2379"/>
      <c r="G16" s="2380"/>
      <c r="H16" s="2384" t="str">
        <f>IF(A14="","",INDEX(DIFFERENTIATION_UNMERGE_SYSTEM,MATCH(A14,DIFFERENTIATION_ID_DIFF,0)))</f>
        <v>без дифференциации</v>
      </c>
      <c r="I16" s="2384"/>
      <c r="J16" s="2384"/>
      <c r="K16" s="2384"/>
      <c r="L16" s="2384"/>
      <c r="M16" s="2384"/>
      <c r="N16" s="2384"/>
      <c r="O16" s="2384"/>
      <c r="P16" s="2384"/>
      <c r="Q16" s="2384"/>
      <c r="R16" s="2384"/>
      <c r="S16" s="720"/>
      <c r="T16" s="717"/>
      <c r="U16" s="626"/>
      <c r="V16" s="626"/>
      <c r="W16" s="627"/>
      <c r="X16" s="627"/>
      <c r="Y16" s="627"/>
      <c r="Z16" s="627"/>
      <c r="AA16" s="628"/>
      <c r="AB16" s="629"/>
      <c r="AC16" s="2376"/>
      <c r="AD16" s="630"/>
      <c r="AE16" s="631"/>
      <c r="AF16" s="631"/>
      <c r="AG16" s="632"/>
      <c r="AH16" s="633"/>
      <c r="AI16" s="626"/>
      <c r="AJ16" s="626"/>
      <c r="AK16" s="626"/>
      <c r="AL16" s="626"/>
      <c r="AM16" s="626"/>
      <c r="AN16" s="626"/>
      <c r="AO16" s="626"/>
      <c r="AP16" s="626"/>
      <c r="AQ16" s="626"/>
      <c r="AR16" s="626"/>
      <c r="AS16" s="626"/>
      <c r="AT16" s="626"/>
      <c r="AU16" s="626"/>
      <c r="AV16" s="626"/>
      <c r="AW16" s="626"/>
      <c r="AX16" s="626"/>
      <c r="AY16" s="626"/>
      <c r="AZ16" s="626"/>
      <c r="BA16" s="626"/>
      <c r="BB16" s="626"/>
      <c r="BC16" s="626"/>
      <c r="BD16" s="626"/>
      <c r="BE16" s="626"/>
      <c r="BF16" s="626"/>
      <c r="BG16" s="626"/>
      <c r="BH16" s="626"/>
      <c r="BI16" s="626"/>
      <c r="BJ16" s="626"/>
      <c r="BK16" s="626"/>
      <c r="BL16" s="626"/>
      <c r="BM16" s="626"/>
      <c r="BN16" s="626"/>
      <c r="BO16" s="626"/>
      <c r="BP16" s="626"/>
      <c r="BQ16" s="626"/>
      <c r="BR16" s="626"/>
      <c r="BS16" s="626"/>
      <c r="BT16" s="626"/>
      <c r="BU16" s="626"/>
      <c r="BV16" s="627"/>
      <c r="BW16" s="627"/>
      <c r="BX16" s="627"/>
      <c r="BY16" s="627"/>
      <c r="BZ16" s="627"/>
      <c r="CA16" s="627"/>
      <c r="CB16" s="627"/>
      <c r="CC16" s="627"/>
      <c r="CD16" s="627"/>
      <c r="CE16" s="627"/>
      <c r="CF16" s="294">
        <v>0</v>
      </c>
    </row>
    <row s="1851" customFormat="1" customHeight="1" ht="22.5" hidden="1">
      <c r="A17" s="634"/>
      <c r="B17" s="418"/>
      <c r="C17" s="413"/>
      <c r="D17" s="2382"/>
      <c r="E17" s="2377" t="s">
        <v>741</v>
      </c>
      <c r="F17" s="2377"/>
      <c r="G17" s="2377"/>
      <c r="H17" s="2377"/>
      <c r="I17" s="2377"/>
      <c r="J17" s="2377"/>
      <c r="K17" s="2377"/>
      <c r="L17" s="2377"/>
      <c r="M17" s="2377"/>
      <c r="N17" s="2377"/>
      <c r="O17" s="2377"/>
      <c r="P17" s="2377"/>
      <c r="Q17" s="559">
        <f>SUMIF(T18:T19,"i",Q18:Q19)</f>
        <v>0</v>
      </c>
      <c r="R17" s="1018"/>
      <c r="S17" s="898" t="s">
        <v>742</v>
      </c>
      <c r="T17" s="718" t="s">
        <v>743</v>
      </c>
      <c r="U17" s="2375">
        <v>1</v>
      </c>
      <c r="V17" s="2375" t="str">
        <f>INDEX(B_FHD_FLAG_INDEX_1,1,MATCH(A14,B_FHD_FLAG_DIFFERENTIATION,0))</f>
        <v>отсутствует</v>
      </c>
      <c r="W17" s="418"/>
      <c r="X17" s="418"/>
      <c r="Y17" s="418"/>
      <c r="Z17" s="418"/>
      <c r="AA17" s="512"/>
      <c r="AB17" s="418"/>
      <c r="AC17" s="2376"/>
      <c r="AD17" s="630"/>
      <c r="AE17" s="418"/>
      <c r="AF17" s="418"/>
      <c r="AG17" s="512"/>
      <c r="AH17" s="512"/>
      <c r="AI17" s="512"/>
      <c r="AJ17" s="512"/>
      <c r="AK17" s="512"/>
      <c r="AL17" s="512"/>
      <c r="AM17" s="512"/>
      <c r="AN17" s="512"/>
      <c r="AO17" s="512"/>
      <c r="AP17" s="512"/>
      <c r="AQ17" s="512"/>
      <c r="AR17" s="512"/>
      <c r="AS17" s="512"/>
      <c r="AT17" s="512"/>
      <c r="AU17" s="512"/>
      <c r="AV17" s="512"/>
      <c r="AW17" s="512"/>
      <c r="AX17" s="512"/>
      <c r="AY17" s="512"/>
      <c r="AZ17" s="512"/>
      <c r="BA17" s="512"/>
      <c r="BB17" s="512"/>
      <c r="BC17" s="512"/>
      <c r="BD17" s="512"/>
      <c r="BE17" s="512"/>
      <c r="BF17" s="512"/>
      <c r="BG17" s="512"/>
      <c r="BH17" s="512"/>
      <c r="BI17" s="512"/>
      <c r="BJ17" s="512"/>
      <c r="BK17" s="512"/>
      <c r="BL17" s="512"/>
      <c r="BM17" s="512"/>
      <c r="BN17" s="512"/>
      <c r="BO17" s="512"/>
      <c r="BP17" s="512"/>
      <c r="BQ17" s="512"/>
      <c r="BR17" s="512"/>
      <c r="BS17" s="512"/>
      <c r="BT17" s="512"/>
      <c r="BU17" s="512"/>
      <c r="BV17" s="418"/>
      <c r="BW17" s="418"/>
      <c r="BX17" s="418"/>
      <c r="BY17" s="418"/>
      <c r="BZ17" s="418"/>
      <c r="CA17" s="418"/>
      <c r="CB17" s="418"/>
      <c r="CC17" s="418"/>
      <c r="CD17" s="418"/>
      <c r="CE17" s="418"/>
      <c r="CF17" s="294">
        <v>0</v>
      </c>
    </row>
    <row s="1851" customFormat="1" customHeight="1" ht="11.25" hidden="1">
      <c r="A18" s="635"/>
      <c r="B18" s="512"/>
      <c r="C18" s="512"/>
      <c r="D18" s="2382"/>
      <c r="E18" s="636"/>
      <c r="F18" s="636">
        <v>0</v>
      </c>
      <c r="G18" s="636"/>
      <c r="H18" s="636"/>
      <c r="I18" s="636"/>
      <c r="J18" s="636"/>
      <c r="K18" s="636"/>
      <c r="L18" s="636"/>
      <c r="M18" s="636"/>
      <c r="N18" s="636"/>
      <c r="O18" s="636"/>
      <c r="P18" s="636"/>
      <c r="Q18" s="636"/>
      <c r="R18" s="636"/>
      <c r="S18" s="637"/>
      <c r="T18" s="719"/>
      <c r="U18" s="2375"/>
      <c r="V18" s="2375"/>
      <c r="W18" s="512"/>
      <c r="X18" s="512"/>
      <c r="Y18" s="512"/>
      <c r="Z18" s="512"/>
      <c r="AA18" s="512"/>
      <c r="AB18" s="418"/>
      <c r="AC18" s="2376"/>
      <c r="AD18" s="630"/>
      <c r="AE18" s="418"/>
      <c r="AF18" s="418"/>
      <c r="AG18" s="512"/>
      <c r="AH18" s="512"/>
      <c r="AI18" s="512"/>
      <c r="AJ18" s="512"/>
      <c r="AK18" s="512"/>
      <c r="AL18" s="512"/>
      <c r="AM18" s="512"/>
      <c r="AN18" s="512"/>
      <c r="AO18" s="512"/>
      <c r="AP18" s="512"/>
      <c r="AQ18" s="512"/>
      <c r="AR18" s="512"/>
      <c r="AS18" s="512"/>
      <c r="AT18" s="512"/>
      <c r="AU18" s="512"/>
      <c r="AV18" s="512"/>
      <c r="AW18" s="512"/>
      <c r="AX18" s="512"/>
      <c r="AY18" s="512"/>
      <c r="AZ18" s="512"/>
      <c r="BA18" s="512"/>
      <c r="BB18" s="512"/>
      <c r="BC18" s="512"/>
      <c r="BD18" s="512"/>
      <c r="BE18" s="512"/>
      <c r="BF18" s="512"/>
      <c r="BG18" s="512"/>
      <c r="BH18" s="512"/>
      <c r="BI18" s="512"/>
      <c r="BJ18" s="512"/>
      <c r="BK18" s="512"/>
      <c r="BL18" s="512"/>
      <c r="BM18" s="512"/>
      <c r="BN18" s="512"/>
      <c r="BO18" s="512"/>
      <c r="BP18" s="512"/>
      <c r="BQ18" s="512"/>
      <c r="BR18" s="512"/>
      <c r="BS18" s="512"/>
      <c r="BT18" s="512"/>
      <c r="BU18" s="512"/>
      <c r="BV18" s="512"/>
      <c r="BW18" s="512"/>
      <c r="BX18" s="512"/>
      <c r="BY18" s="512"/>
      <c r="BZ18" s="512"/>
      <c r="CA18" s="512"/>
      <c r="CB18" s="512"/>
      <c r="CC18" s="512"/>
      <c r="CD18" s="512"/>
      <c r="CE18" s="512"/>
      <c r="CF18" s="294">
        <v>0</v>
      </c>
    </row>
    <row s="1851" customFormat="1" customHeight="1" ht="11.25" hidden="1">
      <c r="A19" s="634"/>
      <c r="B19" s="418"/>
      <c r="C19" s="413"/>
      <c r="D19" s="2382"/>
      <c r="E19" s="650" t="s">
        <v>28</v>
      </c>
      <c r="F19" s="651" t="s">
        <v>28</v>
      </c>
      <c r="G19" s="651" t="s">
        <v>28</v>
      </c>
      <c r="H19" s="652" t="s">
        <v>28</v>
      </c>
      <c r="I19" s="652"/>
      <c r="J19" s="652"/>
      <c r="K19" s="652"/>
      <c r="L19" s="652"/>
      <c r="M19" s="652"/>
      <c r="N19" s="652"/>
      <c r="O19" s="652"/>
      <c r="P19" s="652"/>
      <c r="Q19" s="652"/>
      <c r="R19" s="653"/>
      <c r="S19" s="1021"/>
      <c r="T19" s="719"/>
      <c r="U19" s="2375"/>
      <c r="V19" s="2375"/>
      <c r="W19" s="418"/>
      <c r="X19" s="418"/>
      <c r="Y19" s="418"/>
      <c r="Z19" s="418"/>
      <c r="AA19" s="512"/>
      <c r="AB19" s="418"/>
      <c r="AC19" s="2376"/>
      <c r="AD19" s="630"/>
      <c r="AE19" s="418"/>
      <c r="AF19" s="418"/>
      <c r="AG19" s="512"/>
      <c r="AH19" s="512"/>
      <c r="AI19" s="512"/>
      <c r="AJ19" s="512"/>
      <c r="AK19" s="512"/>
      <c r="AL19" s="512"/>
      <c r="AM19" s="512"/>
      <c r="AN19" s="512"/>
      <c r="AO19" s="512"/>
      <c r="AP19" s="512"/>
      <c r="AQ19" s="512"/>
      <c r="AR19" s="512"/>
      <c r="AS19" s="512"/>
      <c r="AT19" s="512"/>
      <c r="AU19" s="512"/>
      <c r="AV19" s="512"/>
      <c r="AW19" s="512"/>
      <c r="AX19" s="512"/>
      <c r="AY19" s="512"/>
      <c r="AZ19" s="512"/>
      <c r="BA19" s="512"/>
      <c r="BB19" s="512"/>
      <c r="BC19" s="512"/>
      <c r="BD19" s="512"/>
      <c r="BE19" s="512"/>
      <c r="BF19" s="512"/>
      <c r="BG19" s="512"/>
      <c r="BH19" s="512"/>
      <c r="BI19" s="512"/>
      <c r="BJ19" s="512"/>
      <c r="BK19" s="512"/>
      <c r="BL19" s="512"/>
      <c r="BM19" s="512"/>
      <c r="BN19" s="512"/>
      <c r="BO19" s="512"/>
      <c r="BP19" s="512"/>
      <c r="BQ19" s="512"/>
      <c r="BR19" s="512"/>
      <c r="BS19" s="512"/>
      <c r="BT19" s="512"/>
      <c r="BU19" s="512"/>
      <c r="BV19" s="418"/>
      <c r="BW19" s="418"/>
      <c r="BX19" s="418"/>
      <c r="BY19" s="418"/>
      <c r="BZ19" s="418"/>
      <c r="CA19" s="418"/>
      <c r="CB19" s="418"/>
      <c r="CC19" s="418"/>
      <c r="CD19" s="418"/>
      <c r="CE19" s="418"/>
      <c r="CF19" s="294">
        <v>0</v>
      </c>
    </row>
    <row s="1851" customFormat="1" customHeight="1" ht="22.5" hidden="1">
      <c r="A20" s="634"/>
      <c r="B20" s="418"/>
      <c r="C20" s="413"/>
      <c r="D20" s="2382"/>
      <c r="E20" s="2377" t="s">
        <v>744</v>
      </c>
      <c r="F20" s="2377"/>
      <c r="G20" s="2377"/>
      <c r="H20" s="2377"/>
      <c r="I20" s="2377"/>
      <c r="J20" s="2377"/>
      <c r="K20" s="2377"/>
      <c r="L20" s="2377"/>
      <c r="M20" s="2377"/>
      <c r="N20" s="2377"/>
      <c r="O20" s="2377"/>
      <c r="P20" s="2377"/>
      <c r="Q20" s="559">
        <f>SUMIF(T21:T22,"i",Q21:Q22)</f>
        <v>0</v>
      </c>
      <c r="R20" s="1018"/>
      <c r="S20" s="710" t="s">
        <v>745</v>
      </c>
      <c r="T20" s="718" t="s">
        <v>743</v>
      </c>
      <c r="U20" s="2375">
        <v>2</v>
      </c>
      <c r="V20" s="2375" t="str">
        <f>INDEX(B_FHD_FLAG_INDEX_2,1,MATCH(A14,B_FHD_FLAG_DIFFERENTIATION,0))</f>
        <v>отсутствует</v>
      </c>
      <c r="W20" s="418"/>
      <c r="X20" s="418"/>
      <c r="Y20" s="418"/>
      <c r="Z20" s="418"/>
      <c r="AA20" s="512"/>
      <c r="AB20" s="418"/>
      <c r="AC20" s="707"/>
      <c r="AD20" s="630"/>
      <c r="AE20" s="418"/>
      <c r="AF20" s="418"/>
      <c r="AG20" s="512"/>
      <c r="AH20" s="512"/>
      <c r="AI20" s="512"/>
      <c r="AJ20" s="512"/>
      <c r="AK20" s="512"/>
      <c r="AL20" s="512"/>
      <c r="AM20" s="512"/>
      <c r="AN20" s="512"/>
      <c r="AO20" s="512"/>
      <c r="AP20" s="512"/>
      <c r="AQ20" s="512"/>
      <c r="AR20" s="512"/>
      <c r="AS20" s="512"/>
      <c r="AT20" s="512"/>
      <c r="AU20" s="512"/>
      <c r="AV20" s="512"/>
      <c r="AW20" s="512"/>
      <c r="AX20" s="512"/>
      <c r="AY20" s="512"/>
      <c r="AZ20" s="512"/>
      <c r="BA20" s="512"/>
      <c r="BB20" s="512"/>
      <c r="BC20" s="512"/>
      <c r="BD20" s="512"/>
      <c r="BE20" s="512"/>
      <c r="BF20" s="512"/>
      <c r="BG20" s="512"/>
      <c r="BH20" s="512"/>
      <c r="BI20" s="512"/>
      <c r="BJ20" s="512"/>
      <c r="BK20" s="512"/>
      <c r="BL20" s="512"/>
      <c r="BM20" s="512"/>
      <c r="BN20" s="512"/>
      <c r="BO20" s="512"/>
      <c r="BP20" s="512"/>
      <c r="BQ20" s="512"/>
      <c r="BR20" s="512"/>
      <c r="BS20" s="512"/>
      <c r="BT20" s="512"/>
      <c r="BU20" s="512"/>
      <c r="BV20" s="418"/>
      <c r="BW20" s="418"/>
      <c r="BX20" s="418"/>
      <c r="BY20" s="418"/>
      <c r="BZ20" s="418"/>
      <c r="CA20" s="418"/>
      <c r="CB20" s="418"/>
      <c r="CC20" s="418"/>
      <c r="CD20" s="418"/>
      <c r="CE20" s="418"/>
      <c r="CF20" s="294">
        <v>0</v>
      </c>
    </row>
    <row s="1851" customFormat="1" customHeight="1" ht="11.25" hidden="1">
      <c r="A21" s="709"/>
      <c r="B21" s="512"/>
      <c r="C21" s="512"/>
      <c r="D21" s="2382"/>
      <c r="E21" s="636"/>
      <c r="F21" s="636">
        <v>0</v>
      </c>
      <c r="G21" s="636"/>
      <c r="H21" s="636"/>
      <c r="I21" s="636"/>
      <c r="J21" s="636"/>
      <c r="K21" s="636"/>
      <c r="L21" s="636"/>
      <c r="M21" s="636"/>
      <c r="N21" s="636"/>
      <c r="O21" s="636"/>
      <c r="P21" s="636"/>
      <c r="Q21" s="636"/>
      <c r="R21" s="636"/>
      <c r="S21" s="637"/>
      <c r="T21" s="719"/>
      <c r="U21" s="2375"/>
      <c r="V21" s="2375"/>
      <c r="W21" s="512"/>
      <c r="X21" s="512"/>
      <c r="Y21" s="512"/>
      <c r="Z21" s="512"/>
      <c r="AA21" s="512"/>
      <c r="AB21" s="418"/>
      <c r="AC21" s="707"/>
      <c r="AD21" s="630"/>
      <c r="AE21" s="418"/>
      <c r="AF21" s="418"/>
      <c r="AG21" s="512"/>
      <c r="AH21" s="512"/>
      <c r="AI21" s="512"/>
      <c r="AJ21" s="512"/>
      <c r="AK21" s="512"/>
      <c r="AL21" s="512"/>
      <c r="AM21" s="512"/>
      <c r="AN21" s="512"/>
      <c r="AO21" s="512"/>
      <c r="AP21" s="512"/>
      <c r="AQ21" s="512"/>
      <c r="AR21" s="512"/>
      <c r="AS21" s="512"/>
      <c r="AT21" s="512"/>
      <c r="AU21" s="512"/>
      <c r="AV21" s="512"/>
      <c r="AW21" s="512"/>
      <c r="AX21" s="512"/>
      <c r="AY21" s="512"/>
      <c r="AZ21" s="512"/>
      <c r="BA21" s="512"/>
      <c r="BB21" s="512"/>
      <c r="BC21" s="512"/>
      <c r="BD21" s="512"/>
      <c r="BE21" s="512"/>
      <c r="BF21" s="512"/>
      <c r="BG21" s="512"/>
      <c r="BH21" s="512"/>
      <c r="BI21" s="512"/>
      <c r="BJ21" s="512"/>
      <c r="BK21" s="512"/>
      <c r="BL21" s="512"/>
      <c r="BM21" s="512"/>
      <c r="BN21" s="512"/>
      <c r="BO21" s="512"/>
      <c r="BP21" s="512"/>
      <c r="BQ21" s="512"/>
      <c r="BR21" s="512"/>
      <c r="BS21" s="512"/>
      <c r="BT21" s="512"/>
      <c r="BU21" s="512"/>
      <c r="BV21" s="512"/>
      <c r="BW21" s="512"/>
      <c r="BX21" s="512"/>
      <c r="BY21" s="512"/>
      <c r="BZ21" s="512"/>
      <c r="CA21" s="512"/>
      <c r="CB21" s="512"/>
      <c r="CC21" s="512"/>
      <c r="CD21" s="512"/>
      <c r="CE21" s="512"/>
      <c r="CF21" s="294">
        <v>0</v>
      </c>
    </row>
    <row s="1851" customFormat="1" customHeight="1" ht="11.25" hidden="1">
      <c r="A22" s="634"/>
      <c r="B22" s="418"/>
      <c r="C22" s="413"/>
      <c r="D22" s="2383"/>
      <c r="E22" s="650" t="s">
        <v>28</v>
      </c>
      <c r="F22" s="651" t="s">
        <v>28</v>
      </c>
      <c r="G22" s="651" t="s">
        <v>28</v>
      </c>
      <c r="H22" s="652" t="s">
        <v>28</v>
      </c>
      <c r="I22" s="652"/>
      <c r="J22" s="652"/>
      <c r="K22" s="652"/>
      <c r="L22" s="652"/>
      <c r="M22" s="652"/>
      <c r="N22" s="652"/>
      <c r="O22" s="652"/>
      <c r="P22" s="652"/>
      <c r="Q22" s="652"/>
      <c r="R22" s="653"/>
      <c r="S22" s="1021"/>
      <c r="T22" s="719"/>
      <c r="U22" s="2375"/>
      <c r="V22" s="2375"/>
      <c r="W22" s="418"/>
      <c r="X22" s="418"/>
      <c r="Y22" s="418"/>
      <c r="Z22" s="418"/>
      <c r="AA22" s="512"/>
      <c r="AB22" s="418"/>
      <c r="AC22" s="707"/>
      <c r="AD22" s="630"/>
      <c r="AE22" s="418"/>
      <c r="AF22" s="418"/>
      <c r="AG22" s="512"/>
      <c r="AH22" s="512"/>
      <c r="AI22" s="512"/>
      <c r="AJ22" s="512"/>
      <c r="AK22" s="512"/>
      <c r="AL22" s="512"/>
      <c r="AM22" s="512"/>
      <c r="AN22" s="512"/>
      <c r="AO22" s="512"/>
      <c r="AP22" s="512"/>
      <c r="AQ22" s="512"/>
      <c r="AR22" s="512"/>
      <c r="AS22" s="512"/>
      <c r="AT22" s="512"/>
      <c r="AU22" s="512"/>
      <c r="AV22" s="512"/>
      <c r="AW22" s="512"/>
      <c r="AX22" s="512"/>
      <c r="AY22" s="512"/>
      <c r="AZ22" s="512"/>
      <c r="BA22" s="512"/>
      <c r="BB22" s="512"/>
      <c r="BC22" s="512"/>
      <c r="BD22" s="512"/>
      <c r="BE22" s="512"/>
      <c r="BF22" s="512"/>
      <c r="BG22" s="512"/>
      <c r="BH22" s="512"/>
      <c r="BI22" s="512"/>
      <c r="BJ22" s="512"/>
      <c r="BK22" s="512"/>
      <c r="BL22" s="512"/>
      <c r="BM22" s="512"/>
      <c r="BN22" s="512"/>
      <c r="BO22" s="512"/>
      <c r="BP22" s="512"/>
      <c r="BQ22" s="512"/>
      <c r="BR22" s="512"/>
      <c r="BS22" s="512"/>
      <c r="BT22" s="512"/>
      <c r="BU22" s="512"/>
      <c r="BV22" s="418"/>
      <c r="BW22" s="418"/>
      <c r="BX22" s="418"/>
      <c r="BY22" s="418"/>
      <c r="BZ22" s="418"/>
      <c r="CA22" s="418"/>
      <c r="CB22" s="418"/>
      <c r="CC22" s="418"/>
      <c r="CD22" s="418"/>
      <c r="CE22" s="418"/>
      <c r="CF22" s="294">
        <v>0</v>
      </c>
    </row>
    <row customHeight="1" ht="19.95">
      <c r="D23" s="1048"/>
      <c r="E23" s="1048"/>
      <c r="F23" s="1048"/>
      <c r="G23" s="1048"/>
      <c r="H23" s="1048"/>
      <c r="I23" s="1048"/>
      <c r="J23" s="1048"/>
      <c r="K23" s="1048"/>
      <c r="L23" s="1048"/>
      <c r="M23" s="1048"/>
      <c r="N23" s="1048"/>
      <c r="O23" s="1048"/>
      <c r="P23" s="1048"/>
      <c r="Q23" s="1048"/>
      <c r="R23" s="1048"/>
      <c r="S23" s="1048"/>
      <c r="T23" s="335"/>
      <c r="CF23" s="506">
        <v>19</v>
      </c>
    </row>
    <row customHeight="1" ht="11.549999999999999">
      <c r="D24" s="510"/>
      <c r="CF24" s="506">
        <v>11</v>
      </c>
    </row>
    <row customHeight="1" ht="11.549999999999999">
      <c r="D25" s="655"/>
      <c r="E25" s="655"/>
      <c r="F25" s="655"/>
      <c r="G25" s="656"/>
      <c r="CF25" s="506">
        <v>11</v>
      </c>
    </row>
    <row customHeight="1" ht="11.549999999999999">
      <c r="CF26" s="506">
        <v>11</v>
      </c>
    </row>
    <row customHeight="1" ht="11.549999999999999">
      <c r="D27" s="657"/>
      <c r="E27" s="2385"/>
      <c r="F27" s="2385"/>
      <c r="G27" s="2385"/>
      <c r="H27" s="2385"/>
      <c r="I27" s="2385"/>
      <c r="J27" s="2385"/>
      <c r="K27" s="2385"/>
      <c r="L27" s="2385"/>
      <c r="M27" s="2385"/>
      <c r="N27" s="2385"/>
      <c r="O27" s="2385"/>
      <c r="P27" s="2385"/>
      <c r="Q27" s="2385"/>
      <c r="R27" s="2385"/>
      <c r="CF27" s="506">
        <v>11</v>
      </c>
    </row>
    <row customHeight="1" ht="11.549999999999999">
      <c r="F28" s="759"/>
      <c r="G28" s="759"/>
      <c r="CF28" s="506">
        <v>11</v>
      </c>
    </row>
    <row customHeight="1" ht="11.25" hidden="1">
      <c r="A29" s="611" t="s">
        <v>86</v>
      </c>
      <c r="B29" s="450">
        <v>0</v>
      </c>
      <c r="C29" s="506">
        <v>3</v>
      </c>
      <c r="D29" s="506">
        <v>0</v>
      </c>
      <c r="E29" s="506">
        <v>7</v>
      </c>
      <c r="F29" s="506">
        <v>7</v>
      </c>
      <c r="G29" s="506">
        <v>29</v>
      </c>
      <c r="H29" s="506">
        <v>3</v>
      </c>
      <c r="I29" s="506">
        <v>5</v>
      </c>
      <c r="J29" s="506">
        <v>24</v>
      </c>
      <c r="K29" s="506">
        <v>24</v>
      </c>
      <c r="L29" s="506">
        <v>3</v>
      </c>
      <c r="M29" s="506">
        <v>6</v>
      </c>
      <c r="N29" s="506">
        <v>25</v>
      </c>
      <c r="O29" s="506">
        <v>18</v>
      </c>
      <c r="P29" s="506">
        <v>18</v>
      </c>
      <c r="Q29" s="506">
        <v>18</v>
      </c>
      <c r="R29" s="506">
        <v>18</v>
      </c>
      <c r="S29" s="506">
        <v>93</v>
      </c>
      <c r="T29" s="506">
        <v>10</v>
      </c>
      <c r="U29" s="612">
        <v>10</v>
      </c>
      <c r="V29" s="612">
        <v>11</v>
      </c>
      <c r="W29" s="613">
        <v>10</v>
      </c>
      <c r="X29" s="450">
        <v>10</v>
      </c>
      <c r="Y29" s="450">
        <v>10</v>
      </c>
      <c r="Z29" s="450">
        <v>10</v>
      </c>
      <c r="AA29" s="450">
        <v>10</v>
      </c>
      <c r="AB29" s="506">
        <v>8</v>
      </c>
      <c r="AC29" s="506">
        <v>8</v>
      </c>
      <c r="AD29" s="506">
        <v>8</v>
      </c>
      <c r="AE29" s="506">
        <v>8</v>
      </c>
      <c r="AF29" s="506">
        <v>8</v>
      </c>
      <c r="AG29" s="506">
        <v>8</v>
      </c>
      <c r="AH29" s="506">
        <v>8</v>
      </c>
      <c r="AI29" s="506">
        <v>8</v>
      </c>
      <c r="AJ29" s="506">
        <v>8</v>
      </c>
      <c r="AK29" s="506">
        <v>8</v>
      </c>
      <c r="AL29" s="506">
        <v>8</v>
      </c>
      <c r="AM29" s="506">
        <v>8</v>
      </c>
      <c r="AN29" s="506">
        <v>8</v>
      </c>
      <c r="AO29" s="506">
        <v>8</v>
      </c>
      <c r="AP29" s="506">
        <v>8</v>
      </c>
      <c r="AQ29" s="506">
        <v>8</v>
      </c>
      <c r="AR29" s="506">
        <v>8</v>
      </c>
      <c r="AS29" s="506">
        <v>8</v>
      </c>
      <c r="AT29" s="506">
        <v>8</v>
      </c>
      <c r="AU29" s="506">
        <v>8</v>
      </c>
      <c r="AV29" s="506">
        <v>8</v>
      </c>
      <c r="AW29" s="506">
        <v>8</v>
      </c>
      <c r="AX29" s="506">
        <v>8</v>
      </c>
      <c r="AY29" s="506">
        <v>8</v>
      </c>
      <c r="AZ29" s="506">
        <v>8</v>
      </c>
      <c r="BA29" s="506">
        <v>8</v>
      </c>
      <c r="BB29" s="506">
        <v>8</v>
      </c>
      <c r="BC29" s="506">
        <v>8</v>
      </c>
      <c r="BD29" s="506">
        <v>8</v>
      </c>
      <c r="BE29" s="506">
        <v>8</v>
      </c>
      <c r="BF29" s="506">
        <v>8</v>
      </c>
      <c r="BG29" s="506">
        <v>8</v>
      </c>
      <c r="BH29" s="506">
        <v>8</v>
      </c>
      <c r="BI29" s="506">
        <v>8</v>
      </c>
      <c r="BJ29" s="506">
        <v>8</v>
      </c>
      <c r="BK29" s="506">
        <v>8</v>
      </c>
      <c r="BL29" s="506">
        <v>8</v>
      </c>
      <c r="BM29" s="506">
        <v>8</v>
      </c>
      <c r="BN29" s="506">
        <v>8</v>
      </c>
      <c r="BO29" s="506">
        <v>8</v>
      </c>
      <c r="BP29" s="506">
        <v>8</v>
      </c>
      <c r="BQ29" s="506">
        <v>8</v>
      </c>
      <c r="BR29" s="506">
        <v>8</v>
      </c>
      <c r="BS29" s="506">
        <v>8</v>
      </c>
      <c r="BT29" s="506">
        <v>8</v>
      </c>
      <c r="BU29" s="506">
        <v>8</v>
      </c>
      <c r="BV29" s="506">
        <v>8</v>
      </c>
      <c r="BW29" s="506">
        <v>8</v>
      </c>
      <c r="BX29" s="506">
        <v>8</v>
      </c>
      <c r="BY29" s="506">
        <v>8</v>
      </c>
      <c r="BZ29" s="506">
        <v>8</v>
      </c>
      <c r="CA29" s="506">
        <v>8</v>
      </c>
      <c r="CB29" s="506">
        <v>8</v>
      </c>
      <c r="CC29" s="506">
        <v>8</v>
      </c>
      <c r="CD29" s="506">
        <v>8</v>
      </c>
      <c r="CE29" s="506">
        <v>8</v>
      </c>
      <c r="CF29" s="506">
        <v>11</v>
      </c>
    </row>
  </sheetData>
  <sheetProtection formatColumns="0" formatRows="0" autoFilter="0" sort="0" insertRows="0" insertColumns="1" deleteRows="0" deleteColumns="0"/>
  <mergeCells count="22">
    <mergeCell ref="E5:K5"/>
    <mergeCell ref="E6:K6"/>
    <mergeCell ref="E9:R9"/>
    <mergeCell ref="S9:S10"/>
    <mergeCell ref="E10:F10"/>
    <mergeCell ref="H10:I10"/>
    <mergeCell ref="L10:M10"/>
    <mergeCell ref="D14:D22"/>
    <mergeCell ref="H14:R14"/>
    <mergeCell ref="H15:R15"/>
    <mergeCell ref="H16:R16"/>
    <mergeCell ref="E27:R27"/>
    <mergeCell ref="E20:P20"/>
    <mergeCell ref="U20:U22"/>
    <mergeCell ref="V20:V22"/>
    <mergeCell ref="AC14:AC19"/>
    <mergeCell ref="E17:P17"/>
    <mergeCell ref="U17:U19"/>
    <mergeCell ref="V17:V19"/>
    <mergeCell ref="E14:G14"/>
    <mergeCell ref="E15:G15"/>
    <mergeCell ref="E16:G16"/>
  </mergeCell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3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4E7D2B8-7F18-7BA8-B508-BC038C393356}" mc:Ignorable="x14ac xr xr2 xr3">
  <sheetPr>
    <tabColor theme="9" tint="-0.25"/>
  </sheetPr>
  <dimension ref="A1:AK204"/>
  <sheetViews>
    <sheetView showGridLines="0" zoomScale="90" workbookViewId="0">
      <pane xSplit="12" ySplit="14" topLeftCell="M15" activePane="bottomRight" state="frozen"/>
      <selection pane="bottomLeft" activeCell="A15" sqref="A15"/>
      <selection pane="topRight" activeCell="M1" sqref="M1"/>
      <selection pane="bottomRight" activeCell="A1" sqref="A1"/>
    </sheetView>
  </sheetViews>
  <sheetFormatPr defaultColWidth="9.140625" customHeight="1" defaultRowHeight="11.25"/>
  <cols>
    <col min="1" max="5" style="988" width="10.7109375" hidden="1" customWidth="1"/>
    <col min="6" max="6" style="1367" width="16.8515625" hidden="1" customWidth="1"/>
    <col min="7" max="7" style="1643" width="5.57421875" hidden="1" customWidth="1"/>
    <col min="8" max="8" style="1636" width="3.00390625" customWidth="1"/>
    <col min="9" max="9" style="1636" width="7.00390625" customWidth="1"/>
    <col min="10" max="10" style="1636" width="56.00390625" customWidth="1"/>
    <col min="11" max="11" style="1636" width="10.00390625" customWidth="1"/>
    <col min="12" max="12" style="1636" width="40.57421875" hidden="1" customWidth="1"/>
    <col min="13" max="13" style="1636" width="40.7109375" customWidth="1"/>
    <col min="14" max="14" style="1367" width="9.7109375" hidden="1" customWidth="1"/>
    <col min="15" max="15" style="1636" width="102.00390625" customWidth="1"/>
    <col min="16" max="16" style="1367" width="9.00390625" customWidth="1"/>
    <col min="17" max="17" style="1643" width="5.00390625" customWidth="1"/>
    <col min="18" max="18" style="1643" width="3.00390625" customWidth="1"/>
    <col min="19" max="22" style="1367" width="3.00390625" customWidth="1"/>
    <col min="23" max="23" style="1643" width="10.00390625" customWidth="1"/>
    <col min="24" max="24" style="1367" width="34.00390625" customWidth="1"/>
    <col min="25" max="25" style="1367" width="9.00390625" customWidth="1"/>
    <col min="26" max="26" style="737" width="8.00390625" customWidth="1"/>
    <col min="27" max="31" style="1367" width="8.00390625" customWidth="1"/>
    <col min="32" max="36" style="1633" width="8.00390625" customWidth="1"/>
    <col min="37" max="37" style="1636" width="5.421875" hidden="1" customWidth="1"/>
  </cols>
  <sheetData>
    <row s="1367" customFormat="1" customHeight="1" ht="33.75" hidden="1">
      <c r="A1" s="988"/>
      <c r="B1" s="988"/>
      <c r="C1" s="988"/>
      <c r="D1" s="988"/>
      <c r="E1" s="988"/>
      <c r="G1" s="1637"/>
      <c r="H1" s="879"/>
      <c r="L1" s="1367">
        <v>4</v>
      </c>
      <c r="M1" s="1367">
        <v>4</v>
      </c>
      <c r="Q1" s="1637"/>
      <c r="R1" s="1637"/>
      <c r="W1" s="1637"/>
      <c r="AK1" s="1367" t="s">
        <v>14</v>
      </c>
    </row>
    <row s="1367" customFormat="1" customHeight="1" ht="78.75" hidden="1">
      <c r="A2" s="988"/>
      <c r="B2" s="2054" t="s">
        <v>746</v>
      </c>
      <c r="C2" s="2054" t="s">
        <v>747</v>
      </c>
      <c r="D2" s="2053" t="s">
        <v>748</v>
      </c>
      <c r="E2" s="2057">
        <f>RIGHT(I2,LEN(I2)-SEARCH("#",SUBSTITUTE(I2,".","#",LEN(I2)-LEN(SUBSTITUTE(I2,".","")))))</f>
      </c>
      <c r="F2" s="2059">
        <f>J2</f>
        <v>0</v>
      </c>
      <c r="G2" s="1637"/>
      <c r="H2" s="2060"/>
      <c r="I2" s="2050"/>
      <c r="J2" s="541"/>
      <c r="K2" s="2020" t="s">
        <v>687</v>
      </c>
      <c r="L2" s="752"/>
      <c r="M2" s="752"/>
      <c r="N2" s="544"/>
      <c r="O2" s="1526" t="s">
        <v>688</v>
      </c>
      <c r="P2" s="544"/>
      <c r="Q2" s="1637"/>
      <c r="R2" s="1637"/>
      <c r="W2" s="1637"/>
      <c r="Z2" s="545"/>
      <c r="AF2" s="1633"/>
      <c r="AG2" s="1633"/>
      <c r="AH2" s="1633"/>
      <c r="AI2" s="1633"/>
      <c r="AJ2" s="1633"/>
      <c r="AK2" s="1367">
        <v>0</v>
      </c>
    </row>
    <row customHeight="1" ht="11.25" hidden="1">
      <c r="E3" s="2052" t="s">
        <v>749</v>
      </c>
      <c r="L3" s="1632">
        <f>0</f>
        <v>0</v>
      </c>
      <c r="M3" s="1632">
        <v>1</v>
      </c>
      <c r="AK3" s="1632">
        <v>0</v>
      </c>
    </row>
    <row s="1633" customFormat="1" customHeight="1" ht="11.25" hidden="1">
      <c r="A4" s="988"/>
      <c r="B4" s="988"/>
      <c r="C4" s="988"/>
      <c r="E4" s="988"/>
      <c r="F4" s="1367"/>
      <c r="G4" s="1637"/>
      <c r="H4" s="621"/>
      <c r="N4" s="1367"/>
      <c r="O4" s="1633">
        <v>4</v>
      </c>
      <c r="P4" s="1367"/>
      <c r="Q4" s="1637"/>
      <c r="R4" s="1637"/>
      <c r="S4" s="1367"/>
      <c r="T4" s="1367"/>
      <c r="U4" s="1367"/>
      <c r="V4" s="1367"/>
      <c r="W4" s="1637"/>
      <c r="X4" s="1367"/>
      <c r="Y4" s="1367"/>
      <c r="Z4" s="545"/>
      <c r="AA4" s="1367"/>
      <c r="AB4" s="1367"/>
      <c r="AC4" s="1367"/>
      <c r="AD4" s="1367"/>
      <c r="AE4" s="1367"/>
      <c r="AK4" s="1633">
        <v>0</v>
      </c>
    </row>
    <row customHeight="1" ht="11.549999999999999">
      <c r="AK5" s="1632">
        <v>11</v>
      </c>
    </row>
    <row customHeight="1" ht="57.75">
      <c r="I6" s="2308" t="s">
        <v>750</v>
      </c>
      <c r="J6" s="2308"/>
      <c r="K6" s="2308"/>
      <c r="L6" s="2308"/>
      <c r="M6" s="2308"/>
      <c r="O6" s="557"/>
      <c r="AK6" s="1632">
        <v>55</v>
      </c>
    </row>
    <row customHeight="1" ht="25.2">
      <c r="I7" s="2250" t="str">
        <f>IF(org=0,"Не определено",org)</f>
        <v>ПАО "ТГК-1" (филиал "Кольский")</v>
      </c>
      <c r="J7" s="2250"/>
      <c r="K7" s="2250"/>
      <c r="L7" s="2250"/>
      <c r="M7" s="2250"/>
      <c r="AK7" s="1632">
        <v>24</v>
      </c>
    </row>
    <row customHeight="1" ht="11.549999999999999">
      <c r="I8" s="1136"/>
      <c r="J8" s="1136"/>
      <c r="K8" s="1136"/>
      <c r="L8" s="1136"/>
      <c r="M8" s="1136"/>
      <c r="AK8" s="1632">
        <v>11</v>
      </c>
    </row>
    <row s="1643" customFormat="1" customHeight="1" ht="30" hidden="1">
      <c r="A9" s="1168"/>
      <c r="B9" s="1168"/>
      <c r="C9" s="1168"/>
      <c r="E9" s="1168"/>
      <c r="H9" s="1643"/>
      <c r="L9" s="890"/>
      <c r="M9" s="890" t="s">
        <v>130</v>
      </c>
      <c r="AK9" s="1637">
        <v>1</v>
      </c>
    </row>
    <row customHeight="1" ht="11.549999999999999">
      <c r="E10" s="2051" t="s">
        <v>751</v>
      </c>
      <c r="I10" s="712"/>
      <c r="J10" s="2368" t="s">
        <v>119</v>
      </c>
      <c r="K10" s="2369"/>
      <c r="L10" s="2030" t="str">
        <f>IF(L9="","",INDEX(DIFFERENTIATION_UNMERGE_VD,MATCH(L9,DIFFERENTIATION_ID_DIFF,0)))</f>
        <v/>
      </c>
      <c r="M10" s="2030">
        <f>IF(M9="","",INDEX(DIFFERENTIATION_UNMERGE_VD,MATCH(M9,DIFFERENTIATION_ID_DIFF,0)))</f>
        <v>0</v>
      </c>
      <c r="O10" s="2128" t="s">
        <v>431</v>
      </c>
      <c r="AK10" s="1632">
        <v>11</v>
      </c>
    </row>
    <row customHeight="1" ht="11.549999999999999">
      <c r="E11" s="2051" t="s">
        <v>752</v>
      </c>
      <c r="I11" s="712"/>
      <c r="J11" s="2368" t="s">
        <v>695</v>
      </c>
      <c r="K11" s="2369"/>
      <c r="L11" s="2030" t="str">
        <f>IF(L9="","",INDEX(DIFFERENTIATION_UNMERGE_AREA,MATCH(L9,DIFFERENTIATION_ID_DIFF,0)))</f>
        <v/>
      </c>
      <c r="M11" s="2030" t="str">
        <f>IF(M9="","",INDEX(DIFFERENTIATION_UNMERGE_AREA,MATCH(M9,DIFFERENTIATION_ID_DIFF,0)))</f>
        <v/>
      </c>
      <c r="O11" s="2128"/>
      <c r="AK11" s="1632">
        <v>11</v>
      </c>
    </row>
    <row customHeight="1" ht="11.549999999999999">
      <c r="E12" s="2051" t="s">
        <v>753</v>
      </c>
      <c r="I12" s="1663"/>
      <c r="J12" s="2368" t="s">
        <v>696</v>
      </c>
      <c r="K12" s="2369"/>
      <c r="L12" s="2030" t="str">
        <f>IF(L9="","",INDEX(DIFFERENTIATION_UNMERGE_SYSTEM,MATCH(L9,DIFFERENTIATION_ID_DIFF,0)))</f>
        <v/>
      </c>
      <c r="M12" s="2030" t="str">
        <f>IF(M9="","",INDEX(DIFFERENTIATION_UNMERGE_SYSTEM,MATCH(M9,DIFFERENTIATION_ID_DIFF,0)))</f>
        <v>без дифференциации</v>
      </c>
      <c r="O12" s="2128"/>
      <c r="AK12" s="1632">
        <v>11</v>
      </c>
    </row>
    <row customHeight="1" ht="11.549999999999999">
      <c r="E13" s="2051" t="s">
        <v>754</v>
      </c>
      <c r="F13" s="2051" t="s">
        <v>755</v>
      </c>
      <c r="I13" s="2370" t="s">
        <v>430</v>
      </c>
      <c r="J13" s="2371"/>
      <c r="K13" s="2371"/>
      <c r="L13" s="2028"/>
      <c r="M13" s="2068"/>
      <c r="O13" s="2128"/>
      <c r="AK13" s="1632">
        <v>11</v>
      </c>
    </row>
    <row customHeight="1" ht="24">
      <c r="I14" s="2021" t="s">
        <v>92</v>
      </c>
      <c r="J14" s="2021" t="s">
        <v>432</v>
      </c>
      <c r="K14" s="2021" t="s">
        <v>697</v>
      </c>
      <c r="L14" s="2061" t="s">
        <v>433</v>
      </c>
      <c r="M14" s="2062" t="s">
        <v>433</v>
      </c>
      <c r="O14" s="2128"/>
      <c r="AK14" s="1632">
        <v>23</v>
      </c>
    </row>
    <row customHeight="1" ht="24">
      <c r="A15" s="2055"/>
      <c r="B15" s="2054" t="s">
        <v>756</v>
      </c>
      <c r="C15" s="2054" t="s">
        <v>757</v>
      </c>
      <c r="D15" s="2053" t="s">
        <v>758</v>
      </c>
      <c r="E15" s="2057" t="s">
        <v>759</v>
      </c>
      <c r="F15" s="2057" t="s">
        <v>759</v>
      </c>
      <c r="G15" s="1637" t="s">
        <v>719</v>
      </c>
      <c r="H15" s="2022"/>
      <c r="I15" s="1631">
        <v>1</v>
      </c>
      <c r="J15" s="2023" t="s">
        <v>760</v>
      </c>
      <c r="K15" s="2021" t="s">
        <v>436</v>
      </c>
      <c r="L15" s="663"/>
      <c r="M15" s="819"/>
      <c r="N15" s="544" t="s">
        <v>761</v>
      </c>
      <c r="O15" s="1526" t="s">
        <v>762</v>
      </c>
      <c r="P15" s="544" t="s">
        <v>761</v>
      </c>
      <c r="AK15" s="1632">
        <v>23</v>
      </c>
    </row>
    <row customHeight="1" ht="35.699999999999996">
      <c r="A16" s="2055"/>
      <c r="B16" s="2054" t="s">
        <v>763</v>
      </c>
      <c r="C16" s="2054" t="s">
        <v>764</v>
      </c>
      <c r="D16" s="2053" t="s">
        <v>748</v>
      </c>
      <c r="E16" s="2057" t="s">
        <v>759</v>
      </c>
      <c r="F16" s="2057" t="s">
        <v>759</v>
      </c>
      <c r="H16" s="2022"/>
      <c r="I16" s="1630">
        <v>2</v>
      </c>
      <c r="J16" s="2064" t="s">
        <v>765</v>
      </c>
      <c r="K16" s="2063" t="s">
        <v>687</v>
      </c>
      <c r="L16" s="2069"/>
      <c r="M16" s="1677"/>
      <c r="N16" s="544" t="s">
        <v>761</v>
      </c>
      <c r="O16" s="1526" t="s">
        <v>766</v>
      </c>
      <c r="P16" s="544" t="s">
        <v>761</v>
      </c>
      <c r="AK16" s="1632">
        <v>34</v>
      </c>
    </row>
    <row s="1643" customFormat="1" customHeight="1" ht="17.25" hidden="1">
      <c r="A17" s="1168"/>
      <c r="B17" s="1168"/>
      <c r="C17" s="1168"/>
      <c r="D17" s="1168"/>
      <c r="E17" s="1168"/>
      <c r="H17" s="1325"/>
      <c r="I17" s="1014" t="s">
        <v>767</v>
      </c>
      <c r="J17" s="992"/>
      <c r="K17" s="1014"/>
      <c r="L17" s="993"/>
      <c r="M17" s="993"/>
      <c r="O17" s="1386"/>
      <c r="AK17" s="1637">
        <v>1</v>
      </c>
    </row>
    <row s="1367" customFormat="1" customHeight="1" ht="24">
      <c r="A18" s="988"/>
      <c r="B18" s="988"/>
      <c r="C18" s="988"/>
      <c r="D18" s="988"/>
      <c r="E18" s="988"/>
      <c r="G18" s="1637"/>
      <c r="H18" s="1634"/>
      <c r="I18" s="571"/>
      <c r="J18" s="572" t="s">
        <v>717</v>
      </c>
      <c r="K18" s="573"/>
      <c r="L18" s="2071"/>
      <c r="M18" s="574"/>
      <c r="N18" s="544"/>
      <c r="O18" s="1526" t="s">
        <v>718</v>
      </c>
      <c r="P18" s="544"/>
      <c r="Q18" s="1637"/>
      <c r="R18" s="1637"/>
      <c r="W18" s="1637"/>
      <c r="Z18" s="545"/>
      <c r="AF18" s="1633"/>
      <c r="AG18" s="1633"/>
      <c r="AH18" s="1633"/>
      <c r="AI18" s="1633"/>
      <c r="AJ18" s="1633"/>
      <c r="AK18" s="1367">
        <v>23</v>
      </c>
    </row>
    <row customHeight="1" ht="19.95">
      <c r="A19" s="2055"/>
      <c r="B19" s="2054" t="s">
        <v>768</v>
      </c>
      <c r="C19" s="2054" t="s">
        <v>769</v>
      </c>
      <c r="D19" s="2053" t="s">
        <v>748</v>
      </c>
      <c r="E19" s="2057" t="s">
        <v>759</v>
      </c>
      <c r="F19" s="2057" t="s">
        <v>759</v>
      </c>
      <c r="H19" s="2022"/>
      <c r="I19" s="1665">
        <v>3</v>
      </c>
      <c r="J19" s="2023" t="s">
        <v>769</v>
      </c>
      <c r="K19" s="2019" t="s">
        <v>687</v>
      </c>
      <c r="L19" s="728"/>
      <c r="M19" s="558"/>
      <c r="N19" s="544"/>
      <c r="O19" s="1526" t="s">
        <v>770</v>
      </c>
      <c r="P19" s="544"/>
      <c r="AK19" s="1632">
        <v>19</v>
      </c>
    </row>
    <row customHeight="1" ht="77.7">
      <c r="A20" s="2055"/>
      <c r="B20" s="2054" t="s">
        <v>771</v>
      </c>
      <c r="C20" s="2054" t="s">
        <v>772</v>
      </c>
      <c r="D20" s="2053" t="s">
        <v>748</v>
      </c>
      <c r="E20" s="2057" t="s">
        <v>759</v>
      </c>
      <c r="F20" s="2057" t="s">
        <v>759</v>
      </c>
      <c r="H20" s="2022"/>
      <c r="I20" s="1665">
        <v>4</v>
      </c>
      <c r="J20" s="2023" t="s">
        <v>773</v>
      </c>
      <c r="K20" s="2019" t="s">
        <v>714</v>
      </c>
      <c r="L20" s="728"/>
      <c r="M20" s="558"/>
      <c r="N20" s="544"/>
      <c r="O20" s="1526"/>
      <c r="P20" s="544"/>
      <c r="AK20" s="1632">
        <v>74</v>
      </c>
    </row>
    <row customHeight="1" ht="35.699999999999996">
      <c r="A21" s="2055"/>
      <c r="B21" s="2054" t="s">
        <v>774</v>
      </c>
      <c r="C21" s="2054" t="s">
        <v>775</v>
      </c>
      <c r="D21" s="2053" t="s">
        <v>748</v>
      </c>
      <c r="E21" s="2057" t="s">
        <v>759</v>
      </c>
      <c r="F21" s="2057" t="s">
        <v>759</v>
      </c>
      <c r="H21" s="2022"/>
      <c r="I21" s="1665">
        <v>5</v>
      </c>
      <c r="J21" s="2023" t="s">
        <v>776</v>
      </c>
      <c r="K21" s="2019" t="s">
        <v>714</v>
      </c>
      <c r="L21" s="728"/>
      <c r="M21" s="558"/>
      <c r="N21" s="544"/>
      <c r="O21" s="1526" t="s">
        <v>770</v>
      </c>
      <c r="P21" s="544"/>
      <c r="AK21" s="1632">
        <v>34</v>
      </c>
    </row>
    <row customHeight="1" ht="48.29999999999999">
      <c r="A22" s="2055"/>
      <c r="B22" s="2054" t="s">
        <v>777</v>
      </c>
      <c r="C22" s="2054" t="s">
        <v>778</v>
      </c>
      <c r="D22" s="2053" t="s">
        <v>748</v>
      </c>
      <c r="E22" s="2057" t="s">
        <v>759</v>
      </c>
      <c r="F22" s="2057" t="s">
        <v>759</v>
      </c>
      <c r="H22" s="2022"/>
      <c r="I22" s="1665">
        <v>6</v>
      </c>
      <c r="J22" s="2023" t="s">
        <v>779</v>
      </c>
      <c r="K22" s="2019" t="s">
        <v>714</v>
      </c>
      <c r="L22" s="728"/>
      <c r="M22" s="558"/>
      <c r="N22" s="544"/>
      <c r="O22" s="1526" t="s">
        <v>780</v>
      </c>
      <c r="P22" s="544"/>
      <c r="AK22" s="1632">
        <v>46</v>
      </c>
    </row>
    <row customHeight="1" ht="19.95">
      <c r="A23" s="2055"/>
      <c r="B23" s="2054" t="s">
        <v>781</v>
      </c>
      <c r="C23" s="2054" t="s">
        <v>782</v>
      </c>
      <c r="D23" s="2053" t="s">
        <v>748</v>
      </c>
      <c r="E23" s="2057" t="s">
        <v>759</v>
      </c>
      <c r="F23" s="2057" t="s">
        <v>759</v>
      </c>
      <c r="H23" s="2022"/>
      <c r="I23" s="1665" t="s">
        <v>783</v>
      </c>
      <c r="J23" s="1525" t="s">
        <v>784</v>
      </c>
      <c r="K23" s="2019" t="s">
        <v>714</v>
      </c>
      <c r="L23" s="728"/>
      <c r="M23" s="558"/>
      <c r="N23" s="544"/>
      <c r="O23" s="1526" t="s">
        <v>770</v>
      </c>
      <c r="P23" s="544"/>
      <c r="AK23" s="1632">
        <v>19</v>
      </c>
    </row>
    <row customHeight="1" ht="19.95">
      <c r="A24" s="2055"/>
      <c r="B24" s="2054" t="s">
        <v>785</v>
      </c>
      <c r="C24" s="2054" t="s">
        <v>786</v>
      </c>
      <c r="D24" s="2053" t="s">
        <v>748</v>
      </c>
      <c r="E24" s="2057" t="s">
        <v>759</v>
      </c>
      <c r="F24" s="2057" t="s">
        <v>759</v>
      </c>
      <c r="H24" s="2022"/>
      <c r="I24" s="1665" t="s">
        <v>787</v>
      </c>
      <c r="J24" s="1525" t="s">
        <v>788</v>
      </c>
      <c r="K24" s="2019" t="s">
        <v>714</v>
      </c>
      <c r="L24" s="728"/>
      <c r="M24" s="558"/>
      <c r="N24" s="544"/>
      <c r="O24" s="1526"/>
      <c r="P24" s="544"/>
      <c r="AK24" s="1632">
        <v>19</v>
      </c>
    </row>
    <row customHeight="1" ht="24">
      <c r="A25" s="2055"/>
      <c r="B25" s="2054" t="s">
        <v>789</v>
      </c>
      <c r="C25" s="2054" t="s">
        <v>790</v>
      </c>
      <c r="D25" s="2053" t="s">
        <v>748</v>
      </c>
      <c r="E25" s="2057" t="s">
        <v>759</v>
      </c>
      <c r="F25" s="2057" t="s">
        <v>759</v>
      </c>
      <c r="H25" s="2022"/>
      <c r="I25" s="1665" t="s">
        <v>791</v>
      </c>
      <c r="J25" s="1525" t="s">
        <v>792</v>
      </c>
      <c r="K25" s="2019" t="s">
        <v>714</v>
      </c>
      <c r="L25" s="728"/>
      <c r="M25" s="558"/>
      <c r="N25" s="544"/>
      <c r="O25" s="1526"/>
      <c r="P25" s="544"/>
      <c r="AK25" s="1632">
        <v>23</v>
      </c>
    </row>
    <row customHeight="1" ht="24">
      <c r="A26" s="2055"/>
      <c r="B26" s="2054" t="s">
        <v>793</v>
      </c>
      <c r="C26" s="2054" t="s">
        <v>794</v>
      </c>
      <c r="D26" s="2053" t="s">
        <v>748</v>
      </c>
      <c r="E26" s="2057" t="s">
        <v>759</v>
      </c>
      <c r="F26" s="2057" t="s">
        <v>759</v>
      </c>
      <c r="H26" s="2022"/>
      <c r="I26" s="1665">
        <v>7</v>
      </c>
      <c r="J26" s="2023" t="s">
        <v>794</v>
      </c>
      <c r="K26" s="2019" t="s">
        <v>795</v>
      </c>
      <c r="L26" s="728"/>
      <c r="M26" s="558"/>
      <c r="N26" s="544"/>
      <c r="O26" s="1526"/>
      <c r="P26" s="544"/>
      <c r="AK26" s="1632">
        <v>23</v>
      </c>
    </row>
    <row customHeight="1" ht="24">
      <c r="A27" s="2055"/>
      <c r="B27" s="2054" t="s">
        <v>796</v>
      </c>
      <c r="C27" s="2054" t="s">
        <v>797</v>
      </c>
      <c r="D27" s="2053" t="s">
        <v>748</v>
      </c>
      <c r="E27" s="2057" t="s">
        <v>759</v>
      </c>
      <c r="F27" s="2057" t="s">
        <v>759</v>
      </c>
      <c r="H27" s="2022"/>
      <c r="I27" s="1665">
        <v>8</v>
      </c>
      <c r="J27" s="2023" t="s">
        <v>797</v>
      </c>
      <c r="K27" s="2019" t="s">
        <v>720</v>
      </c>
      <c r="L27" s="728"/>
      <c r="M27" s="558"/>
      <c r="N27" s="544"/>
      <c r="O27" s="1526"/>
      <c r="P27" s="544"/>
      <c r="AK27" s="1632">
        <v>23</v>
      </c>
    </row>
    <row customHeight="1" ht="35.699999999999996">
      <c r="A28" s="2055"/>
      <c r="B28" s="2054" t="s">
        <v>798</v>
      </c>
      <c r="C28" s="2054" t="s">
        <v>799</v>
      </c>
      <c r="D28" s="2053" t="s">
        <v>748</v>
      </c>
      <c r="E28" s="2057" t="s">
        <v>759</v>
      </c>
      <c r="F28" s="2057" t="s">
        <v>759</v>
      </c>
      <c r="H28" s="2022"/>
      <c r="I28" s="1676">
        <v>9</v>
      </c>
      <c r="J28" s="2023" t="s">
        <v>800</v>
      </c>
      <c r="K28" s="2019" t="s">
        <v>691</v>
      </c>
      <c r="L28" s="728"/>
      <c r="M28" s="558"/>
      <c r="N28" s="544"/>
      <c r="O28" s="1526"/>
      <c r="P28" s="544"/>
      <c r="AK28" s="1632">
        <v>34</v>
      </c>
    </row>
    <row customHeight="1" ht="35.699999999999996">
      <c r="A29" s="2055"/>
      <c r="B29" s="2054" t="s">
        <v>801</v>
      </c>
      <c r="C29" s="2054" t="s">
        <v>802</v>
      </c>
      <c r="D29" s="2053" t="s">
        <v>748</v>
      </c>
      <c r="E29" s="2057" t="s">
        <v>759</v>
      </c>
      <c r="F29" s="2057" t="s">
        <v>759</v>
      </c>
      <c r="H29" s="2022"/>
      <c r="I29" s="1676">
        <v>10</v>
      </c>
      <c r="J29" s="2023" t="s">
        <v>803</v>
      </c>
      <c r="K29" s="2019" t="s">
        <v>691</v>
      </c>
      <c r="L29" s="728"/>
      <c r="M29" s="558"/>
      <c r="N29" s="544"/>
      <c r="O29" s="1526"/>
      <c r="P29" s="544"/>
      <c r="AK29" s="1632">
        <v>34</v>
      </c>
    </row>
    <row customHeight="1" ht="24">
      <c r="A30" s="2055"/>
      <c r="B30" s="2054" t="s">
        <v>804</v>
      </c>
      <c r="C30" s="2054" t="s">
        <v>805</v>
      </c>
      <c r="D30" s="2053" t="s">
        <v>748</v>
      </c>
      <c r="E30" s="2057" t="s">
        <v>759</v>
      </c>
      <c r="F30" s="2057" t="s">
        <v>759</v>
      </c>
      <c r="H30" s="2022"/>
      <c r="I30" s="1676">
        <v>11</v>
      </c>
      <c r="J30" s="2023" t="s">
        <v>805</v>
      </c>
      <c r="K30" s="2019" t="s">
        <v>721</v>
      </c>
      <c r="L30" s="2070"/>
      <c r="M30" s="1622"/>
      <c r="N30" s="544"/>
      <c r="O30" s="1526"/>
      <c r="P30" s="544"/>
      <c r="AK30" s="1632">
        <v>23</v>
      </c>
    </row>
    <row customHeight="1" ht="24">
      <c r="A31" s="2055"/>
      <c r="B31" s="2054" t="s">
        <v>806</v>
      </c>
      <c r="C31" s="2054" t="s">
        <v>807</v>
      </c>
      <c r="D31" s="2053" t="s">
        <v>748</v>
      </c>
      <c r="E31" s="2057" t="s">
        <v>759</v>
      </c>
      <c r="F31" s="2057" t="s">
        <v>759</v>
      </c>
      <c r="H31" s="2022"/>
      <c r="I31" s="1676">
        <v>12</v>
      </c>
      <c r="J31" s="2023" t="s">
        <v>807</v>
      </c>
      <c r="K31" s="2019" t="s">
        <v>721</v>
      </c>
      <c r="L31" s="2070"/>
      <c r="M31" s="1622"/>
      <c r="N31" s="544"/>
      <c r="O31" s="1526"/>
      <c r="P31" s="544"/>
      <c r="AK31" s="1632">
        <v>23</v>
      </c>
    </row>
    <row customHeight="1" ht="48.29999999999999">
      <c r="A32" s="2055"/>
      <c r="B32" s="2054" t="s">
        <v>808</v>
      </c>
      <c r="C32" s="2054" t="s">
        <v>809</v>
      </c>
      <c r="D32" s="2053" t="s">
        <v>748</v>
      </c>
      <c r="E32" s="2057" t="s">
        <v>759</v>
      </c>
      <c r="F32" s="2057" t="s">
        <v>759</v>
      </c>
      <c r="H32" s="2022"/>
      <c r="I32" s="1676">
        <v>13</v>
      </c>
      <c r="J32" s="2023" t="s">
        <v>810</v>
      </c>
      <c r="K32" s="2019" t="s">
        <v>731</v>
      </c>
      <c r="L32" s="728"/>
      <c r="M32" s="558"/>
      <c r="N32" s="544"/>
      <c r="O32" s="1526" t="s">
        <v>770</v>
      </c>
      <c r="P32" s="544"/>
      <c r="AK32" s="1632">
        <v>46</v>
      </c>
    </row>
    <row s="1367" customFormat="1" customHeight="1" ht="48.29999999999999">
      <c r="A33" s="2055"/>
      <c r="B33" s="2054" t="s">
        <v>811</v>
      </c>
      <c r="C33" s="2054" t="s">
        <v>812</v>
      </c>
      <c r="D33" s="2053" t="s">
        <v>748</v>
      </c>
      <c r="E33" s="2057" t="s">
        <v>759</v>
      </c>
      <c r="F33" s="2057" t="s">
        <v>759</v>
      </c>
      <c r="G33" s="1637"/>
      <c r="H33" s="2022"/>
      <c r="I33" s="1676">
        <v>14</v>
      </c>
      <c r="J33" s="2035" t="s">
        <v>813</v>
      </c>
      <c r="K33" s="2024" t="s">
        <v>814</v>
      </c>
      <c r="L33" s="728"/>
      <c r="M33" s="558"/>
      <c r="N33" s="544"/>
      <c r="O33" s="1526" t="s">
        <v>770</v>
      </c>
      <c r="P33" s="544"/>
      <c r="Q33" s="1637"/>
      <c r="R33" s="1637"/>
      <c r="W33" s="1637"/>
      <c r="Z33" s="545"/>
      <c r="AF33" s="1633"/>
      <c r="AG33" s="1633"/>
      <c r="AH33" s="1633"/>
      <c r="AI33" s="1633"/>
      <c r="AJ33" s="1633"/>
      <c r="AK33" s="1367">
        <v>46</v>
      </c>
    </row>
    <row customHeight="1" ht="108">
      <c r="A34" s="2055"/>
      <c r="B34" s="2054" t="s">
        <v>815</v>
      </c>
      <c r="C34" s="2054" t="s">
        <v>816</v>
      </c>
      <c r="D34" s="2053" t="s">
        <v>758</v>
      </c>
      <c r="E34" s="2057" t="s">
        <v>759</v>
      </c>
      <c r="F34" s="2057" t="s">
        <v>759</v>
      </c>
      <c r="G34" s="1637" t="s">
        <v>719</v>
      </c>
      <c r="H34" s="2022"/>
      <c r="I34" s="2033">
        <v>15</v>
      </c>
      <c r="J34" s="2034" t="s">
        <v>817</v>
      </c>
      <c r="K34" s="2019" t="s">
        <v>436</v>
      </c>
      <c r="L34" s="386"/>
      <c r="M34" s="1165"/>
      <c r="N34" s="544"/>
      <c r="O34" s="1526" t="s">
        <v>762</v>
      </c>
      <c r="P34" s="544"/>
      <c r="AK34" s="1632">
        <v>103</v>
      </c>
    </row>
    <row s="1642" customFormat="1" customHeight="1" ht="11.549999999999999">
      <c r="A35" s="988"/>
      <c r="B35" s="988"/>
      <c r="C35" s="988"/>
      <c r="D35" s="988"/>
      <c r="E35" s="988"/>
      <c r="F35" s="1637"/>
      <c r="G35" s="1637"/>
      <c r="H35" s="352"/>
      <c r="N35" s="1367"/>
      <c r="P35" s="1367"/>
      <c r="Q35" s="1637"/>
      <c r="R35" s="1637"/>
      <c r="S35" s="1367"/>
      <c r="T35" s="1367"/>
      <c r="U35" s="1367"/>
      <c r="V35" s="1367"/>
      <c r="W35" s="1637"/>
      <c r="X35" s="1367"/>
      <c r="Y35" s="1367"/>
      <c r="Z35" s="545"/>
      <c r="AA35" s="1367"/>
      <c r="AB35" s="1367"/>
      <c r="AC35" s="1367"/>
      <c r="AD35" s="1367"/>
      <c r="AE35" s="1367"/>
      <c r="AF35" s="1633"/>
      <c r="AG35" s="623"/>
      <c r="AH35" s="623"/>
      <c r="AI35" s="623"/>
      <c r="AJ35" s="623"/>
      <c r="AK35" s="1642">
        <v>11</v>
      </c>
    </row>
    <row s="1642" customFormat="1" customHeight="1" ht="11.549999999999999">
      <c r="A36" s="988"/>
      <c r="B36" s="988"/>
      <c r="C36" s="988"/>
      <c r="D36" s="988"/>
      <c r="E36" s="988"/>
      <c r="F36" s="1637"/>
      <c r="G36" s="1637"/>
      <c r="H36" s="352"/>
      <c r="N36" s="1367"/>
      <c r="P36" s="1367"/>
      <c r="Q36" s="1637"/>
      <c r="R36" s="1637"/>
      <c r="S36" s="1367"/>
      <c r="T36" s="1367"/>
      <c r="U36" s="1367"/>
      <c r="V36" s="1367"/>
      <c r="W36" s="1637"/>
      <c r="X36" s="1367"/>
      <c r="Y36" s="1367"/>
      <c r="Z36" s="545"/>
      <c r="AA36" s="1367"/>
      <c r="AB36" s="1367"/>
      <c r="AC36" s="1367"/>
      <c r="AD36" s="1367"/>
      <c r="AE36" s="1367"/>
      <c r="AF36" s="1633"/>
      <c r="AG36" s="623"/>
      <c r="AH36" s="623"/>
      <c r="AI36" s="623"/>
      <c r="AJ36" s="623"/>
      <c r="AK36" s="1642">
        <v>11</v>
      </c>
    </row>
    <row s="1642" customFormat="1" customHeight="1" ht="11.549999999999999">
      <c r="A37" s="988"/>
      <c r="B37" s="988"/>
      <c r="C37" s="988"/>
      <c r="D37" s="988"/>
      <c r="E37" s="988"/>
      <c r="F37" s="1637"/>
      <c r="G37" s="1637"/>
      <c r="H37" s="352"/>
      <c r="L37" s="623"/>
      <c r="M37" s="623"/>
      <c r="N37" s="1367"/>
      <c r="P37" s="1367"/>
      <c r="Q37" s="1637"/>
      <c r="R37" s="1637"/>
      <c r="S37" s="1367"/>
      <c r="T37" s="1367"/>
      <c r="U37" s="1367"/>
      <c r="V37" s="1367"/>
      <c r="W37" s="1637"/>
      <c r="X37" s="1367"/>
      <c r="Y37" s="1367"/>
      <c r="Z37" s="545"/>
      <c r="AA37" s="1367"/>
      <c r="AB37" s="1367"/>
      <c r="AC37" s="1367"/>
      <c r="AD37" s="1367"/>
      <c r="AE37" s="1367"/>
      <c r="AF37" s="1633"/>
      <c r="AG37" s="623"/>
      <c r="AH37" s="623"/>
      <c r="AI37" s="623"/>
      <c r="AJ37" s="623"/>
      <c r="AK37" s="1642">
        <v>11</v>
      </c>
    </row>
    <row s="1642" customFormat="1" customHeight="1" ht="11.549999999999999">
      <c r="A38" s="988"/>
      <c r="B38" s="988"/>
      <c r="C38" s="988"/>
      <c r="D38" s="988"/>
      <c r="E38" s="988"/>
      <c r="F38" s="1637"/>
      <c r="G38" s="1637"/>
      <c r="H38" s="352"/>
      <c r="N38" s="1367"/>
      <c r="P38" s="1367"/>
      <c r="Q38" s="1637"/>
      <c r="R38" s="1637"/>
      <c r="S38" s="1367"/>
      <c r="T38" s="1367"/>
      <c r="U38" s="1367"/>
      <c r="V38" s="1367"/>
      <c r="W38" s="1637"/>
      <c r="X38" s="1367"/>
      <c r="Y38" s="1367"/>
      <c r="Z38" s="545"/>
      <c r="AA38" s="1367"/>
      <c r="AB38" s="1367"/>
      <c r="AC38" s="1367"/>
      <c r="AD38" s="1367"/>
      <c r="AE38" s="1367"/>
      <c r="AF38" s="1633"/>
      <c r="AG38" s="623"/>
      <c r="AH38" s="623"/>
      <c r="AI38" s="623"/>
      <c r="AJ38" s="623"/>
      <c r="AK38" s="1642">
        <v>11</v>
      </c>
    </row>
    <row s="1642" customFormat="1" customHeight="1" ht="11.549999999999999">
      <c r="A39" s="988"/>
      <c r="B39" s="988"/>
      <c r="C39" s="988"/>
      <c r="D39" s="988"/>
      <c r="E39" s="988"/>
      <c r="F39" s="1637"/>
      <c r="G39" s="1637"/>
      <c r="H39" s="352"/>
      <c r="N39" s="1367"/>
      <c r="P39" s="1367"/>
      <c r="Q39" s="1637"/>
      <c r="R39" s="1637"/>
      <c r="S39" s="1367"/>
      <c r="T39" s="1367"/>
      <c r="U39" s="1367"/>
      <c r="V39" s="1367"/>
      <c r="W39" s="1637"/>
      <c r="X39" s="1367"/>
      <c r="Y39" s="1367"/>
      <c r="Z39" s="545"/>
      <c r="AA39" s="1367"/>
      <c r="AB39" s="1367"/>
      <c r="AC39" s="1367"/>
      <c r="AD39" s="1367"/>
      <c r="AE39" s="1367"/>
      <c r="AF39" s="1633"/>
      <c r="AG39" s="623"/>
      <c r="AH39" s="623"/>
      <c r="AI39" s="623"/>
      <c r="AJ39" s="623"/>
      <c r="AK39" s="1642">
        <v>11</v>
      </c>
    </row>
    <row s="1642" customFormat="1" customHeight="1" ht="11.549999999999999">
      <c r="A40" s="988"/>
      <c r="B40" s="988"/>
      <c r="C40" s="988"/>
      <c r="D40" s="988"/>
      <c r="E40" s="988"/>
      <c r="F40" s="1637"/>
      <c r="G40" s="1637"/>
      <c r="H40" s="352"/>
      <c r="N40" s="1367"/>
      <c r="P40" s="1367"/>
      <c r="Q40" s="1637"/>
      <c r="R40" s="1637"/>
      <c r="S40" s="1367"/>
      <c r="T40" s="1367"/>
      <c r="U40" s="1367"/>
      <c r="V40" s="1367"/>
      <c r="W40" s="1637"/>
      <c r="X40" s="1367"/>
      <c r="Y40" s="1367"/>
      <c r="Z40" s="545"/>
      <c r="AA40" s="1367"/>
      <c r="AB40" s="1367"/>
      <c r="AC40" s="1367"/>
      <c r="AD40" s="1367"/>
      <c r="AE40" s="1367"/>
      <c r="AF40" s="1633"/>
      <c r="AG40" s="623"/>
      <c r="AH40" s="623"/>
      <c r="AI40" s="623"/>
      <c r="AJ40" s="623"/>
      <c r="AK40" s="1642">
        <v>11</v>
      </c>
    </row>
    <row s="1642" customFormat="1" customHeight="1" ht="11.549999999999999">
      <c r="A41" s="988"/>
      <c r="B41" s="988"/>
      <c r="C41" s="988"/>
      <c r="D41" s="988"/>
      <c r="E41" s="988"/>
      <c r="F41" s="1637"/>
      <c r="G41" s="1637"/>
      <c r="H41" s="352"/>
      <c r="N41" s="1367"/>
      <c r="P41" s="1367"/>
      <c r="Q41" s="1637"/>
      <c r="R41" s="1637"/>
      <c r="S41" s="1367"/>
      <c r="T41" s="1367"/>
      <c r="U41" s="1367"/>
      <c r="V41" s="1367"/>
      <c r="W41" s="1637"/>
      <c r="X41" s="1367"/>
      <c r="Y41" s="1367"/>
      <c r="Z41" s="545"/>
      <c r="AA41" s="1367"/>
      <c r="AB41" s="1367"/>
      <c r="AC41" s="1367"/>
      <c r="AD41" s="1367"/>
      <c r="AE41" s="1367"/>
      <c r="AF41" s="1633"/>
      <c r="AG41" s="623"/>
      <c r="AH41" s="623"/>
      <c r="AI41" s="623"/>
      <c r="AJ41" s="623"/>
      <c r="AK41" s="1642">
        <v>11</v>
      </c>
    </row>
    <row s="1642" customFormat="1" customHeight="1" ht="11.549999999999999">
      <c r="A42" s="988"/>
      <c r="B42" s="988"/>
      <c r="C42" s="988"/>
      <c r="D42" s="988"/>
      <c r="E42" s="988"/>
      <c r="F42" s="1637"/>
      <c r="G42" s="1637"/>
      <c r="H42" s="352"/>
      <c r="N42" s="1367"/>
      <c r="P42" s="1367"/>
      <c r="Q42" s="1637"/>
      <c r="R42" s="1637"/>
      <c r="S42" s="1367"/>
      <c r="T42" s="1367"/>
      <c r="U42" s="1367"/>
      <c r="V42" s="1367"/>
      <c r="W42" s="1637"/>
      <c r="X42" s="1367"/>
      <c r="Y42" s="1367"/>
      <c r="Z42" s="545"/>
      <c r="AA42" s="1367"/>
      <c r="AB42" s="1367"/>
      <c r="AC42" s="1367"/>
      <c r="AD42" s="1367"/>
      <c r="AE42" s="1367"/>
      <c r="AF42" s="1633"/>
      <c r="AG42" s="623"/>
      <c r="AH42" s="623"/>
      <c r="AI42" s="623"/>
      <c r="AJ42" s="623"/>
      <c r="AK42" s="1642">
        <v>11</v>
      </c>
    </row>
    <row s="1642" customFormat="1" customHeight="1" ht="11.549999999999999">
      <c r="A43" s="988"/>
      <c r="B43" s="988"/>
      <c r="C43" s="988"/>
      <c r="D43" s="988"/>
      <c r="E43" s="988"/>
      <c r="F43" s="1637"/>
      <c r="G43" s="1637"/>
      <c r="H43" s="352"/>
      <c r="N43" s="1367"/>
      <c r="P43" s="1367"/>
      <c r="Q43" s="1637"/>
      <c r="R43" s="1637"/>
      <c r="S43" s="1367"/>
      <c r="T43" s="1367"/>
      <c r="U43" s="1367"/>
      <c r="V43" s="1367"/>
      <c r="W43" s="1637"/>
      <c r="X43" s="1367"/>
      <c r="Y43" s="1367"/>
      <c r="Z43" s="545"/>
      <c r="AA43" s="1367"/>
      <c r="AB43" s="1367"/>
      <c r="AC43" s="1367"/>
      <c r="AD43" s="1367"/>
      <c r="AE43" s="1367"/>
      <c r="AF43" s="1633"/>
      <c r="AG43" s="623"/>
      <c r="AH43" s="623"/>
      <c r="AI43" s="623"/>
      <c r="AJ43" s="623"/>
      <c r="AK43" s="1642">
        <v>11</v>
      </c>
    </row>
    <row s="1642" customFormat="1" customHeight="1" ht="11.549999999999999">
      <c r="A44" s="988"/>
      <c r="B44" s="988"/>
      <c r="C44" s="988"/>
      <c r="D44" s="988"/>
      <c r="E44" s="988"/>
      <c r="F44" s="1637"/>
      <c r="G44" s="1637"/>
      <c r="H44" s="352"/>
      <c r="N44" s="1367"/>
      <c r="P44" s="1367"/>
      <c r="Q44" s="1637"/>
      <c r="R44" s="1637"/>
      <c r="S44" s="1367"/>
      <c r="T44" s="1367"/>
      <c r="U44" s="1367"/>
      <c r="V44" s="1367"/>
      <c r="W44" s="1637"/>
      <c r="X44" s="1367"/>
      <c r="Y44" s="1367"/>
      <c r="Z44" s="545"/>
      <c r="AA44" s="1367"/>
      <c r="AB44" s="1367"/>
      <c r="AC44" s="1367"/>
      <c r="AD44" s="1367"/>
      <c r="AE44" s="1367"/>
      <c r="AF44" s="1633"/>
      <c r="AG44" s="623"/>
      <c r="AH44" s="623"/>
      <c r="AI44" s="623"/>
      <c r="AJ44" s="623"/>
      <c r="AK44" s="1642">
        <v>11</v>
      </c>
    </row>
    <row s="1642" customFormat="1" customHeight="1" ht="11.549999999999999">
      <c r="A45" s="988"/>
      <c r="B45" s="988"/>
      <c r="C45" s="988"/>
      <c r="D45" s="988"/>
      <c r="E45" s="988"/>
      <c r="F45" s="1637"/>
      <c r="G45" s="1637"/>
      <c r="H45" s="352"/>
      <c r="N45" s="1367"/>
      <c r="P45" s="1367"/>
      <c r="Q45" s="1637"/>
      <c r="R45" s="1637"/>
      <c r="S45" s="1367"/>
      <c r="T45" s="1367"/>
      <c r="U45" s="1367"/>
      <c r="V45" s="1367"/>
      <c r="W45" s="1637"/>
      <c r="X45" s="1367"/>
      <c r="Y45" s="1367"/>
      <c r="Z45" s="545"/>
      <c r="AA45" s="1367"/>
      <c r="AB45" s="1367"/>
      <c r="AC45" s="1367"/>
      <c r="AD45" s="1367"/>
      <c r="AE45" s="1367"/>
      <c r="AF45" s="1633"/>
      <c r="AG45" s="623"/>
      <c r="AH45" s="623"/>
      <c r="AI45" s="623"/>
      <c r="AJ45" s="623"/>
      <c r="AK45" s="1642">
        <v>11</v>
      </c>
    </row>
    <row s="1642" customFormat="1" customHeight="1" ht="11.549999999999999">
      <c r="A46" s="988"/>
      <c r="B46" s="988"/>
      <c r="C46" s="988"/>
      <c r="D46" s="988"/>
      <c r="E46" s="988"/>
      <c r="F46" s="1637"/>
      <c r="G46" s="1637"/>
      <c r="H46" s="352"/>
      <c r="N46" s="1367"/>
      <c r="P46" s="1367"/>
      <c r="Q46" s="1637"/>
      <c r="R46" s="1637"/>
      <c r="S46" s="1367"/>
      <c r="T46" s="1367"/>
      <c r="U46" s="1367"/>
      <c r="V46" s="1367"/>
      <c r="W46" s="1637"/>
      <c r="X46" s="1367"/>
      <c r="Y46" s="1367"/>
      <c r="Z46" s="545"/>
      <c r="AA46" s="1367"/>
      <c r="AB46" s="1367"/>
      <c r="AC46" s="1367"/>
      <c r="AD46" s="1367"/>
      <c r="AE46" s="1367"/>
      <c r="AF46" s="1633"/>
      <c r="AG46" s="623"/>
      <c r="AH46" s="623"/>
      <c r="AI46" s="623"/>
      <c r="AJ46" s="623"/>
      <c r="AK46" s="1642">
        <v>11</v>
      </c>
    </row>
    <row s="1642" customFormat="1" customHeight="1" ht="11.549999999999999">
      <c r="A47" s="988"/>
      <c r="B47" s="988"/>
      <c r="C47" s="988"/>
      <c r="D47" s="988"/>
      <c r="E47" s="988"/>
      <c r="F47" s="1637"/>
      <c r="G47" s="1637"/>
      <c r="H47" s="352"/>
      <c r="N47" s="1367"/>
      <c r="P47" s="1367"/>
      <c r="Q47" s="1637"/>
      <c r="R47" s="1637"/>
      <c r="S47" s="1367"/>
      <c r="T47" s="1367"/>
      <c r="U47" s="1367"/>
      <c r="V47" s="1367"/>
      <c r="W47" s="1637"/>
      <c r="X47" s="1367"/>
      <c r="Y47" s="1367"/>
      <c r="Z47" s="545"/>
      <c r="AA47" s="1367"/>
      <c r="AB47" s="1367"/>
      <c r="AC47" s="1367"/>
      <c r="AD47" s="1367"/>
      <c r="AE47" s="1367"/>
      <c r="AF47" s="1633"/>
      <c r="AG47" s="623"/>
      <c r="AH47" s="623"/>
      <c r="AI47" s="623"/>
      <c r="AJ47" s="623"/>
      <c r="AK47" s="1642">
        <v>11</v>
      </c>
    </row>
    <row s="1642" customFormat="1" customHeight="1" ht="11.549999999999999">
      <c r="A48" s="988"/>
      <c r="B48" s="988"/>
      <c r="C48" s="988"/>
      <c r="D48" s="988"/>
      <c r="E48" s="988"/>
      <c r="F48" s="1637"/>
      <c r="G48" s="1637"/>
      <c r="H48" s="352"/>
      <c r="N48" s="1367"/>
      <c r="P48" s="1367"/>
      <c r="Q48" s="1637"/>
      <c r="R48" s="1637"/>
      <c r="S48" s="1367"/>
      <c r="T48" s="1367"/>
      <c r="U48" s="1367"/>
      <c r="V48" s="1367"/>
      <c r="W48" s="1637"/>
      <c r="X48" s="1367"/>
      <c r="Y48" s="1367"/>
      <c r="Z48" s="545"/>
      <c r="AA48" s="1367"/>
      <c r="AB48" s="1367"/>
      <c r="AC48" s="1367"/>
      <c r="AD48" s="1367"/>
      <c r="AE48" s="1367"/>
      <c r="AF48" s="1633"/>
      <c r="AG48" s="623"/>
      <c r="AH48" s="623"/>
      <c r="AI48" s="623"/>
      <c r="AJ48" s="623"/>
      <c r="AK48" s="1642">
        <v>11</v>
      </c>
    </row>
    <row s="1642" customFormat="1" customHeight="1" ht="11.549999999999999">
      <c r="A49" s="988"/>
      <c r="B49" s="988"/>
      <c r="C49" s="988"/>
      <c r="D49" s="988"/>
      <c r="E49" s="988"/>
      <c r="F49" s="1637"/>
      <c r="G49" s="1637"/>
      <c r="H49" s="352"/>
      <c r="N49" s="1367"/>
      <c r="P49" s="1367"/>
      <c r="Q49" s="1637"/>
      <c r="R49" s="1637"/>
      <c r="S49" s="1367"/>
      <c r="T49" s="1367"/>
      <c r="U49" s="1367"/>
      <c r="V49" s="1367"/>
      <c r="W49" s="1637"/>
      <c r="X49" s="1367"/>
      <c r="Y49" s="1367"/>
      <c r="Z49" s="545"/>
      <c r="AA49" s="1367"/>
      <c r="AB49" s="1367"/>
      <c r="AC49" s="1367"/>
      <c r="AD49" s="1367"/>
      <c r="AE49" s="1367"/>
      <c r="AF49" s="1633"/>
      <c r="AG49" s="623"/>
      <c r="AH49" s="623"/>
      <c r="AI49" s="623"/>
      <c r="AJ49" s="623"/>
      <c r="AK49" s="1642">
        <v>11</v>
      </c>
    </row>
    <row s="1642" customFormat="1" customHeight="1" ht="11.549999999999999">
      <c r="A50" s="988"/>
      <c r="B50" s="988"/>
      <c r="C50" s="988"/>
      <c r="D50" s="988"/>
      <c r="E50" s="988"/>
      <c r="F50" s="1637"/>
      <c r="G50" s="1637"/>
      <c r="H50" s="352"/>
      <c r="N50" s="1367"/>
      <c r="P50" s="1367"/>
      <c r="Q50" s="1637"/>
      <c r="R50" s="1637"/>
      <c r="S50" s="1367"/>
      <c r="T50" s="1367"/>
      <c r="U50" s="1367"/>
      <c r="V50" s="1367"/>
      <c r="W50" s="1637"/>
      <c r="X50" s="1367"/>
      <c r="Y50" s="1367"/>
      <c r="Z50" s="545"/>
      <c r="AA50" s="1367"/>
      <c r="AB50" s="1367"/>
      <c r="AC50" s="1367"/>
      <c r="AD50" s="1367"/>
      <c r="AE50" s="1367"/>
      <c r="AF50" s="1633"/>
      <c r="AG50" s="623"/>
      <c r="AH50" s="623"/>
      <c r="AI50" s="623"/>
      <c r="AJ50" s="623"/>
      <c r="AK50" s="1642">
        <v>11</v>
      </c>
    </row>
    <row s="1642" customFormat="1" customHeight="1" ht="11.549999999999999">
      <c r="A51" s="988"/>
      <c r="B51" s="988"/>
      <c r="C51" s="988"/>
      <c r="D51" s="988"/>
      <c r="E51" s="988"/>
      <c r="F51" s="1637"/>
      <c r="G51" s="1637"/>
      <c r="H51" s="352"/>
      <c r="N51" s="1367"/>
      <c r="P51" s="1367"/>
      <c r="Q51" s="1637"/>
      <c r="R51" s="1637"/>
      <c r="S51" s="1367"/>
      <c r="T51" s="1367"/>
      <c r="U51" s="1367"/>
      <c r="V51" s="1367"/>
      <c r="W51" s="1637"/>
      <c r="X51" s="1367"/>
      <c r="Y51" s="1367"/>
      <c r="Z51" s="545"/>
      <c r="AA51" s="1367"/>
      <c r="AB51" s="1367"/>
      <c r="AC51" s="1367"/>
      <c r="AD51" s="1367"/>
      <c r="AE51" s="1367"/>
      <c r="AF51" s="1633"/>
      <c r="AG51" s="623"/>
      <c r="AH51" s="623"/>
      <c r="AI51" s="623"/>
      <c r="AJ51" s="623"/>
      <c r="AK51" s="1642">
        <v>11</v>
      </c>
    </row>
    <row s="1642" customFormat="1" customHeight="1" ht="11.549999999999999">
      <c r="A52" s="988"/>
      <c r="B52" s="988"/>
      <c r="C52" s="988"/>
      <c r="D52" s="988"/>
      <c r="E52" s="988"/>
      <c r="F52" s="1637"/>
      <c r="G52" s="1637"/>
      <c r="H52" s="352"/>
      <c r="N52" s="1367"/>
      <c r="P52" s="1367"/>
      <c r="Q52" s="1637"/>
      <c r="R52" s="1637"/>
      <c r="S52" s="1367"/>
      <c r="T52" s="1367"/>
      <c r="U52" s="1367"/>
      <c r="V52" s="1367"/>
      <c r="W52" s="1637"/>
      <c r="X52" s="1367"/>
      <c r="Y52" s="1367"/>
      <c r="Z52" s="545"/>
      <c r="AA52" s="1367"/>
      <c r="AB52" s="1367"/>
      <c r="AC52" s="1367"/>
      <c r="AD52" s="1367"/>
      <c r="AE52" s="1367"/>
      <c r="AF52" s="1633"/>
      <c r="AG52" s="623"/>
      <c r="AH52" s="623"/>
      <c r="AI52" s="623"/>
      <c r="AJ52" s="623"/>
      <c r="AK52" s="1642">
        <v>11</v>
      </c>
    </row>
    <row s="1642" customFormat="1" customHeight="1" ht="11.549999999999999">
      <c r="A53" s="988"/>
      <c r="B53" s="988"/>
      <c r="C53" s="988"/>
      <c r="D53" s="988"/>
      <c r="E53" s="988"/>
      <c r="F53" s="1637"/>
      <c r="G53" s="1637"/>
      <c r="H53" s="352"/>
      <c r="N53" s="1367"/>
      <c r="P53" s="1367"/>
      <c r="Q53" s="1637"/>
      <c r="R53" s="1637"/>
      <c r="S53" s="1367"/>
      <c r="T53" s="1367"/>
      <c r="U53" s="1367"/>
      <c r="V53" s="1367"/>
      <c r="W53" s="1637"/>
      <c r="X53" s="1367"/>
      <c r="Y53" s="1367"/>
      <c r="Z53" s="545"/>
      <c r="AA53" s="1367"/>
      <c r="AB53" s="1367"/>
      <c r="AC53" s="1367"/>
      <c r="AD53" s="1367"/>
      <c r="AE53" s="1367"/>
      <c r="AF53" s="1633"/>
      <c r="AG53" s="623"/>
      <c r="AH53" s="623"/>
      <c r="AI53" s="623"/>
      <c r="AJ53" s="623"/>
      <c r="AK53" s="1642">
        <v>11</v>
      </c>
    </row>
    <row s="1642" customFormat="1" customHeight="1" ht="11.549999999999999">
      <c r="A54" s="988"/>
      <c r="B54" s="988"/>
      <c r="C54" s="988"/>
      <c r="D54" s="988"/>
      <c r="E54" s="988"/>
      <c r="F54" s="1637"/>
      <c r="G54" s="1637"/>
      <c r="H54" s="352"/>
      <c r="N54" s="1367"/>
      <c r="P54" s="1367"/>
      <c r="Q54" s="1637"/>
      <c r="R54" s="1637"/>
      <c r="S54" s="1367"/>
      <c r="T54" s="1367"/>
      <c r="U54" s="1367"/>
      <c r="V54" s="1367"/>
      <c r="W54" s="1637"/>
      <c r="X54" s="1367"/>
      <c r="Y54" s="1367"/>
      <c r="Z54" s="545"/>
      <c r="AA54" s="1367"/>
      <c r="AB54" s="1367"/>
      <c r="AC54" s="1367"/>
      <c r="AD54" s="1367"/>
      <c r="AE54" s="1367"/>
      <c r="AF54" s="1633"/>
      <c r="AG54" s="623"/>
      <c r="AH54" s="623"/>
      <c r="AI54" s="623"/>
      <c r="AJ54" s="623"/>
      <c r="AK54" s="1642">
        <v>11</v>
      </c>
    </row>
    <row s="1642" customFormat="1" customHeight="1" ht="11.549999999999999">
      <c r="A55" s="988"/>
      <c r="B55" s="988"/>
      <c r="C55" s="988"/>
      <c r="D55" s="988"/>
      <c r="E55" s="988"/>
      <c r="F55" s="1637"/>
      <c r="G55" s="1637"/>
      <c r="H55" s="352"/>
      <c r="N55" s="1367"/>
      <c r="P55" s="1367"/>
      <c r="Q55" s="1637"/>
      <c r="R55" s="1637"/>
      <c r="S55" s="1367"/>
      <c r="T55" s="1367"/>
      <c r="U55" s="1367"/>
      <c r="V55" s="1367"/>
      <c r="W55" s="1637"/>
      <c r="X55" s="1367"/>
      <c r="Y55" s="1367"/>
      <c r="Z55" s="545"/>
      <c r="AA55" s="1367"/>
      <c r="AB55" s="1367"/>
      <c r="AC55" s="1367"/>
      <c r="AD55" s="1367"/>
      <c r="AE55" s="1367"/>
      <c r="AF55" s="1633"/>
      <c r="AG55" s="623"/>
      <c r="AH55" s="623"/>
      <c r="AI55" s="623"/>
      <c r="AJ55" s="623"/>
      <c r="AK55" s="1642">
        <v>11</v>
      </c>
    </row>
    <row s="1642" customFormat="1" customHeight="1" ht="11.549999999999999">
      <c r="A56" s="988"/>
      <c r="B56" s="988"/>
      <c r="C56" s="988"/>
      <c r="D56" s="988"/>
      <c r="E56" s="988"/>
      <c r="F56" s="1637"/>
      <c r="G56" s="1637"/>
      <c r="H56" s="352"/>
      <c r="N56" s="1367"/>
      <c r="P56" s="1367"/>
      <c r="Q56" s="1637"/>
      <c r="R56" s="1637"/>
      <c r="S56" s="1367"/>
      <c r="T56" s="1367"/>
      <c r="U56" s="1367"/>
      <c r="V56" s="1367"/>
      <c r="W56" s="1637"/>
      <c r="X56" s="1367"/>
      <c r="Y56" s="1367"/>
      <c r="Z56" s="545"/>
      <c r="AA56" s="1367"/>
      <c r="AB56" s="1367"/>
      <c r="AC56" s="1367"/>
      <c r="AD56" s="1367"/>
      <c r="AE56" s="1367"/>
      <c r="AF56" s="1633"/>
      <c r="AG56" s="623"/>
      <c r="AH56" s="623"/>
      <c r="AI56" s="623"/>
      <c r="AJ56" s="623"/>
      <c r="AK56" s="1642">
        <v>11</v>
      </c>
    </row>
    <row s="1642" customFormat="1" customHeight="1" ht="11.549999999999999">
      <c r="A57" s="988"/>
      <c r="B57" s="988"/>
      <c r="C57" s="988"/>
      <c r="D57" s="988"/>
      <c r="E57" s="988"/>
      <c r="F57" s="1637"/>
      <c r="G57" s="1637"/>
      <c r="H57" s="352"/>
      <c r="N57" s="1367"/>
      <c r="P57" s="1367"/>
      <c r="Q57" s="1637"/>
      <c r="R57" s="1637"/>
      <c r="S57" s="1367"/>
      <c r="T57" s="1367"/>
      <c r="U57" s="1367"/>
      <c r="V57" s="1367"/>
      <c r="W57" s="1637"/>
      <c r="X57" s="1367"/>
      <c r="Y57" s="1367"/>
      <c r="Z57" s="545"/>
      <c r="AA57" s="1367"/>
      <c r="AB57" s="1367"/>
      <c r="AC57" s="1367"/>
      <c r="AD57" s="1367"/>
      <c r="AE57" s="1367"/>
      <c r="AF57" s="1633"/>
      <c r="AG57" s="623"/>
      <c r="AH57" s="623"/>
      <c r="AI57" s="623"/>
      <c r="AJ57" s="623"/>
      <c r="AK57" s="1642">
        <v>11</v>
      </c>
    </row>
    <row s="1642" customFormat="1" customHeight="1" ht="11.549999999999999">
      <c r="A58" s="988"/>
      <c r="B58" s="988"/>
      <c r="C58" s="988"/>
      <c r="D58" s="988"/>
      <c r="E58" s="988"/>
      <c r="F58" s="1637"/>
      <c r="G58" s="1637"/>
      <c r="H58" s="352"/>
      <c r="N58" s="1367"/>
      <c r="P58" s="1367"/>
      <c r="Q58" s="1637"/>
      <c r="R58" s="1637"/>
      <c r="S58" s="1367"/>
      <c r="T58" s="1367"/>
      <c r="U58" s="1367"/>
      <c r="V58" s="1367"/>
      <c r="W58" s="1637"/>
      <c r="X58" s="1367"/>
      <c r="Y58" s="1367"/>
      <c r="Z58" s="545"/>
      <c r="AA58" s="1367"/>
      <c r="AB58" s="1367"/>
      <c r="AC58" s="1367"/>
      <c r="AD58" s="1367"/>
      <c r="AE58" s="1367"/>
      <c r="AF58" s="1633"/>
      <c r="AG58" s="623"/>
      <c r="AH58" s="623"/>
      <c r="AI58" s="623"/>
      <c r="AJ58" s="623"/>
      <c r="AK58" s="1642">
        <v>11</v>
      </c>
    </row>
    <row s="1642" customFormat="1" customHeight="1" ht="11.549999999999999">
      <c r="A59" s="988"/>
      <c r="B59" s="988"/>
      <c r="C59" s="988"/>
      <c r="D59" s="988"/>
      <c r="E59" s="988"/>
      <c r="F59" s="1637"/>
      <c r="G59" s="1637"/>
      <c r="H59" s="352"/>
      <c r="N59" s="1367"/>
      <c r="P59" s="1367"/>
      <c r="Q59" s="1637"/>
      <c r="R59" s="1637"/>
      <c r="S59" s="1367"/>
      <c r="T59" s="1367"/>
      <c r="U59" s="1367"/>
      <c r="V59" s="1367"/>
      <c r="W59" s="1637"/>
      <c r="X59" s="1367"/>
      <c r="Y59" s="1367"/>
      <c r="Z59" s="545"/>
      <c r="AA59" s="1367"/>
      <c r="AB59" s="1367"/>
      <c r="AC59" s="1367"/>
      <c r="AD59" s="1367"/>
      <c r="AE59" s="1367"/>
      <c r="AF59" s="1633"/>
      <c r="AG59" s="623"/>
      <c r="AH59" s="623"/>
      <c r="AI59" s="623"/>
      <c r="AJ59" s="623"/>
      <c r="AK59" s="1642">
        <v>11</v>
      </c>
    </row>
    <row s="1642" customFormat="1" customHeight="1" ht="11.549999999999999">
      <c r="A60" s="988"/>
      <c r="B60" s="988"/>
      <c r="C60" s="988"/>
      <c r="D60" s="988"/>
      <c r="E60" s="988"/>
      <c r="F60" s="1637"/>
      <c r="G60" s="1637"/>
      <c r="H60" s="352"/>
      <c r="N60" s="1367"/>
      <c r="P60" s="1367"/>
      <c r="Q60" s="1637"/>
      <c r="R60" s="1637"/>
      <c r="S60" s="1367"/>
      <c r="T60" s="1367"/>
      <c r="U60" s="1367"/>
      <c r="V60" s="1367"/>
      <c r="W60" s="1637"/>
      <c r="X60" s="1367"/>
      <c r="Y60" s="1367"/>
      <c r="Z60" s="545"/>
      <c r="AA60" s="1367"/>
      <c r="AB60" s="1367"/>
      <c r="AC60" s="1367"/>
      <c r="AD60" s="1367"/>
      <c r="AE60" s="1367"/>
      <c r="AF60" s="1633"/>
      <c r="AG60" s="623"/>
      <c r="AH60" s="623"/>
      <c r="AI60" s="623"/>
      <c r="AJ60" s="623"/>
      <c r="AK60" s="1642">
        <v>11</v>
      </c>
    </row>
    <row s="1642" customFormat="1" customHeight="1" ht="11.549999999999999">
      <c r="A61" s="988"/>
      <c r="B61" s="988"/>
      <c r="C61" s="988"/>
      <c r="D61" s="988"/>
      <c r="E61" s="988"/>
      <c r="F61" s="1637"/>
      <c r="G61" s="1637"/>
      <c r="H61" s="352"/>
      <c r="N61" s="1367"/>
      <c r="P61" s="1367"/>
      <c r="Q61" s="1637"/>
      <c r="R61" s="1637"/>
      <c r="S61" s="1367"/>
      <c r="T61" s="1367"/>
      <c r="U61" s="1367"/>
      <c r="V61" s="1367"/>
      <c r="W61" s="1637"/>
      <c r="X61" s="1367"/>
      <c r="Y61" s="1367"/>
      <c r="Z61" s="545"/>
      <c r="AA61" s="1367"/>
      <c r="AB61" s="1367"/>
      <c r="AC61" s="1367"/>
      <c r="AD61" s="1367"/>
      <c r="AE61" s="1367"/>
      <c r="AF61" s="1633"/>
      <c r="AG61" s="623"/>
      <c r="AH61" s="623"/>
      <c r="AI61" s="623"/>
      <c r="AJ61" s="623"/>
      <c r="AK61" s="1642">
        <v>11</v>
      </c>
    </row>
    <row s="1642" customFormat="1" customHeight="1" ht="11.549999999999999">
      <c r="A62" s="988"/>
      <c r="B62" s="988"/>
      <c r="C62" s="988"/>
      <c r="D62" s="988"/>
      <c r="E62" s="988"/>
      <c r="F62" s="1637"/>
      <c r="G62" s="1637"/>
      <c r="H62" s="352"/>
      <c r="N62" s="1367"/>
      <c r="P62" s="1367"/>
      <c r="Q62" s="1637"/>
      <c r="R62" s="1637"/>
      <c r="S62" s="1367"/>
      <c r="T62" s="1367"/>
      <c r="U62" s="1367"/>
      <c r="V62" s="1367"/>
      <c r="W62" s="1637"/>
      <c r="X62" s="1367"/>
      <c r="Y62" s="1367"/>
      <c r="Z62" s="545"/>
      <c r="AA62" s="1367"/>
      <c r="AB62" s="1367"/>
      <c r="AC62" s="1367"/>
      <c r="AD62" s="1367"/>
      <c r="AE62" s="1367"/>
      <c r="AF62" s="1633"/>
      <c r="AG62" s="623"/>
      <c r="AH62" s="623"/>
      <c r="AI62" s="623"/>
      <c r="AJ62" s="623"/>
      <c r="AK62" s="1642">
        <v>11</v>
      </c>
    </row>
    <row s="1642" customFormat="1" customHeight="1" ht="11.549999999999999">
      <c r="A63" s="988"/>
      <c r="B63" s="988"/>
      <c r="C63" s="988"/>
      <c r="D63" s="988"/>
      <c r="E63" s="988"/>
      <c r="F63" s="1637"/>
      <c r="G63" s="1637"/>
      <c r="H63" s="352"/>
      <c r="N63" s="1367"/>
      <c r="P63" s="1367"/>
      <c r="Q63" s="1637"/>
      <c r="R63" s="1637"/>
      <c r="S63" s="1367"/>
      <c r="T63" s="1367"/>
      <c r="U63" s="1367"/>
      <c r="V63" s="1367"/>
      <c r="W63" s="1637"/>
      <c r="X63" s="1367"/>
      <c r="Y63" s="1367"/>
      <c r="Z63" s="545"/>
      <c r="AA63" s="1367"/>
      <c r="AB63" s="1367"/>
      <c r="AC63" s="1367"/>
      <c r="AD63" s="1367"/>
      <c r="AE63" s="1367"/>
      <c r="AF63" s="1633"/>
      <c r="AG63" s="623"/>
      <c r="AH63" s="623"/>
      <c r="AI63" s="623"/>
      <c r="AJ63" s="623"/>
      <c r="AK63" s="1642">
        <v>11</v>
      </c>
    </row>
    <row s="1642" customFormat="1" customHeight="1" ht="11.549999999999999">
      <c r="A64" s="988"/>
      <c r="B64" s="988"/>
      <c r="C64" s="988"/>
      <c r="D64" s="988"/>
      <c r="E64" s="988"/>
      <c r="F64" s="1637"/>
      <c r="G64" s="1637"/>
      <c r="H64" s="352"/>
      <c r="N64" s="1367"/>
      <c r="P64" s="1367"/>
      <c r="Q64" s="1637"/>
      <c r="R64" s="1637"/>
      <c r="S64" s="1367"/>
      <c r="T64" s="1367"/>
      <c r="U64" s="1367"/>
      <c r="V64" s="1367"/>
      <c r="W64" s="1637"/>
      <c r="X64" s="1367"/>
      <c r="Y64" s="1367"/>
      <c r="Z64" s="545"/>
      <c r="AA64" s="1367"/>
      <c r="AB64" s="1367"/>
      <c r="AC64" s="1367"/>
      <c r="AD64" s="1367"/>
      <c r="AE64" s="1367"/>
      <c r="AF64" s="1633"/>
      <c r="AG64" s="623"/>
      <c r="AH64" s="623"/>
      <c r="AI64" s="623"/>
      <c r="AJ64" s="623"/>
      <c r="AK64" s="1642">
        <v>11</v>
      </c>
    </row>
    <row s="1642" customFormat="1" customHeight="1" ht="11.549999999999999">
      <c r="A65" s="988"/>
      <c r="B65" s="988"/>
      <c r="C65" s="988"/>
      <c r="D65" s="988"/>
      <c r="E65" s="988"/>
      <c r="F65" s="1637"/>
      <c r="G65" s="1637"/>
      <c r="H65" s="352"/>
      <c r="N65" s="1367"/>
      <c r="P65" s="1367"/>
      <c r="Q65" s="1637"/>
      <c r="R65" s="1637"/>
      <c r="S65" s="1367"/>
      <c r="T65" s="1367"/>
      <c r="U65" s="1367"/>
      <c r="V65" s="1367"/>
      <c r="W65" s="1637"/>
      <c r="X65" s="1367"/>
      <c r="Y65" s="1367"/>
      <c r="Z65" s="545"/>
      <c r="AA65" s="1367"/>
      <c r="AB65" s="1367"/>
      <c r="AC65" s="1367"/>
      <c r="AD65" s="1367"/>
      <c r="AE65" s="1367"/>
      <c r="AF65" s="1633"/>
      <c r="AG65" s="623"/>
      <c r="AH65" s="623"/>
      <c r="AI65" s="623"/>
      <c r="AJ65" s="623"/>
      <c r="AK65" s="1642">
        <v>11</v>
      </c>
    </row>
    <row s="1642" customFormat="1" customHeight="1" ht="11.549999999999999">
      <c r="A66" s="988"/>
      <c r="B66" s="988"/>
      <c r="C66" s="988"/>
      <c r="D66" s="988"/>
      <c r="E66" s="988"/>
      <c r="F66" s="1637"/>
      <c r="G66" s="1637"/>
      <c r="H66" s="352"/>
      <c r="N66" s="1367"/>
      <c r="P66" s="1367"/>
      <c r="Q66" s="1637"/>
      <c r="R66" s="1637"/>
      <c r="S66" s="1367"/>
      <c r="T66" s="1367"/>
      <c r="U66" s="1367"/>
      <c r="V66" s="1367"/>
      <c r="W66" s="1637"/>
      <c r="X66" s="1367"/>
      <c r="Y66" s="1367"/>
      <c r="Z66" s="545"/>
      <c r="AA66" s="1367"/>
      <c r="AB66" s="1367"/>
      <c r="AC66" s="1367"/>
      <c r="AD66" s="1367"/>
      <c r="AE66" s="1367"/>
      <c r="AF66" s="1633"/>
      <c r="AG66" s="623"/>
      <c r="AH66" s="623"/>
      <c r="AI66" s="623"/>
      <c r="AJ66" s="623"/>
      <c r="AK66" s="1642">
        <v>11</v>
      </c>
    </row>
    <row s="1642" customFormat="1" customHeight="1" ht="11.549999999999999">
      <c r="A67" s="988"/>
      <c r="B67" s="988"/>
      <c r="C67" s="988"/>
      <c r="D67" s="988"/>
      <c r="E67" s="988"/>
      <c r="F67" s="1637"/>
      <c r="G67" s="1637"/>
      <c r="H67" s="352"/>
      <c r="N67" s="1367"/>
      <c r="P67" s="1367"/>
      <c r="Q67" s="1637"/>
      <c r="R67" s="1637"/>
      <c r="S67" s="1367"/>
      <c r="T67" s="1367"/>
      <c r="U67" s="1367"/>
      <c r="V67" s="1367"/>
      <c r="W67" s="1637"/>
      <c r="X67" s="1367"/>
      <c r="Y67" s="1367"/>
      <c r="Z67" s="545"/>
      <c r="AA67" s="1367"/>
      <c r="AB67" s="1367"/>
      <c r="AC67" s="1367"/>
      <c r="AD67" s="1367"/>
      <c r="AE67" s="1367"/>
      <c r="AF67" s="1633"/>
      <c r="AG67" s="623"/>
      <c r="AH67" s="623"/>
      <c r="AI67" s="623"/>
      <c r="AJ67" s="623"/>
      <c r="AK67" s="1642">
        <v>11</v>
      </c>
    </row>
    <row s="1642" customFormat="1" customHeight="1" ht="11.549999999999999">
      <c r="A68" s="988"/>
      <c r="B68" s="988"/>
      <c r="C68" s="988"/>
      <c r="D68" s="988"/>
      <c r="E68" s="988"/>
      <c r="F68" s="1637"/>
      <c r="G68" s="1637"/>
      <c r="H68" s="352"/>
      <c r="N68" s="1367"/>
      <c r="P68" s="1367"/>
      <c r="Q68" s="1637"/>
      <c r="R68" s="1637"/>
      <c r="S68" s="1367"/>
      <c r="T68" s="1367"/>
      <c r="U68" s="1367"/>
      <c r="V68" s="1367"/>
      <c r="W68" s="1637"/>
      <c r="X68" s="1367"/>
      <c r="Y68" s="1367"/>
      <c r="Z68" s="545"/>
      <c r="AA68" s="1367"/>
      <c r="AB68" s="1367"/>
      <c r="AC68" s="1367"/>
      <c r="AD68" s="1367"/>
      <c r="AE68" s="1367"/>
      <c r="AF68" s="1633"/>
      <c r="AG68" s="623"/>
      <c r="AH68" s="623"/>
      <c r="AI68" s="623"/>
      <c r="AJ68" s="623"/>
      <c r="AK68" s="1642">
        <v>11</v>
      </c>
    </row>
    <row s="1642" customFormat="1" customHeight="1" ht="11.549999999999999">
      <c r="A69" s="988"/>
      <c r="B69" s="988"/>
      <c r="C69" s="988"/>
      <c r="D69" s="988"/>
      <c r="E69" s="988"/>
      <c r="F69" s="1637"/>
      <c r="G69" s="1637"/>
      <c r="H69" s="352"/>
      <c r="N69" s="1367"/>
      <c r="P69" s="1367"/>
      <c r="Q69" s="1637"/>
      <c r="R69" s="1637"/>
      <c r="S69" s="1367"/>
      <c r="T69" s="1367"/>
      <c r="U69" s="1367"/>
      <c r="V69" s="1367"/>
      <c r="W69" s="1637"/>
      <c r="X69" s="1367"/>
      <c r="Y69" s="1367"/>
      <c r="Z69" s="545"/>
      <c r="AA69" s="1367"/>
      <c r="AB69" s="1367"/>
      <c r="AC69" s="1367"/>
      <c r="AD69" s="1367"/>
      <c r="AE69" s="1367"/>
      <c r="AF69" s="1633"/>
      <c r="AG69" s="623"/>
      <c r="AH69" s="623"/>
      <c r="AI69" s="623"/>
      <c r="AJ69" s="623"/>
      <c r="AK69" s="1642">
        <v>11</v>
      </c>
    </row>
    <row s="1642" customFormat="1" customHeight="1" ht="11.549999999999999">
      <c r="A70" s="988"/>
      <c r="B70" s="988"/>
      <c r="C70" s="988"/>
      <c r="D70" s="988"/>
      <c r="E70" s="988"/>
      <c r="F70" s="1637"/>
      <c r="G70" s="1637"/>
      <c r="H70" s="352"/>
      <c r="N70" s="1367"/>
      <c r="P70" s="1367"/>
      <c r="Q70" s="1637"/>
      <c r="R70" s="1637"/>
      <c r="S70" s="1367"/>
      <c r="T70" s="1367"/>
      <c r="U70" s="1367"/>
      <c r="V70" s="1367"/>
      <c r="W70" s="1637"/>
      <c r="X70" s="1367"/>
      <c r="Y70" s="1367"/>
      <c r="Z70" s="545"/>
      <c r="AA70" s="1367"/>
      <c r="AB70" s="1367"/>
      <c r="AC70" s="1367"/>
      <c r="AD70" s="1367"/>
      <c r="AE70" s="1367"/>
      <c r="AF70" s="1633"/>
      <c r="AG70" s="623"/>
      <c r="AH70" s="623"/>
      <c r="AI70" s="623"/>
      <c r="AJ70" s="623"/>
      <c r="AK70" s="1642">
        <v>11</v>
      </c>
    </row>
    <row s="1642" customFormat="1" customHeight="1" ht="11.549999999999999">
      <c r="A71" s="988"/>
      <c r="B71" s="988"/>
      <c r="C71" s="988"/>
      <c r="D71" s="988"/>
      <c r="E71" s="988"/>
      <c r="F71" s="1637"/>
      <c r="G71" s="1637"/>
      <c r="H71" s="352"/>
      <c r="N71" s="1367"/>
      <c r="P71" s="1367"/>
      <c r="Q71" s="1637"/>
      <c r="R71" s="1637"/>
      <c r="S71" s="1367"/>
      <c r="T71" s="1367"/>
      <c r="U71" s="1367"/>
      <c r="V71" s="1367"/>
      <c r="W71" s="1637"/>
      <c r="X71" s="1367"/>
      <c r="Y71" s="1367"/>
      <c r="Z71" s="545"/>
      <c r="AA71" s="1367"/>
      <c r="AB71" s="1367"/>
      <c r="AC71" s="1367"/>
      <c r="AD71" s="1367"/>
      <c r="AE71" s="1367"/>
      <c r="AF71" s="1633"/>
      <c r="AG71" s="623"/>
      <c r="AH71" s="623"/>
      <c r="AI71" s="623"/>
      <c r="AJ71" s="623"/>
      <c r="AK71" s="1642">
        <v>11</v>
      </c>
    </row>
    <row s="1642" customFormat="1" customHeight="1" ht="11.549999999999999">
      <c r="A72" s="988"/>
      <c r="B72" s="988"/>
      <c r="C72" s="988"/>
      <c r="D72" s="988"/>
      <c r="E72" s="988"/>
      <c r="F72" s="1637"/>
      <c r="G72" s="1637"/>
      <c r="H72" s="352"/>
      <c r="N72" s="1367"/>
      <c r="P72" s="1367"/>
      <c r="Q72" s="1637"/>
      <c r="R72" s="1637"/>
      <c r="S72" s="1367"/>
      <c r="T72" s="1367"/>
      <c r="U72" s="1367"/>
      <c r="V72" s="1367"/>
      <c r="W72" s="1637"/>
      <c r="X72" s="1367"/>
      <c r="Y72" s="1367"/>
      <c r="Z72" s="545"/>
      <c r="AA72" s="1367"/>
      <c r="AB72" s="1367"/>
      <c r="AC72" s="1367"/>
      <c r="AD72" s="1367"/>
      <c r="AE72" s="1367"/>
      <c r="AF72" s="1633"/>
      <c r="AG72" s="623"/>
      <c r="AH72" s="623"/>
      <c r="AI72" s="623"/>
      <c r="AJ72" s="623"/>
      <c r="AK72" s="1642">
        <v>11</v>
      </c>
    </row>
    <row s="1642" customFormat="1" customHeight="1" ht="11.549999999999999">
      <c r="A73" s="988"/>
      <c r="B73" s="988"/>
      <c r="C73" s="988"/>
      <c r="D73" s="988"/>
      <c r="E73" s="988"/>
      <c r="F73" s="1637"/>
      <c r="G73" s="1637"/>
      <c r="H73" s="352"/>
      <c r="N73" s="1367"/>
      <c r="P73" s="1367"/>
      <c r="Q73" s="1637"/>
      <c r="R73" s="1637"/>
      <c r="S73" s="1367"/>
      <c r="T73" s="1367"/>
      <c r="U73" s="1367"/>
      <c r="V73" s="1367"/>
      <c r="W73" s="1637"/>
      <c r="X73" s="1367"/>
      <c r="Y73" s="1367"/>
      <c r="Z73" s="545"/>
      <c r="AA73" s="1367"/>
      <c r="AB73" s="1367"/>
      <c r="AC73" s="1367"/>
      <c r="AD73" s="1367"/>
      <c r="AE73" s="1367"/>
      <c r="AF73" s="1633"/>
      <c r="AG73" s="623"/>
      <c r="AH73" s="623"/>
      <c r="AI73" s="623"/>
      <c r="AJ73" s="623"/>
      <c r="AK73" s="1642">
        <v>11</v>
      </c>
    </row>
    <row s="1642" customFormat="1" customHeight="1" ht="11.549999999999999">
      <c r="A74" s="988"/>
      <c r="B74" s="988"/>
      <c r="C74" s="988"/>
      <c r="D74" s="988"/>
      <c r="E74" s="988"/>
      <c r="F74" s="1637"/>
      <c r="G74" s="1637"/>
      <c r="H74" s="352"/>
      <c r="N74" s="1367"/>
      <c r="P74" s="1367"/>
      <c r="Q74" s="1637"/>
      <c r="R74" s="1637"/>
      <c r="S74" s="1367"/>
      <c r="T74" s="1367"/>
      <c r="U74" s="1367"/>
      <c r="V74" s="1367"/>
      <c r="W74" s="1637"/>
      <c r="X74" s="1367"/>
      <c r="Y74" s="1367"/>
      <c r="Z74" s="545"/>
      <c r="AA74" s="1367"/>
      <c r="AB74" s="1367"/>
      <c r="AC74" s="1367"/>
      <c r="AD74" s="1367"/>
      <c r="AE74" s="1367"/>
      <c r="AF74" s="1633"/>
      <c r="AG74" s="623"/>
      <c r="AH74" s="623"/>
      <c r="AI74" s="623"/>
      <c r="AJ74" s="623"/>
      <c r="AK74" s="1642">
        <v>11</v>
      </c>
    </row>
    <row s="1642" customFormat="1" customHeight="1" ht="11.549999999999999">
      <c r="A75" s="988"/>
      <c r="B75" s="988"/>
      <c r="C75" s="988"/>
      <c r="D75" s="988"/>
      <c r="E75" s="988"/>
      <c r="F75" s="1637"/>
      <c r="G75" s="1637"/>
      <c r="H75" s="352"/>
      <c r="N75" s="1367"/>
      <c r="P75" s="1367"/>
      <c r="Q75" s="1637"/>
      <c r="R75" s="1637"/>
      <c r="S75" s="1367"/>
      <c r="T75" s="1367"/>
      <c r="U75" s="1367"/>
      <c r="V75" s="1367"/>
      <c r="W75" s="1637"/>
      <c r="X75" s="1367"/>
      <c r="Y75" s="1367"/>
      <c r="Z75" s="545"/>
      <c r="AA75" s="1367"/>
      <c r="AB75" s="1367"/>
      <c r="AC75" s="1367"/>
      <c r="AD75" s="1367"/>
      <c r="AE75" s="1367"/>
      <c r="AF75" s="1633"/>
      <c r="AG75" s="623"/>
      <c r="AH75" s="623"/>
      <c r="AI75" s="623"/>
      <c r="AJ75" s="623"/>
      <c r="AK75" s="1642">
        <v>11</v>
      </c>
    </row>
    <row s="1642" customFormat="1" customHeight="1" ht="11.549999999999999">
      <c r="A76" s="988"/>
      <c r="B76" s="988"/>
      <c r="C76" s="988"/>
      <c r="D76" s="988"/>
      <c r="E76" s="988"/>
      <c r="F76" s="1637"/>
      <c r="G76" s="1637"/>
      <c r="H76" s="352"/>
      <c r="N76" s="1367"/>
      <c r="P76" s="1367"/>
      <c r="Q76" s="1637"/>
      <c r="R76" s="1637"/>
      <c r="S76" s="1367"/>
      <c r="T76" s="1367"/>
      <c r="U76" s="1367"/>
      <c r="V76" s="1367"/>
      <c r="W76" s="1637"/>
      <c r="X76" s="1367"/>
      <c r="Y76" s="1367"/>
      <c r="Z76" s="545"/>
      <c r="AA76" s="1367"/>
      <c r="AB76" s="1367"/>
      <c r="AC76" s="1367"/>
      <c r="AD76" s="1367"/>
      <c r="AE76" s="1367"/>
      <c r="AF76" s="1633"/>
      <c r="AG76" s="623"/>
      <c r="AH76" s="623"/>
      <c r="AI76" s="623"/>
      <c r="AJ76" s="623"/>
      <c r="AK76" s="1642">
        <v>11</v>
      </c>
    </row>
    <row s="1642" customFormat="1" customHeight="1" ht="11.549999999999999">
      <c r="A77" s="988"/>
      <c r="B77" s="988"/>
      <c r="C77" s="988"/>
      <c r="D77" s="988"/>
      <c r="E77" s="988"/>
      <c r="F77" s="1637"/>
      <c r="G77" s="1637"/>
      <c r="H77" s="352"/>
      <c r="N77" s="1367"/>
      <c r="P77" s="1367"/>
      <c r="Q77" s="1637"/>
      <c r="R77" s="1637"/>
      <c r="S77" s="1367"/>
      <c r="T77" s="1367"/>
      <c r="U77" s="1367"/>
      <c r="V77" s="1367"/>
      <c r="W77" s="1637"/>
      <c r="X77" s="1367"/>
      <c r="Y77" s="1367"/>
      <c r="Z77" s="545"/>
      <c r="AA77" s="1367"/>
      <c r="AB77" s="1367"/>
      <c r="AC77" s="1367"/>
      <c r="AD77" s="1367"/>
      <c r="AE77" s="1367"/>
      <c r="AF77" s="1633"/>
      <c r="AG77" s="623"/>
      <c r="AH77" s="623"/>
      <c r="AI77" s="623"/>
      <c r="AJ77" s="623"/>
      <c r="AK77" s="1642">
        <v>11</v>
      </c>
    </row>
    <row s="1642" customFormat="1" customHeight="1" ht="11.549999999999999">
      <c r="A78" s="988"/>
      <c r="B78" s="988"/>
      <c r="C78" s="988"/>
      <c r="D78" s="988"/>
      <c r="E78" s="988"/>
      <c r="F78" s="1637"/>
      <c r="G78" s="1637"/>
      <c r="H78" s="352"/>
      <c r="N78" s="1367"/>
      <c r="P78" s="1367"/>
      <c r="Q78" s="1637"/>
      <c r="R78" s="1637"/>
      <c r="S78" s="1367"/>
      <c r="T78" s="1367"/>
      <c r="U78" s="1367"/>
      <c r="V78" s="1367"/>
      <c r="W78" s="1637"/>
      <c r="X78" s="1367"/>
      <c r="Y78" s="1367"/>
      <c r="Z78" s="545"/>
      <c r="AA78" s="1367"/>
      <c r="AB78" s="1367"/>
      <c r="AC78" s="1367"/>
      <c r="AD78" s="1367"/>
      <c r="AE78" s="1367"/>
      <c r="AF78" s="1633"/>
      <c r="AG78" s="623"/>
      <c r="AH78" s="623"/>
      <c r="AI78" s="623"/>
      <c r="AJ78" s="623"/>
      <c r="AK78" s="1642">
        <v>11</v>
      </c>
    </row>
    <row s="1642" customFormat="1" customHeight="1" ht="11.549999999999999">
      <c r="A79" s="988"/>
      <c r="B79" s="988"/>
      <c r="C79" s="988"/>
      <c r="D79" s="988"/>
      <c r="E79" s="988"/>
      <c r="F79" s="1637"/>
      <c r="G79" s="1637"/>
      <c r="H79" s="352"/>
      <c r="N79" s="1367"/>
      <c r="P79" s="1367"/>
      <c r="Q79" s="1637"/>
      <c r="R79" s="1637"/>
      <c r="S79" s="1367"/>
      <c r="T79" s="1367"/>
      <c r="U79" s="1367"/>
      <c r="V79" s="1367"/>
      <c r="W79" s="1637"/>
      <c r="X79" s="1367"/>
      <c r="Y79" s="1367"/>
      <c r="Z79" s="545"/>
      <c r="AA79" s="1367"/>
      <c r="AB79" s="1367"/>
      <c r="AC79" s="1367"/>
      <c r="AD79" s="1367"/>
      <c r="AE79" s="1367"/>
      <c r="AF79" s="1633"/>
      <c r="AG79" s="623"/>
      <c r="AH79" s="623"/>
      <c r="AI79" s="623"/>
      <c r="AJ79" s="623"/>
      <c r="AK79" s="1642">
        <v>11</v>
      </c>
    </row>
    <row s="1642" customFormat="1" customHeight="1" ht="11.549999999999999">
      <c r="A80" s="988"/>
      <c r="B80" s="988"/>
      <c r="C80" s="988"/>
      <c r="D80" s="988"/>
      <c r="E80" s="988"/>
      <c r="F80" s="1637"/>
      <c r="G80" s="1637"/>
      <c r="H80" s="352"/>
      <c r="N80" s="1367"/>
      <c r="P80" s="1367"/>
      <c r="Q80" s="1637"/>
      <c r="R80" s="1637"/>
      <c r="S80" s="1367"/>
      <c r="T80" s="1367"/>
      <c r="U80" s="1367"/>
      <c r="V80" s="1367"/>
      <c r="W80" s="1637"/>
      <c r="X80" s="1367"/>
      <c r="Y80" s="1367"/>
      <c r="Z80" s="545"/>
      <c r="AA80" s="1367"/>
      <c r="AB80" s="1367"/>
      <c r="AC80" s="1367"/>
      <c r="AD80" s="1367"/>
      <c r="AE80" s="1367"/>
      <c r="AF80" s="1633"/>
      <c r="AG80" s="623"/>
      <c r="AH80" s="623"/>
      <c r="AI80" s="623"/>
      <c r="AJ80" s="623"/>
      <c r="AK80" s="1642">
        <v>11</v>
      </c>
    </row>
    <row s="1642" customFormat="1" customHeight="1" ht="11.549999999999999">
      <c r="A81" s="988"/>
      <c r="B81" s="988"/>
      <c r="C81" s="988"/>
      <c r="D81" s="988"/>
      <c r="E81" s="988"/>
      <c r="F81" s="1637"/>
      <c r="G81" s="1637"/>
      <c r="H81" s="352"/>
      <c r="N81" s="1367"/>
      <c r="P81" s="1367"/>
      <c r="Q81" s="1637"/>
      <c r="R81" s="1637"/>
      <c r="S81" s="1367"/>
      <c r="T81" s="1367"/>
      <c r="U81" s="1367"/>
      <c r="V81" s="1367"/>
      <c r="W81" s="1637"/>
      <c r="X81" s="1367"/>
      <c r="Y81" s="1367"/>
      <c r="Z81" s="545"/>
      <c r="AA81" s="1367"/>
      <c r="AB81" s="1367"/>
      <c r="AC81" s="1367"/>
      <c r="AD81" s="1367"/>
      <c r="AE81" s="1367"/>
      <c r="AF81" s="1633"/>
      <c r="AG81" s="623"/>
      <c r="AH81" s="623"/>
      <c r="AI81" s="623"/>
      <c r="AJ81" s="623"/>
      <c r="AK81" s="1642">
        <v>11</v>
      </c>
    </row>
    <row s="1642" customFormat="1" customHeight="1" ht="11.549999999999999">
      <c r="A82" s="988"/>
      <c r="B82" s="988"/>
      <c r="C82" s="988"/>
      <c r="D82" s="988"/>
      <c r="E82" s="988"/>
      <c r="F82" s="1637"/>
      <c r="G82" s="1637"/>
      <c r="H82" s="352"/>
      <c r="N82" s="1367"/>
      <c r="P82" s="1367"/>
      <c r="Q82" s="1637"/>
      <c r="R82" s="1637"/>
      <c r="S82" s="1367"/>
      <c r="T82" s="1367"/>
      <c r="U82" s="1367"/>
      <c r="V82" s="1367"/>
      <c r="W82" s="1637"/>
      <c r="X82" s="1367"/>
      <c r="Y82" s="1367"/>
      <c r="Z82" s="545"/>
      <c r="AA82" s="1367"/>
      <c r="AB82" s="1367"/>
      <c r="AC82" s="1367"/>
      <c r="AD82" s="1367"/>
      <c r="AE82" s="1367"/>
      <c r="AF82" s="1633"/>
      <c r="AG82" s="623"/>
      <c r="AH82" s="623"/>
      <c r="AI82" s="623"/>
      <c r="AJ82" s="623"/>
      <c r="AK82" s="1642">
        <v>11</v>
      </c>
    </row>
    <row s="1642" customFormat="1" customHeight="1" ht="11.549999999999999">
      <c r="A83" s="988"/>
      <c r="B83" s="988"/>
      <c r="C83" s="988"/>
      <c r="D83" s="988"/>
      <c r="E83" s="988"/>
      <c r="F83" s="1637"/>
      <c r="G83" s="1637"/>
      <c r="H83" s="352"/>
      <c r="N83" s="1367"/>
      <c r="P83" s="1367"/>
      <c r="Q83" s="1637"/>
      <c r="R83" s="1637"/>
      <c r="S83" s="1367"/>
      <c r="T83" s="1367"/>
      <c r="U83" s="1367"/>
      <c r="V83" s="1367"/>
      <c r="W83" s="1637"/>
      <c r="X83" s="1367"/>
      <c r="Y83" s="1367"/>
      <c r="Z83" s="545"/>
      <c r="AA83" s="1367"/>
      <c r="AB83" s="1367"/>
      <c r="AC83" s="1367"/>
      <c r="AD83" s="1367"/>
      <c r="AE83" s="1367"/>
      <c r="AF83" s="1633"/>
      <c r="AG83" s="623"/>
      <c r="AH83" s="623"/>
      <c r="AI83" s="623"/>
      <c r="AJ83" s="623"/>
      <c r="AK83" s="1642">
        <v>11</v>
      </c>
    </row>
    <row s="1642" customFormat="1" customHeight="1" ht="11.549999999999999">
      <c r="A84" s="988"/>
      <c r="B84" s="988"/>
      <c r="C84" s="988"/>
      <c r="D84" s="988"/>
      <c r="E84" s="988"/>
      <c r="F84" s="1637"/>
      <c r="G84" s="1637"/>
      <c r="H84" s="352"/>
      <c r="N84" s="1367"/>
      <c r="P84" s="1367"/>
      <c r="Q84" s="1637"/>
      <c r="R84" s="1637"/>
      <c r="S84" s="1367"/>
      <c r="T84" s="1367"/>
      <c r="U84" s="1367"/>
      <c r="V84" s="1367"/>
      <c r="W84" s="1637"/>
      <c r="X84" s="1367"/>
      <c r="Y84" s="1367"/>
      <c r="Z84" s="545"/>
      <c r="AA84" s="1367"/>
      <c r="AB84" s="1367"/>
      <c r="AC84" s="1367"/>
      <c r="AD84" s="1367"/>
      <c r="AE84" s="1367"/>
      <c r="AF84" s="1633"/>
      <c r="AG84" s="623"/>
      <c r="AH84" s="623"/>
      <c r="AI84" s="623"/>
      <c r="AJ84" s="623"/>
      <c r="AK84" s="1642">
        <v>11</v>
      </c>
    </row>
    <row s="1642" customFormat="1" customHeight="1" ht="11.549999999999999">
      <c r="A85" s="988"/>
      <c r="B85" s="988"/>
      <c r="C85" s="988"/>
      <c r="D85" s="988"/>
      <c r="E85" s="988"/>
      <c r="F85" s="1637"/>
      <c r="G85" s="1637"/>
      <c r="H85" s="352"/>
      <c r="N85" s="1367"/>
      <c r="P85" s="1367"/>
      <c r="Q85" s="1637"/>
      <c r="R85" s="1637"/>
      <c r="S85" s="1367"/>
      <c r="T85" s="1367"/>
      <c r="U85" s="1367"/>
      <c r="V85" s="1367"/>
      <c r="W85" s="1637"/>
      <c r="X85" s="1367"/>
      <c r="Y85" s="1367"/>
      <c r="Z85" s="545"/>
      <c r="AA85" s="1367"/>
      <c r="AB85" s="1367"/>
      <c r="AC85" s="1367"/>
      <c r="AD85" s="1367"/>
      <c r="AE85" s="1367"/>
      <c r="AF85" s="1633"/>
      <c r="AG85" s="623"/>
      <c r="AH85" s="623"/>
      <c r="AI85" s="623"/>
      <c r="AJ85" s="623"/>
      <c r="AK85" s="1642">
        <v>11</v>
      </c>
    </row>
    <row s="1642" customFormat="1" customHeight="1" ht="11.549999999999999">
      <c r="A86" s="988"/>
      <c r="B86" s="988"/>
      <c r="C86" s="988"/>
      <c r="D86" s="988"/>
      <c r="E86" s="988"/>
      <c r="F86" s="1637"/>
      <c r="G86" s="1637"/>
      <c r="H86" s="352"/>
      <c r="N86" s="1367"/>
      <c r="P86" s="1367"/>
      <c r="Q86" s="1637"/>
      <c r="R86" s="1637"/>
      <c r="S86" s="1367"/>
      <c r="T86" s="1367"/>
      <c r="U86" s="1367"/>
      <c r="V86" s="1367"/>
      <c r="W86" s="1637"/>
      <c r="X86" s="1367"/>
      <c r="Y86" s="1367"/>
      <c r="Z86" s="545"/>
      <c r="AA86" s="1367"/>
      <c r="AB86" s="1367"/>
      <c r="AC86" s="1367"/>
      <c r="AD86" s="1367"/>
      <c r="AE86" s="1367"/>
      <c r="AF86" s="1633"/>
      <c r="AG86" s="623"/>
      <c r="AH86" s="623"/>
      <c r="AI86" s="623"/>
      <c r="AJ86" s="623"/>
      <c r="AK86" s="1642">
        <v>11</v>
      </c>
    </row>
    <row s="1642" customFormat="1" customHeight="1" ht="11.549999999999999">
      <c r="A87" s="988"/>
      <c r="B87" s="988"/>
      <c r="C87" s="988"/>
      <c r="D87" s="988"/>
      <c r="E87" s="988"/>
      <c r="F87" s="1637"/>
      <c r="G87" s="1637"/>
      <c r="H87" s="352"/>
      <c r="N87" s="1367"/>
      <c r="P87" s="1367"/>
      <c r="Q87" s="1637"/>
      <c r="R87" s="1637"/>
      <c r="S87" s="1367"/>
      <c r="T87" s="1367"/>
      <c r="U87" s="1367"/>
      <c r="V87" s="1367"/>
      <c r="W87" s="1637"/>
      <c r="X87" s="1367"/>
      <c r="Y87" s="1367"/>
      <c r="Z87" s="545"/>
      <c r="AA87" s="1367"/>
      <c r="AB87" s="1367"/>
      <c r="AC87" s="1367"/>
      <c r="AD87" s="1367"/>
      <c r="AE87" s="1367"/>
      <c r="AF87" s="1633"/>
      <c r="AG87" s="623"/>
      <c r="AH87" s="623"/>
      <c r="AI87" s="623"/>
      <c r="AJ87" s="623"/>
      <c r="AK87" s="1642">
        <v>11</v>
      </c>
    </row>
    <row s="1642" customFormat="1" customHeight="1" ht="11.549999999999999">
      <c r="A88" s="988"/>
      <c r="B88" s="988"/>
      <c r="C88" s="988"/>
      <c r="D88" s="988"/>
      <c r="E88" s="988"/>
      <c r="F88" s="1637"/>
      <c r="G88" s="1637"/>
      <c r="H88" s="352"/>
      <c r="N88" s="1367"/>
      <c r="P88" s="1367"/>
      <c r="Q88" s="1637"/>
      <c r="R88" s="1637"/>
      <c r="S88" s="1367"/>
      <c r="T88" s="1367"/>
      <c r="U88" s="1367"/>
      <c r="V88" s="1367"/>
      <c r="W88" s="1637"/>
      <c r="X88" s="1367"/>
      <c r="Y88" s="1367"/>
      <c r="Z88" s="545"/>
      <c r="AA88" s="1367"/>
      <c r="AB88" s="1367"/>
      <c r="AC88" s="1367"/>
      <c r="AD88" s="1367"/>
      <c r="AE88" s="1367"/>
      <c r="AF88" s="1633"/>
      <c r="AG88" s="623"/>
      <c r="AH88" s="623"/>
      <c r="AI88" s="623"/>
      <c r="AJ88" s="623"/>
      <c r="AK88" s="1642">
        <v>11</v>
      </c>
    </row>
    <row s="1642" customFormat="1" customHeight="1" ht="11.549999999999999">
      <c r="A89" s="988"/>
      <c r="B89" s="988"/>
      <c r="C89" s="988"/>
      <c r="D89" s="988"/>
      <c r="E89" s="988"/>
      <c r="F89" s="1637"/>
      <c r="G89" s="1637"/>
      <c r="H89" s="352"/>
      <c r="N89" s="1367"/>
      <c r="P89" s="1367"/>
      <c r="Q89" s="1637"/>
      <c r="R89" s="1637"/>
      <c r="S89" s="1367"/>
      <c r="T89" s="1367"/>
      <c r="U89" s="1367"/>
      <c r="V89" s="1367"/>
      <c r="W89" s="1637"/>
      <c r="X89" s="1367"/>
      <c r="Y89" s="1367"/>
      <c r="Z89" s="545"/>
      <c r="AA89" s="1367"/>
      <c r="AB89" s="1367"/>
      <c r="AC89" s="1367"/>
      <c r="AD89" s="1367"/>
      <c r="AE89" s="1367"/>
      <c r="AF89" s="1633"/>
      <c r="AG89" s="623"/>
      <c r="AH89" s="623"/>
      <c r="AI89" s="623"/>
      <c r="AJ89" s="623"/>
      <c r="AK89" s="1642">
        <v>11</v>
      </c>
    </row>
    <row s="1642" customFormat="1" customHeight="1" ht="11.549999999999999">
      <c r="A90" s="988"/>
      <c r="B90" s="988"/>
      <c r="C90" s="988"/>
      <c r="D90" s="988"/>
      <c r="E90" s="988"/>
      <c r="F90" s="1637"/>
      <c r="G90" s="1637"/>
      <c r="H90" s="352"/>
      <c r="N90" s="1367"/>
      <c r="P90" s="1367"/>
      <c r="Q90" s="1637"/>
      <c r="R90" s="1637"/>
      <c r="S90" s="1367"/>
      <c r="T90" s="1367"/>
      <c r="U90" s="1367"/>
      <c r="V90" s="1367"/>
      <c r="W90" s="1637"/>
      <c r="X90" s="1367"/>
      <c r="Y90" s="1367"/>
      <c r="Z90" s="545"/>
      <c r="AA90" s="1367"/>
      <c r="AB90" s="1367"/>
      <c r="AC90" s="1367"/>
      <c r="AD90" s="1367"/>
      <c r="AE90" s="1367"/>
      <c r="AF90" s="1633"/>
      <c r="AG90" s="623"/>
      <c r="AH90" s="623"/>
      <c r="AI90" s="623"/>
      <c r="AJ90" s="623"/>
      <c r="AK90" s="1642">
        <v>11</v>
      </c>
    </row>
    <row s="1642" customFormat="1" customHeight="1" ht="11.549999999999999">
      <c r="A91" s="988"/>
      <c r="B91" s="988"/>
      <c r="C91" s="988"/>
      <c r="D91" s="988"/>
      <c r="E91" s="988"/>
      <c r="F91" s="1637"/>
      <c r="G91" s="1637"/>
      <c r="H91" s="352"/>
      <c r="N91" s="1367"/>
      <c r="P91" s="1367"/>
      <c r="Q91" s="1637"/>
      <c r="R91" s="1637"/>
      <c r="S91" s="1367"/>
      <c r="T91" s="1367"/>
      <c r="U91" s="1367"/>
      <c r="V91" s="1367"/>
      <c r="W91" s="1637"/>
      <c r="X91" s="1367"/>
      <c r="Y91" s="1367"/>
      <c r="Z91" s="545"/>
      <c r="AA91" s="1367"/>
      <c r="AB91" s="1367"/>
      <c r="AC91" s="1367"/>
      <c r="AD91" s="1367"/>
      <c r="AE91" s="1367"/>
      <c r="AF91" s="1633"/>
      <c r="AG91" s="623"/>
      <c r="AH91" s="623"/>
      <c r="AI91" s="623"/>
      <c r="AJ91" s="623"/>
      <c r="AK91" s="1642">
        <v>11</v>
      </c>
    </row>
    <row s="1642" customFormat="1" customHeight="1" ht="11.549999999999999">
      <c r="A92" s="988"/>
      <c r="B92" s="988"/>
      <c r="C92" s="988"/>
      <c r="D92" s="988"/>
      <c r="E92" s="988"/>
      <c r="F92" s="1637"/>
      <c r="G92" s="1637"/>
      <c r="H92" s="352"/>
      <c r="N92" s="1367"/>
      <c r="P92" s="1367"/>
      <c r="Q92" s="1637"/>
      <c r="R92" s="1637"/>
      <c r="S92" s="1367"/>
      <c r="T92" s="1367"/>
      <c r="U92" s="1367"/>
      <c r="V92" s="1367"/>
      <c r="W92" s="1637"/>
      <c r="X92" s="1367"/>
      <c r="Y92" s="1367"/>
      <c r="Z92" s="545"/>
      <c r="AA92" s="1367"/>
      <c r="AB92" s="1367"/>
      <c r="AC92" s="1367"/>
      <c r="AD92" s="1367"/>
      <c r="AE92" s="1367"/>
      <c r="AF92" s="1633"/>
      <c r="AG92" s="623"/>
      <c r="AH92" s="623"/>
      <c r="AI92" s="623"/>
      <c r="AJ92" s="623"/>
      <c r="AK92" s="1642">
        <v>11</v>
      </c>
    </row>
    <row s="1642" customFormat="1" customHeight="1" ht="11.549999999999999">
      <c r="A93" s="988"/>
      <c r="B93" s="988"/>
      <c r="C93" s="988"/>
      <c r="D93" s="988"/>
      <c r="E93" s="988"/>
      <c r="F93" s="1637"/>
      <c r="G93" s="1637"/>
      <c r="H93" s="352"/>
      <c r="N93" s="1367"/>
      <c r="P93" s="1367"/>
      <c r="Q93" s="1637"/>
      <c r="R93" s="1637"/>
      <c r="S93" s="1367"/>
      <c r="T93" s="1367"/>
      <c r="U93" s="1367"/>
      <c r="V93" s="1367"/>
      <c r="W93" s="1637"/>
      <c r="X93" s="1367"/>
      <c r="Y93" s="1367"/>
      <c r="Z93" s="545"/>
      <c r="AA93" s="1367"/>
      <c r="AB93" s="1367"/>
      <c r="AC93" s="1367"/>
      <c r="AD93" s="1367"/>
      <c r="AE93" s="1367"/>
      <c r="AF93" s="1633"/>
      <c r="AG93" s="623"/>
      <c r="AH93" s="623"/>
      <c r="AI93" s="623"/>
      <c r="AJ93" s="623"/>
      <c r="AK93" s="1642">
        <v>11</v>
      </c>
    </row>
    <row s="1642" customFormat="1" customHeight="1" ht="11.549999999999999">
      <c r="A94" s="988"/>
      <c r="B94" s="988"/>
      <c r="C94" s="988"/>
      <c r="D94" s="988"/>
      <c r="E94" s="988"/>
      <c r="F94" s="1637"/>
      <c r="G94" s="1637"/>
      <c r="H94" s="352"/>
      <c r="N94" s="1367"/>
      <c r="P94" s="1367"/>
      <c r="Q94" s="1637"/>
      <c r="R94" s="1637"/>
      <c r="S94" s="1367"/>
      <c r="T94" s="1367"/>
      <c r="U94" s="1367"/>
      <c r="V94" s="1367"/>
      <c r="W94" s="1637"/>
      <c r="X94" s="1367"/>
      <c r="Y94" s="1367"/>
      <c r="Z94" s="545"/>
      <c r="AA94" s="1367"/>
      <c r="AB94" s="1367"/>
      <c r="AC94" s="1367"/>
      <c r="AD94" s="1367"/>
      <c r="AE94" s="1367"/>
      <c r="AF94" s="1633"/>
      <c r="AG94" s="623"/>
      <c r="AH94" s="623"/>
      <c r="AI94" s="623"/>
      <c r="AJ94" s="623"/>
      <c r="AK94" s="1642">
        <v>11</v>
      </c>
    </row>
    <row s="1642" customFormat="1" customHeight="1" ht="11.549999999999999">
      <c r="A95" s="988"/>
      <c r="B95" s="988"/>
      <c r="C95" s="988"/>
      <c r="D95" s="988"/>
      <c r="E95" s="988"/>
      <c r="F95" s="1637"/>
      <c r="G95" s="1637"/>
      <c r="H95" s="352"/>
      <c r="N95" s="1367"/>
      <c r="P95" s="1367"/>
      <c r="Q95" s="1637"/>
      <c r="R95" s="1637"/>
      <c r="S95" s="1367"/>
      <c r="T95" s="1367"/>
      <c r="U95" s="1367"/>
      <c r="V95" s="1367"/>
      <c r="W95" s="1637"/>
      <c r="X95" s="1367"/>
      <c r="Y95" s="1367"/>
      <c r="Z95" s="545"/>
      <c r="AA95" s="1367"/>
      <c r="AB95" s="1367"/>
      <c r="AC95" s="1367"/>
      <c r="AD95" s="1367"/>
      <c r="AE95" s="1367"/>
      <c r="AF95" s="1633"/>
      <c r="AG95" s="623"/>
      <c r="AH95" s="623"/>
      <c r="AI95" s="623"/>
      <c r="AJ95" s="623"/>
      <c r="AK95" s="1642">
        <v>11</v>
      </c>
    </row>
    <row s="1642" customFormat="1" customHeight="1" ht="11.549999999999999">
      <c r="A96" s="988"/>
      <c r="B96" s="988"/>
      <c r="C96" s="988"/>
      <c r="D96" s="988"/>
      <c r="E96" s="988"/>
      <c r="F96" s="1637"/>
      <c r="G96" s="1637"/>
      <c r="H96" s="352"/>
      <c r="N96" s="1367"/>
      <c r="P96" s="1367"/>
      <c r="Q96" s="1637"/>
      <c r="R96" s="1637"/>
      <c r="S96" s="1367"/>
      <c r="T96" s="1367"/>
      <c r="U96" s="1367"/>
      <c r="V96" s="1367"/>
      <c r="W96" s="1637"/>
      <c r="X96" s="1367"/>
      <c r="Y96" s="1367"/>
      <c r="Z96" s="545"/>
      <c r="AA96" s="1367"/>
      <c r="AB96" s="1367"/>
      <c r="AC96" s="1367"/>
      <c r="AD96" s="1367"/>
      <c r="AE96" s="1367"/>
      <c r="AF96" s="1633"/>
      <c r="AG96" s="623"/>
      <c r="AH96" s="623"/>
      <c r="AI96" s="623"/>
      <c r="AJ96" s="623"/>
      <c r="AK96" s="1642">
        <v>11</v>
      </c>
    </row>
    <row s="1642" customFormat="1" customHeight="1" ht="11.549999999999999">
      <c r="A97" s="988"/>
      <c r="B97" s="988"/>
      <c r="C97" s="988"/>
      <c r="D97" s="988"/>
      <c r="E97" s="988"/>
      <c r="F97" s="1637"/>
      <c r="G97" s="1637"/>
      <c r="H97" s="352"/>
      <c r="N97" s="1367"/>
      <c r="P97" s="1367"/>
      <c r="Q97" s="1637"/>
      <c r="R97" s="1637"/>
      <c r="S97" s="1367"/>
      <c r="T97" s="1367"/>
      <c r="U97" s="1367"/>
      <c r="V97" s="1367"/>
      <c r="W97" s="1637"/>
      <c r="X97" s="1367"/>
      <c r="Y97" s="1367"/>
      <c r="Z97" s="545"/>
      <c r="AA97" s="1367"/>
      <c r="AB97" s="1367"/>
      <c r="AC97" s="1367"/>
      <c r="AD97" s="1367"/>
      <c r="AE97" s="1367"/>
      <c r="AF97" s="1633"/>
      <c r="AG97" s="623"/>
      <c r="AH97" s="623"/>
      <c r="AI97" s="623"/>
      <c r="AJ97" s="623"/>
      <c r="AK97" s="1642">
        <v>11</v>
      </c>
    </row>
    <row s="1642" customFormat="1" customHeight="1" ht="11.549999999999999">
      <c r="A98" s="988"/>
      <c r="B98" s="988"/>
      <c r="C98" s="988"/>
      <c r="D98" s="988"/>
      <c r="E98" s="988"/>
      <c r="F98" s="1637"/>
      <c r="G98" s="1637"/>
      <c r="H98" s="352"/>
      <c r="N98" s="1367"/>
      <c r="P98" s="1367"/>
      <c r="Q98" s="1637"/>
      <c r="R98" s="1637"/>
      <c r="S98" s="1367"/>
      <c r="T98" s="1367"/>
      <c r="U98" s="1367"/>
      <c r="V98" s="1367"/>
      <c r="W98" s="1637"/>
      <c r="X98" s="1367"/>
      <c r="Y98" s="1367"/>
      <c r="Z98" s="545"/>
      <c r="AA98" s="1367"/>
      <c r="AB98" s="1367"/>
      <c r="AC98" s="1367"/>
      <c r="AD98" s="1367"/>
      <c r="AE98" s="1367"/>
      <c r="AF98" s="1633"/>
      <c r="AG98" s="623"/>
      <c r="AH98" s="623"/>
      <c r="AI98" s="623"/>
      <c r="AJ98" s="623"/>
      <c r="AK98" s="1642">
        <v>11</v>
      </c>
    </row>
    <row s="1642" customFormat="1" customHeight="1" ht="11.549999999999999">
      <c r="A99" s="988"/>
      <c r="B99" s="988"/>
      <c r="C99" s="988"/>
      <c r="D99" s="988"/>
      <c r="E99" s="988"/>
      <c r="F99" s="1637"/>
      <c r="G99" s="1637"/>
      <c r="H99" s="352"/>
      <c r="N99" s="1367"/>
      <c r="P99" s="1367"/>
      <c r="Q99" s="1637"/>
      <c r="R99" s="1637"/>
      <c r="S99" s="1367"/>
      <c r="T99" s="1367"/>
      <c r="U99" s="1367"/>
      <c r="V99" s="1367"/>
      <c r="W99" s="1637"/>
      <c r="X99" s="1367"/>
      <c r="Y99" s="1367"/>
      <c r="Z99" s="545"/>
      <c r="AA99" s="1367"/>
      <c r="AB99" s="1367"/>
      <c r="AC99" s="1367"/>
      <c r="AD99" s="1367"/>
      <c r="AE99" s="1367"/>
      <c r="AF99" s="1633"/>
      <c r="AG99" s="623"/>
      <c r="AH99" s="623"/>
      <c r="AI99" s="623"/>
      <c r="AJ99" s="623"/>
      <c r="AK99" s="1642">
        <v>11</v>
      </c>
    </row>
    <row s="1642" customFormat="1" customHeight="1" ht="11.549999999999999">
      <c r="A100" s="988"/>
      <c r="B100" s="988"/>
      <c r="C100" s="988"/>
      <c r="D100" s="988"/>
      <c r="E100" s="988"/>
      <c r="F100" s="1637"/>
      <c r="G100" s="1637"/>
      <c r="H100" s="352"/>
      <c r="N100" s="1367"/>
      <c r="P100" s="1367"/>
      <c r="Q100" s="1637"/>
      <c r="R100" s="1637"/>
      <c r="S100" s="1367"/>
      <c r="T100" s="1367"/>
      <c r="U100" s="1367"/>
      <c r="V100" s="1367"/>
      <c r="W100" s="1637"/>
      <c r="X100" s="1367"/>
      <c r="Y100" s="1367"/>
      <c r="Z100" s="545"/>
      <c r="AA100" s="1367"/>
      <c r="AB100" s="1367"/>
      <c r="AC100" s="1367"/>
      <c r="AD100" s="1367"/>
      <c r="AE100" s="1367"/>
      <c r="AF100" s="1633"/>
      <c r="AG100" s="623"/>
      <c r="AH100" s="623"/>
      <c r="AI100" s="623"/>
      <c r="AJ100" s="623"/>
      <c r="AK100" s="1642">
        <v>11</v>
      </c>
    </row>
    <row s="1642" customFormat="1" customHeight="1" ht="11.549999999999999">
      <c r="A101" s="988"/>
      <c r="B101" s="988"/>
      <c r="C101" s="988"/>
      <c r="D101" s="988"/>
      <c r="E101" s="988"/>
      <c r="F101" s="1637"/>
      <c r="G101" s="1637"/>
      <c r="H101" s="352"/>
      <c r="N101" s="1367"/>
      <c r="P101" s="1367"/>
      <c r="Q101" s="1637"/>
      <c r="R101" s="1637"/>
      <c r="S101" s="1367"/>
      <c r="T101" s="1367"/>
      <c r="U101" s="1367"/>
      <c r="V101" s="1367"/>
      <c r="W101" s="1637"/>
      <c r="X101" s="1367"/>
      <c r="Y101" s="1367"/>
      <c r="Z101" s="545"/>
      <c r="AA101" s="1367"/>
      <c r="AB101" s="1367"/>
      <c r="AC101" s="1367"/>
      <c r="AD101" s="1367"/>
      <c r="AE101" s="1367"/>
      <c r="AF101" s="1633"/>
      <c r="AG101" s="623"/>
      <c r="AH101" s="623"/>
      <c r="AI101" s="623"/>
      <c r="AJ101" s="623"/>
      <c r="AK101" s="1642">
        <v>11</v>
      </c>
    </row>
    <row s="1642" customFormat="1" customHeight="1" ht="11.549999999999999">
      <c r="A102" s="988"/>
      <c r="B102" s="988"/>
      <c r="C102" s="988"/>
      <c r="D102" s="988"/>
      <c r="E102" s="988"/>
      <c r="F102" s="1637"/>
      <c r="G102" s="1637"/>
      <c r="H102" s="352"/>
      <c r="N102" s="1367"/>
      <c r="P102" s="1367"/>
      <c r="Q102" s="1637"/>
      <c r="R102" s="1637"/>
      <c r="S102" s="1367"/>
      <c r="T102" s="1367"/>
      <c r="U102" s="1367"/>
      <c r="V102" s="1367"/>
      <c r="W102" s="1637"/>
      <c r="X102" s="1367"/>
      <c r="Y102" s="1367"/>
      <c r="Z102" s="545"/>
      <c r="AA102" s="1367"/>
      <c r="AB102" s="1367"/>
      <c r="AC102" s="1367"/>
      <c r="AD102" s="1367"/>
      <c r="AE102" s="1367"/>
      <c r="AF102" s="1633"/>
      <c r="AG102" s="623"/>
      <c r="AH102" s="623"/>
      <c r="AI102" s="623"/>
      <c r="AJ102" s="623"/>
      <c r="AK102" s="1642">
        <v>11</v>
      </c>
    </row>
    <row s="1642" customFormat="1" customHeight="1" ht="11.549999999999999">
      <c r="A103" s="988"/>
      <c r="B103" s="988"/>
      <c r="C103" s="988"/>
      <c r="D103" s="988"/>
      <c r="E103" s="988"/>
      <c r="F103" s="1637"/>
      <c r="G103" s="1637"/>
      <c r="H103" s="352"/>
      <c r="N103" s="1367"/>
      <c r="P103" s="1367"/>
      <c r="Q103" s="1637"/>
      <c r="R103" s="1637"/>
      <c r="S103" s="1367"/>
      <c r="T103" s="1367"/>
      <c r="U103" s="1367"/>
      <c r="V103" s="1367"/>
      <c r="W103" s="1637"/>
      <c r="X103" s="1367"/>
      <c r="Y103" s="1367"/>
      <c r="Z103" s="545"/>
      <c r="AA103" s="1367"/>
      <c r="AB103" s="1367"/>
      <c r="AC103" s="1367"/>
      <c r="AD103" s="1367"/>
      <c r="AE103" s="1367"/>
      <c r="AF103" s="1633"/>
      <c r="AG103" s="623"/>
      <c r="AH103" s="623"/>
      <c r="AI103" s="623"/>
      <c r="AJ103" s="623"/>
      <c r="AK103" s="1642">
        <v>11</v>
      </c>
    </row>
    <row s="1642" customFormat="1" customHeight="1" ht="11.549999999999999">
      <c r="A104" s="988"/>
      <c r="B104" s="988"/>
      <c r="C104" s="988"/>
      <c r="D104" s="988"/>
      <c r="E104" s="988"/>
      <c r="F104" s="1637"/>
      <c r="G104" s="1637"/>
      <c r="H104" s="352"/>
      <c r="N104" s="1367"/>
      <c r="P104" s="1367"/>
      <c r="Q104" s="1637"/>
      <c r="R104" s="1637"/>
      <c r="S104" s="1367"/>
      <c r="T104" s="1367"/>
      <c r="U104" s="1367"/>
      <c r="V104" s="1367"/>
      <c r="W104" s="1637"/>
      <c r="X104" s="1367"/>
      <c r="Y104" s="1367"/>
      <c r="Z104" s="545"/>
      <c r="AA104" s="1367"/>
      <c r="AB104" s="1367"/>
      <c r="AC104" s="1367"/>
      <c r="AD104" s="1367"/>
      <c r="AE104" s="1367"/>
      <c r="AF104" s="1633"/>
      <c r="AG104" s="623"/>
      <c r="AH104" s="623"/>
      <c r="AI104" s="623"/>
      <c r="AJ104" s="623"/>
      <c r="AK104" s="1642">
        <v>11</v>
      </c>
    </row>
    <row s="1642" customFormat="1" customHeight="1" ht="11.549999999999999">
      <c r="A105" s="988"/>
      <c r="B105" s="988"/>
      <c r="C105" s="988"/>
      <c r="D105" s="988"/>
      <c r="E105" s="988"/>
      <c r="F105" s="1637"/>
      <c r="G105" s="1637"/>
      <c r="H105" s="352"/>
      <c r="N105" s="1367"/>
      <c r="P105" s="1367"/>
      <c r="Q105" s="1637"/>
      <c r="R105" s="1637"/>
      <c r="S105" s="1367"/>
      <c r="T105" s="1367"/>
      <c r="U105" s="1367"/>
      <c r="V105" s="1367"/>
      <c r="W105" s="1637"/>
      <c r="X105" s="1367"/>
      <c r="Y105" s="1367"/>
      <c r="Z105" s="545"/>
      <c r="AA105" s="1367"/>
      <c r="AB105" s="1367"/>
      <c r="AC105" s="1367"/>
      <c r="AD105" s="1367"/>
      <c r="AE105" s="1367"/>
      <c r="AF105" s="1633"/>
      <c r="AG105" s="623"/>
      <c r="AH105" s="623"/>
      <c r="AI105" s="623"/>
      <c r="AJ105" s="623"/>
      <c r="AK105" s="1642">
        <v>11</v>
      </c>
    </row>
    <row s="1642" customFormat="1" customHeight="1" ht="11.549999999999999">
      <c r="A106" s="988"/>
      <c r="B106" s="988"/>
      <c r="C106" s="988"/>
      <c r="D106" s="988"/>
      <c r="E106" s="988"/>
      <c r="F106" s="1637"/>
      <c r="G106" s="1637"/>
      <c r="H106" s="352"/>
      <c r="N106" s="1367"/>
      <c r="P106" s="1367"/>
      <c r="Q106" s="1637"/>
      <c r="R106" s="1637"/>
      <c r="S106" s="1367"/>
      <c r="T106" s="1367"/>
      <c r="U106" s="1367"/>
      <c r="V106" s="1367"/>
      <c r="W106" s="1637"/>
      <c r="X106" s="1367"/>
      <c r="Y106" s="1367"/>
      <c r="Z106" s="545"/>
      <c r="AA106" s="1367"/>
      <c r="AB106" s="1367"/>
      <c r="AC106" s="1367"/>
      <c r="AD106" s="1367"/>
      <c r="AE106" s="1367"/>
      <c r="AF106" s="1633"/>
      <c r="AG106" s="623"/>
      <c r="AH106" s="623"/>
      <c r="AI106" s="623"/>
      <c r="AJ106" s="623"/>
      <c r="AK106" s="1642">
        <v>11</v>
      </c>
    </row>
    <row s="1642" customFormat="1" customHeight="1" ht="11.549999999999999">
      <c r="A107" s="988"/>
      <c r="B107" s="988"/>
      <c r="C107" s="988"/>
      <c r="D107" s="988"/>
      <c r="E107" s="988"/>
      <c r="F107" s="1637"/>
      <c r="G107" s="1637"/>
      <c r="H107" s="352"/>
      <c r="N107" s="1367"/>
      <c r="P107" s="1367"/>
      <c r="Q107" s="1637"/>
      <c r="R107" s="1637"/>
      <c r="S107" s="1367"/>
      <c r="T107" s="1367"/>
      <c r="U107" s="1367"/>
      <c r="V107" s="1367"/>
      <c r="W107" s="1637"/>
      <c r="X107" s="1367"/>
      <c r="Y107" s="1367"/>
      <c r="Z107" s="545"/>
      <c r="AA107" s="1367"/>
      <c r="AB107" s="1367"/>
      <c r="AC107" s="1367"/>
      <c r="AD107" s="1367"/>
      <c r="AE107" s="1367"/>
      <c r="AF107" s="1633"/>
      <c r="AG107" s="623"/>
      <c r="AH107" s="623"/>
      <c r="AI107" s="623"/>
      <c r="AJ107" s="623"/>
      <c r="AK107" s="1642">
        <v>11</v>
      </c>
    </row>
    <row s="1642" customFormat="1" customHeight="1" ht="11.549999999999999">
      <c r="A108" s="988"/>
      <c r="B108" s="988"/>
      <c r="C108" s="988"/>
      <c r="D108" s="988"/>
      <c r="E108" s="988"/>
      <c r="F108" s="1637"/>
      <c r="G108" s="1637"/>
      <c r="H108" s="352"/>
      <c r="N108" s="1367"/>
      <c r="P108" s="1367"/>
      <c r="Q108" s="1637"/>
      <c r="R108" s="1637"/>
      <c r="S108" s="1367"/>
      <c r="T108" s="1367"/>
      <c r="U108" s="1367"/>
      <c r="V108" s="1367"/>
      <c r="W108" s="1637"/>
      <c r="X108" s="1367"/>
      <c r="Y108" s="1367"/>
      <c r="Z108" s="545"/>
      <c r="AA108" s="1367"/>
      <c r="AB108" s="1367"/>
      <c r="AC108" s="1367"/>
      <c r="AD108" s="1367"/>
      <c r="AE108" s="1367"/>
      <c r="AF108" s="1633"/>
      <c r="AG108" s="623"/>
      <c r="AH108" s="623"/>
      <c r="AI108" s="623"/>
      <c r="AJ108" s="623"/>
      <c r="AK108" s="1642">
        <v>11</v>
      </c>
    </row>
    <row s="1642" customFormat="1" customHeight="1" ht="11.549999999999999">
      <c r="A109" s="988"/>
      <c r="B109" s="988"/>
      <c r="C109" s="988"/>
      <c r="D109" s="988"/>
      <c r="E109" s="988"/>
      <c r="F109" s="1637"/>
      <c r="G109" s="1637"/>
      <c r="H109" s="352"/>
      <c r="N109" s="1367"/>
      <c r="P109" s="1367"/>
      <c r="Q109" s="1637"/>
      <c r="R109" s="1637"/>
      <c r="S109" s="1367"/>
      <c r="T109" s="1367"/>
      <c r="U109" s="1367"/>
      <c r="V109" s="1367"/>
      <c r="W109" s="1637"/>
      <c r="X109" s="1367"/>
      <c r="Y109" s="1367"/>
      <c r="Z109" s="545"/>
      <c r="AA109" s="1367"/>
      <c r="AB109" s="1367"/>
      <c r="AC109" s="1367"/>
      <c r="AD109" s="1367"/>
      <c r="AE109" s="1367"/>
      <c r="AF109" s="1633"/>
      <c r="AG109" s="623"/>
      <c r="AH109" s="623"/>
      <c r="AI109" s="623"/>
      <c r="AJ109" s="623"/>
      <c r="AK109" s="1642">
        <v>11</v>
      </c>
    </row>
    <row s="1642" customFormat="1" customHeight="1" ht="11.549999999999999">
      <c r="A110" s="988"/>
      <c r="B110" s="988"/>
      <c r="C110" s="988"/>
      <c r="D110" s="988"/>
      <c r="E110" s="988"/>
      <c r="F110" s="1637"/>
      <c r="G110" s="1637"/>
      <c r="H110" s="352"/>
      <c r="N110" s="1367"/>
      <c r="P110" s="1367"/>
      <c r="Q110" s="1637"/>
      <c r="R110" s="1637"/>
      <c r="S110" s="1367"/>
      <c r="T110" s="1367"/>
      <c r="U110" s="1367"/>
      <c r="V110" s="1367"/>
      <c r="W110" s="1637"/>
      <c r="X110" s="1367"/>
      <c r="Y110" s="1367"/>
      <c r="Z110" s="545"/>
      <c r="AA110" s="1367"/>
      <c r="AB110" s="1367"/>
      <c r="AC110" s="1367"/>
      <c r="AD110" s="1367"/>
      <c r="AE110" s="1367"/>
      <c r="AF110" s="1633"/>
      <c r="AG110" s="623"/>
      <c r="AH110" s="623"/>
      <c r="AI110" s="623"/>
      <c r="AJ110" s="623"/>
      <c r="AK110" s="1642">
        <v>11</v>
      </c>
    </row>
    <row s="1642" customFormat="1" customHeight="1" ht="11.549999999999999">
      <c r="A111" s="988"/>
      <c r="B111" s="988"/>
      <c r="C111" s="988"/>
      <c r="D111" s="988"/>
      <c r="E111" s="988"/>
      <c r="F111" s="1637"/>
      <c r="G111" s="1637"/>
      <c r="H111" s="352"/>
      <c r="N111" s="1367"/>
      <c r="P111" s="1367"/>
      <c r="Q111" s="1637"/>
      <c r="R111" s="1637"/>
      <c r="S111" s="1367"/>
      <c r="T111" s="1367"/>
      <c r="U111" s="1367"/>
      <c r="V111" s="1367"/>
      <c r="W111" s="1637"/>
      <c r="X111" s="1367"/>
      <c r="Y111" s="1367"/>
      <c r="Z111" s="545"/>
      <c r="AA111" s="1367"/>
      <c r="AB111" s="1367"/>
      <c r="AC111" s="1367"/>
      <c r="AD111" s="1367"/>
      <c r="AE111" s="1367"/>
      <c r="AF111" s="1633"/>
      <c r="AG111" s="623"/>
      <c r="AH111" s="623"/>
      <c r="AI111" s="623"/>
      <c r="AJ111" s="623"/>
      <c r="AK111" s="1642">
        <v>11</v>
      </c>
    </row>
    <row s="1642" customFormat="1" customHeight="1" ht="11.549999999999999">
      <c r="A112" s="988"/>
      <c r="B112" s="988"/>
      <c r="C112" s="988"/>
      <c r="D112" s="988"/>
      <c r="E112" s="988"/>
      <c r="F112" s="1637"/>
      <c r="G112" s="1637"/>
      <c r="H112" s="352"/>
      <c r="N112" s="1367"/>
      <c r="P112" s="1367"/>
      <c r="Q112" s="1637"/>
      <c r="R112" s="1637"/>
      <c r="S112" s="1367"/>
      <c r="T112" s="1367"/>
      <c r="U112" s="1367"/>
      <c r="V112" s="1367"/>
      <c r="W112" s="1637"/>
      <c r="X112" s="1367"/>
      <c r="Y112" s="1367"/>
      <c r="Z112" s="545"/>
      <c r="AA112" s="1367"/>
      <c r="AB112" s="1367"/>
      <c r="AC112" s="1367"/>
      <c r="AD112" s="1367"/>
      <c r="AE112" s="1367"/>
      <c r="AF112" s="1633"/>
      <c r="AG112" s="623"/>
      <c r="AH112" s="623"/>
      <c r="AI112" s="623"/>
      <c r="AJ112" s="623"/>
      <c r="AK112" s="1642">
        <v>11</v>
      </c>
    </row>
    <row s="1642" customFormat="1" customHeight="1" ht="11.549999999999999">
      <c r="A113" s="988"/>
      <c r="B113" s="988"/>
      <c r="C113" s="988"/>
      <c r="D113" s="988"/>
      <c r="E113" s="988"/>
      <c r="F113" s="1637"/>
      <c r="G113" s="1637"/>
      <c r="H113" s="352"/>
      <c r="N113" s="1367"/>
      <c r="P113" s="1367"/>
      <c r="Q113" s="1637"/>
      <c r="R113" s="1637"/>
      <c r="S113" s="1367"/>
      <c r="T113" s="1367"/>
      <c r="U113" s="1367"/>
      <c r="V113" s="1367"/>
      <c r="W113" s="1637"/>
      <c r="X113" s="1367"/>
      <c r="Y113" s="1367"/>
      <c r="Z113" s="545"/>
      <c r="AA113" s="1367"/>
      <c r="AB113" s="1367"/>
      <c r="AC113" s="1367"/>
      <c r="AD113" s="1367"/>
      <c r="AE113" s="1367"/>
      <c r="AF113" s="1633"/>
      <c r="AG113" s="623"/>
      <c r="AH113" s="623"/>
      <c r="AI113" s="623"/>
      <c r="AJ113" s="623"/>
      <c r="AK113" s="1642">
        <v>11</v>
      </c>
    </row>
    <row s="1642" customFormat="1" customHeight="1" ht="11.549999999999999">
      <c r="A114" s="988"/>
      <c r="B114" s="988"/>
      <c r="C114" s="988"/>
      <c r="D114" s="988"/>
      <c r="E114" s="988"/>
      <c r="F114" s="1637"/>
      <c r="G114" s="1637"/>
      <c r="H114" s="352"/>
      <c r="N114" s="1367"/>
      <c r="P114" s="1367"/>
      <c r="Q114" s="1637"/>
      <c r="R114" s="1637"/>
      <c r="S114" s="1367"/>
      <c r="T114" s="1367"/>
      <c r="U114" s="1367"/>
      <c r="V114" s="1367"/>
      <c r="W114" s="1637"/>
      <c r="X114" s="1367"/>
      <c r="Y114" s="1367"/>
      <c r="Z114" s="545"/>
      <c r="AA114" s="1367"/>
      <c r="AB114" s="1367"/>
      <c r="AC114" s="1367"/>
      <c r="AD114" s="1367"/>
      <c r="AE114" s="1367"/>
      <c r="AF114" s="1633"/>
      <c r="AG114" s="623"/>
      <c r="AH114" s="623"/>
      <c r="AI114" s="623"/>
      <c r="AJ114" s="623"/>
      <c r="AK114" s="1642">
        <v>11</v>
      </c>
    </row>
    <row s="1642" customFormat="1" customHeight="1" ht="11.549999999999999">
      <c r="A115" s="988"/>
      <c r="B115" s="988"/>
      <c r="C115" s="988"/>
      <c r="D115" s="988"/>
      <c r="E115" s="988"/>
      <c r="F115" s="1637"/>
      <c r="G115" s="1637"/>
      <c r="H115" s="352"/>
      <c r="N115" s="1367"/>
      <c r="P115" s="1367"/>
      <c r="Q115" s="1637"/>
      <c r="R115" s="1637"/>
      <c r="S115" s="1367"/>
      <c r="T115" s="1367"/>
      <c r="U115" s="1367"/>
      <c r="V115" s="1367"/>
      <c r="W115" s="1637"/>
      <c r="X115" s="1367"/>
      <c r="Y115" s="1367"/>
      <c r="Z115" s="545"/>
      <c r="AA115" s="1367"/>
      <c r="AB115" s="1367"/>
      <c r="AC115" s="1367"/>
      <c r="AD115" s="1367"/>
      <c r="AE115" s="1367"/>
      <c r="AF115" s="1633"/>
      <c r="AG115" s="623"/>
      <c r="AH115" s="623"/>
      <c r="AI115" s="623"/>
      <c r="AJ115" s="623"/>
      <c r="AK115" s="1642">
        <v>11</v>
      </c>
    </row>
    <row s="1642" customFormat="1" customHeight="1" ht="11.549999999999999">
      <c r="A116" s="988"/>
      <c r="B116" s="988"/>
      <c r="C116" s="988"/>
      <c r="D116" s="988"/>
      <c r="E116" s="988"/>
      <c r="F116" s="1637"/>
      <c r="G116" s="1637"/>
      <c r="H116" s="352"/>
      <c r="N116" s="1367"/>
      <c r="P116" s="1367"/>
      <c r="Q116" s="1637"/>
      <c r="R116" s="1637"/>
      <c r="S116" s="1367"/>
      <c r="T116" s="1367"/>
      <c r="U116" s="1367"/>
      <c r="V116" s="1367"/>
      <c r="W116" s="1637"/>
      <c r="X116" s="1367"/>
      <c r="Y116" s="1367"/>
      <c r="Z116" s="545"/>
      <c r="AA116" s="1367"/>
      <c r="AB116" s="1367"/>
      <c r="AC116" s="1367"/>
      <c r="AD116" s="1367"/>
      <c r="AE116" s="1367"/>
      <c r="AF116" s="1633"/>
      <c r="AG116" s="623"/>
      <c r="AH116" s="623"/>
      <c r="AI116" s="623"/>
      <c r="AJ116" s="623"/>
      <c r="AK116" s="1642">
        <v>11</v>
      </c>
    </row>
    <row s="1642" customFormat="1" customHeight="1" ht="11.549999999999999">
      <c r="A117" s="988"/>
      <c r="B117" s="988"/>
      <c r="C117" s="988"/>
      <c r="D117" s="988"/>
      <c r="E117" s="988"/>
      <c r="F117" s="1637"/>
      <c r="G117" s="1637"/>
      <c r="H117" s="352"/>
      <c r="N117" s="1367"/>
      <c r="P117" s="1367"/>
      <c r="Q117" s="1637"/>
      <c r="R117" s="1637"/>
      <c r="S117" s="1367"/>
      <c r="T117" s="1367"/>
      <c r="U117" s="1367"/>
      <c r="V117" s="1367"/>
      <c r="W117" s="1637"/>
      <c r="X117" s="1367"/>
      <c r="Y117" s="1367"/>
      <c r="Z117" s="545"/>
      <c r="AA117" s="1367"/>
      <c r="AB117" s="1367"/>
      <c r="AC117" s="1367"/>
      <c r="AD117" s="1367"/>
      <c r="AE117" s="1367"/>
      <c r="AF117" s="1633"/>
      <c r="AG117" s="623"/>
      <c r="AH117" s="623"/>
      <c r="AI117" s="623"/>
      <c r="AJ117" s="623"/>
      <c r="AK117" s="1642">
        <v>11</v>
      </c>
    </row>
    <row s="1642" customFormat="1" customHeight="1" ht="11.549999999999999">
      <c r="A118" s="988"/>
      <c r="B118" s="988"/>
      <c r="C118" s="988"/>
      <c r="D118" s="988"/>
      <c r="E118" s="988"/>
      <c r="F118" s="1637"/>
      <c r="G118" s="1637"/>
      <c r="H118" s="352"/>
      <c r="N118" s="1367"/>
      <c r="P118" s="1367"/>
      <c r="Q118" s="1637"/>
      <c r="R118" s="1637"/>
      <c r="S118" s="1367"/>
      <c r="T118" s="1367"/>
      <c r="U118" s="1367"/>
      <c r="V118" s="1367"/>
      <c r="W118" s="1637"/>
      <c r="X118" s="1367"/>
      <c r="Y118" s="1367"/>
      <c r="Z118" s="545"/>
      <c r="AA118" s="1367"/>
      <c r="AB118" s="1367"/>
      <c r="AC118" s="1367"/>
      <c r="AD118" s="1367"/>
      <c r="AE118" s="1367"/>
      <c r="AF118" s="1633"/>
      <c r="AG118" s="623"/>
      <c r="AH118" s="623"/>
      <c r="AI118" s="623"/>
      <c r="AJ118" s="623"/>
      <c r="AK118" s="1642">
        <v>11</v>
      </c>
    </row>
    <row s="1642" customFormat="1" customHeight="1" ht="11.549999999999999">
      <c r="A119" s="988"/>
      <c r="B119" s="988"/>
      <c r="C119" s="988"/>
      <c r="D119" s="988"/>
      <c r="E119" s="988"/>
      <c r="F119" s="1637"/>
      <c r="G119" s="1637"/>
      <c r="H119" s="352"/>
      <c r="N119" s="1367"/>
      <c r="P119" s="1367"/>
      <c r="Q119" s="1637"/>
      <c r="R119" s="1637"/>
      <c r="S119" s="1367"/>
      <c r="T119" s="1367"/>
      <c r="U119" s="1367"/>
      <c r="V119" s="1367"/>
      <c r="W119" s="1637"/>
      <c r="X119" s="1367"/>
      <c r="Y119" s="1367"/>
      <c r="Z119" s="545"/>
      <c r="AA119" s="1367"/>
      <c r="AB119" s="1367"/>
      <c r="AC119" s="1367"/>
      <c r="AD119" s="1367"/>
      <c r="AE119" s="1367"/>
      <c r="AF119" s="1633"/>
      <c r="AG119" s="623"/>
      <c r="AH119" s="623"/>
      <c r="AI119" s="623"/>
      <c r="AJ119" s="623"/>
      <c r="AK119" s="1642">
        <v>11</v>
      </c>
    </row>
    <row s="1642" customFormat="1" customHeight="1" ht="11.549999999999999">
      <c r="A120" s="988"/>
      <c r="B120" s="988"/>
      <c r="C120" s="988"/>
      <c r="D120" s="988"/>
      <c r="E120" s="988"/>
      <c r="F120" s="1637"/>
      <c r="G120" s="1637"/>
      <c r="H120" s="352"/>
      <c r="N120" s="1367"/>
      <c r="P120" s="1367"/>
      <c r="Q120" s="1637"/>
      <c r="R120" s="1637"/>
      <c r="S120" s="1367"/>
      <c r="T120" s="1367"/>
      <c r="U120" s="1367"/>
      <c r="V120" s="1367"/>
      <c r="W120" s="1637"/>
      <c r="X120" s="1367"/>
      <c r="Y120" s="1367"/>
      <c r="Z120" s="545"/>
      <c r="AA120" s="1367"/>
      <c r="AB120" s="1367"/>
      <c r="AC120" s="1367"/>
      <c r="AD120" s="1367"/>
      <c r="AE120" s="1367"/>
      <c r="AF120" s="1633"/>
      <c r="AG120" s="623"/>
      <c r="AH120" s="623"/>
      <c r="AI120" s="623"/>
      <c r="AJ120" s="623"/>
      <c r="AK120" s="1642">
        <v>11</v>
      </c>
    </row>
    <row s="1642" customFormat="1" customHeight="1" ht="11.549999999999999">
      <c r="A121" s="988"/>
      <c r="B121" s="988"/>
      <c r="C121" s="988"/>
      <c r="D121" s="988"/>
      <c r="E121" s="988"/>
      <c r="F121" s="1637"/>
      <c r="G121" s="1637"/>
      <c r="H121" s="352"/>
      <c r="N121" s="1367"/>
      <c r="P121" s="1367"/>
      <c r="Q121" s="1637"/>
      <c r="R121" s="1637"/>
      <c r="S121" s="1367"/>
      <c r="T121" s="1367"/>
      <c r="U121" s="1367"/>
      <c r="V121" s="1367"/>
      <c r="W121" s="1637"/>
      <c r="X121" s="1367"/>
      <c r="Y121" s="1367"/>
      <c r="Z121" s="545"/>
      <c r="AA121" s="1367"/>
      <c r="AB121" s="1367"/>
      <c r="AC121" s="1367"/>
      <c r="AD121" s="1367"/>
      <c r="AE121" s="1367"/>
      <c r="AF121" s="1633"/>
      <c r="AG121" s="623"/>
      <c r="AH121" s="623"/>
      <c r="AI121" s="623"/>
      <c r="AJ121" s="623"/>
      <c r="AK121" s="1642">
        <v>11</v>
      </c>
    </row>
    <row s="1642" customFormat="1" customHeight="1" ht="11.549999999999999">
      <c r="A122" s="988"/>
      <c r="B122" s="988"/>
      <c r="C122" s="988"/>
      <c r="D122" s="988"/>
      <c r="E122" s="988"/>
      <c r="F122" s="1637"/>
      <c r="G122" s="1637"/>
      <c r="H122" s="352"/>
      <c r="N122" s="1367"/>
      <c r="P122" s="1367"/>
      <c r="Q122" s="1637"/>
      <c r="R122" s="1637"/>
      <c r="S122" s="1367"/>
      <c r="T122" s="1367"/>
      <c r="U122" s="1367"/>
      <c r="V122" s="1367"/>
      <c r="W122" s="1637"/>
      <c r="X122" s="1367"/>
      <c r="Y122" s="1367"/>
      <c r="Z122" s="545"/>
      <c r="AA122" s="1367"/>
      <c r="AB122" s="1367"/>
      <c r="AC122" s="1367"/>
      <c r="AD122" s="1367"/>
      <c r="AE122" s="1367"/>
      <c r="AF122" s="1633"/>
      <c r="AG122" s="623"/>
      <c r="AH122" s="623"/>
      <c r="AI122" s="623"/>
      <c r="AJ122" s="623"/>
      <c r="AK122" s="1642">
        <v>11</v>
      </c>
    </row>
    <row s="1642" customFormat="1" customHeight="1" ht="11.549999999999999">
      <c r="A123" s="988"/>
      <c r="B123" s="988"/>
      <c r="C123" s="988"/>
      <c r="D123" s="988"/>
      <c r="E123" s="988"/>
      <c r="F123" s="1637"/>
      <c r="G123" s="1637"/>
      <c r="H123" s="352"/>
      <c r="N123" s="1367"/>
      <c r="P123" s="1367"/>
      <c r="Q123" s="1637"/>
      <c r="R123" s="1637"/>
      <c r="S123" s="1367"/>
      <c r="T123" s="1367"/>
      <c r="U123" s="1367"/>
      <c r="V123" s="1367"/>
      <c r="W123" s="1637"/>
      <c r="X123" s="1367"/>
      <c r="Y123" s="1367"/>
      <c r="Z123" s="545"/>
      <c r="AA123" s="1367"/>
      <c r="AB123" s="1367"/>
      <c r="AC123" s="1367"/>
      <c r="AD123" s="1367"/>
      <c r="AE123" s="1367"/>
      <c r="AF123" s="1633"/>
      <c r="AG123" s="623"/>
      <c r="AH123" s="623"/>
      <c r="AI123" s="623"/>
      <c r="AJ123" s="623"/>
      <c r="AK123" s="1642">
        <v>11</v>
      </c>
    </row>
    <row s="1642" customFormat="1" customHeight="1" ht="11.549999999999999">
      <c r="A124" s="988"/>
      <c r="B124" s="988"/>
      <c r="C124" s="988"/>
      <c r="D124" s="988"/>
      <c r="E124" s="988"/>
      <c r="F124" s="1637"/>
      <c r="G124" s="1637"/>
      <c r="H124" s="352"/>
      <c r="N124" s="1367"/>
      <c r="P124" s="1367"/>
      <c r="Q124" s="1637"/>
      <c r="R124" s="1637"/>
      <c r="S124" s="1367"/>
      <c r="T124" s="1367"/>
      <c r="U124" s="1367"/>
      <c r="V124" s="1367"/>
      <c r="W124" s="1637"/>
      <c r="X124" s="1367"/>
      <c r="Y124" s="1367"/>
      <c r="Z124" s="545"/>
      <c r="AA124" s="1367"/>
      <c r="AB124" s="1367"/>
      <c r="AC124" s="1367"/>
      <c r="AD124" s="1367"/>
      <c r="AE124" s="1367"/>
      <c r="AF124" s="1633"/>
      <c r="AG124" s="623"/>
      <c r="AH124" s="623"/>
      <c r="AI124" s="623"/>
      <c r="AJ124" s="623"/>
      <c r="AK124" s="1642">
        <v>11</v>
      </c>
    </row>
    <row s="1642" customFormat="1" customHeight="1" ht="11.549999999999999">
      <c r="A125" s="988"/>
      <c r="B125" s="988"/>
      <c r="C125" s="988"/>
      <c r="D125" s="988"/>
      <c r="E125" s="988"/>
      <c r="F125" s="1637"/>
      <c r="G125" s="1637"/>
      <c r="H125" s="352"/>
      <c r="N125" s="1367"/>
      <c r="P125" s="1367"/>
      <c r="Q125" s="1637"/>
      <c r="R125" s="1637"/>
      <c r="S125" s="1367"/>
      <c r="T125" s="1367"/>
      <c r="U125" s="1367"/>
      <c r="V125" s="1367"/>
      <c r="W125" s="1637"/>
      <c r="X125" s="1367"/>
      <c r="Y125" s="1367"/>
      <c r="Z125" s="545"/>
      <c r="AA125" s="1367"/>
      <c r="AB125" s="1367"/>
      <c r="AC125" s="1367"/>
      <c r="AD125" s="1367"/>
      <c r="AE125" s="1367"/>
      <c r="AF125" s="1633"/>
      <c r="AG125" s="623"/>
      <c r="AH125" s="623"/>
      <c r="AI125" s="623"/>
      <c r="AJ125" s="623"/>
      <c r="AK125" s="1642">
        <v>11</v>
      </c>
    </row>
    <row s="1642" customFormat="1" customHeight="1" ht="11.549999999999999">
      <c r="A126" s="988"/>
      <c r="B126" s="988"/>
      <c r="C126" s="988"/>
      <c r="D126" s="988"/>
      <c r="E126" s="988"/>
      <c r="F126" s="1637"/>
      <c r="G126" s="1637"/>
      <c r="H126" s="352"/>
      <c r="N126" s="1367"/>
      <c r="P126" s="1367"/>
      <c r="Q126" s="1637"/>
      <c r="R126" s="1637"/>
      <c r="S126" s="1367"/>
      <c r="T126" s="1367"/>
      <c r="U126" s="1367"/>
      <c r="V126" s="1367"/>
      <c r="W126" s="1637"/>
      <c r="X126" s="1367"/>
      <c r="Y126" s="1367"/>
      <c r="Z126" s="545"/>
      <c r="AA126" s="1367"/>
      <c r="AB126" s="1367"/>
      <c r="AC126" s="1367"/>
      <c r="AD126" s="1367"/>
      <c r="AE126" s="1367"/>
      <c r="AF126" s="1633"/>
      <c r="AG126" s="623"/>
      <c r="AH126" s="623"/>
      <c r="AI126" s="623"/>
      <c r="AJ126" s="623"/>
      <c r="AK126" s="1642">
        <v>11</v>
      </c>
    </row>
    <row s="1642" customFormat="1" customHeight="1" ht="11.549999999999999">
      <c r="A127" s="988"/>
      <c r="B127" s="988"/>
      <c r="C127" s="988"/>
      <c r="D127" s="988"/>
      <c r="E127" s="988"/>
      <c r="F127" s="1637"/>
      <c r="G127" s="1637"/>
      <c r="H127" s="352"/>
      <c r="N127" s="1367"/>
      <c r="P127" s="1367"/>
      <c r="Q127" s="1637"/>
      <c r="R127" s="1637"/>
      <c r="S127" s="1367"/>
      <c r="T127" s="1367"/>
      <c r="U127" s="1367"/>
      <c r="V127" s="1367"/>
      <c r="W127" s="1637"/>
      <c r="X127" s="1367"/>
      <c r="Y127" s="1367"/>
      <c r="Z127" s="545"/>
      <c r="AA127" s="1367"/>
      <c r="AB127" s="1367"/>
      <c r="AC127" s="1367"/>
      <c r="AD127" s="1367"/>
      <c r="AE127" s="1367"/>
      <c r="AF127" s="1633"/>
      <c r="AG127" s="623"/>
      <c r="AH127" s="623"/>
      <c r="AI127" s="623"/>
      <c r="AJ127" s="623"/>
      <c r="AK127" s="1642">
        <v>11</v>
      </c>
    </row>
    <row s="1642" customFormat="1" customHeight="1" ht="11.549999999999999">
      <c r="A128" s="988"/>
      <c r="B128" s="988"/>
      <c r="C128" s="988"/>
      <c r="D128" s="988"/>
      <c r="E128" s="988"/>
      <c r="F128" s="1637"/>
      <c r="G128" s="1637"/>
      <c r="H128" s="352"/>
      <c r="N128" s="1367"/>
      <c r="P128" s="1367"/>
      <c r="Q128" s="1637"/>
      <c r="R128" s="1637"/>
      <c r="S128" s="1367"/>
      <c r="T128" s="1367"/>
      <c r="U128" s="1367"/>
      <c r="V128" s="1367"/>
      <c r="W128" s="1637"/>
      <c r="X128" s="1367"/>
      <c r="Y128" s="1367"/>
      <c r="Z128" s="545"/>
      <c r="AA128" s="1367"/>
      <c r="AB128" s="1367"/>
      <c r="AC128" s="1367"/>
      <c r="AD128" s="1367"/>
      <c r="AE128" s="1367"/>
      <c r="AF128" s="1633"/>
      <c r="AG128" s="623"/>
      <c r="AH128" s="623"/>
      <c r="AI128" s="623"/>
      <c r="AJ128" s="623"/>
      <c r="AK128" s="1642">
        <v>11</v>
      </c>
    </row>
    <row s="1642" customFormat="1" customHeight="1" ht="11.549999999999999">
      <c r="A129" s="988"/>
      <c r="B129" s="988"/>
      <c r="C129" s="988"/>
      <c r="D129" s="988"/>
      <c r="E129" s="988"/>
      <c r="F129" s="1637"/>
      <c r="G129" s="1637"/>
      <c r="H129" s="352"/>
      <c r="N129" s="1367"/>
      <c r="P129" s="1367"/>
      <c r="Q129" s="1637"/>
      <c r="R129" s="1637"/>
      <c r="S129" s="1367"/>
      <c r="T129" s="1367"/>
      <c r="U129" s="1367"/>
      <c r="V129" s="1367"/>
      <c r="W129" s="1637"/>
      <c r="X129" s="1367"/>
      <c r="Y129" s="1367"/>
      <c r="Z129" s="545"/>
      <c r="AA129" s="1367"/>
      <c r="AB129" s="1367"/>
      <c r="AC129" s="1367"/>
      <c r="AD129" s="1367"/>
      <c r="AE129" s="1367"/>
      <c r="AF129" s="1633"/>
      <c r="AG129" s="623"/>
      <c r="AH129" s="623"/>
      <c r="AI129" s="623"/>
      <c r="AJ129" s="623"/>
      <c r="AK129" s="1642">
        <v>11</v>
      </c>
    </row>
    <row s="1642" customFormat="1" customHeight="1" ht="11.549999999999999">
      <c r="A130" s="988"/>
      <c r="B130" s="988"/>
      <c r="C130" s="988"/>
      <c r="D130" s="988"/>
      <c r="E130" s="988"/>
      <c r="F130" s="1637"/>
      <c r="G130" s="1637"/>
      <c r="H130" s="352"/>
      <c r="N130" s="1367"/>
      <c r="P130" s="1367"/>
      <c r="Q130" s="1637"/>
      <c r="R130" s="1637"/>
      <c r="S130" s="1367"/>
      <c r="T130" s="1367"/>
      <c r="U130" s="1367"/>
      <c r="V130" s="1367"/>
      <c r="W130" s="1637"/>
      <c r="X130" s="1367"/>
      <c r="Y130" s="1367"/>
      <c r="Z130" s="545"/>
      <c r="AA130" s="1367"/>
      <c r="AB130" s="1367"/>
      <c r="AC130" s="1367"/>
      <c r="AD130" s="1367"/>
      <c r="AE130" s="1367"/>
      <c r="AF130" s="1633"/>
      <c r="AG130" s="623"/>
      <c r="AH130" s="623"/>
      <c r="AI130" s="623"/>
      <c r="AJ130" s="623"/>
      <c r="AK130" s="1642">
        <v>11</v>
      </c>
    </row>
    <row s="1642" customFormat="1" customHeight="1" ht="11.549999999999999">
      <c r="A131" s="988"/>
      <c r="B131" s="988"/>
      <c r="C131" s="988"/>
      <c r="D131" s="988"/>
      <c r="E131" s="988"/>
      <c r="F131" s="1637"/>
      <c r="G131" s="1637"/>
      <c r="H131" s="352"/>
      <c r="N131" s="1367"/>
      <c r="P131" s="1367"/>
      <c r="Q131" s="1637"/>
      <c r="R131" s="1637"/>
      <c r="S131" s="1367"/>
      <c r="T131" s="1367"/>
      <c r="U131" s="1367"/>
      <c r="V131" s="1367"/>
      <c r="W131" s="1637"/>
      <c r="X131" s="1367"/>
      <c r="Y131" s="1367"/>
      <c r="Z131" s="545"/>
      <c r="AA131" s="1367"/>
      <c r="AB131" s="1367"/>
      <c r="AC131" s="1367"/>
      <c r="AD131" s="1367"/>
      <c r="AE131" s="1367"/>
      <c r="AF131" s="1633"/>
      <c r="AG131" s="623"/>
      <c r="AH131" s="623"/>
      <c r="AI131" s="623"/>
      <c r="AJ131" s="623"/>
      <c r="AK131" s="1642">
        <v>11</v>
      </c>
    </row>
    <row s="1642" customFormat="1" customHeight="1" ht="11.549999999999999">
      <c r="A132" s="988"/>
      <c r="B132" s="988"/>
      <c r="C132" s="988"/>
      <c r="D132" s="988"/>
      <c r="E132" s="988"/>
      <c r="F132" s="1637"/>
      <c r="G132" s="1637"/>
      <c r="H132" s="352"/>
      <c r="N132" s="1367"/>
      <c r="P132" s="1367"/>
      <c r="Q132" s="1637"/>
      <c r="R132" s="1637"/>
      <c r="S132" s="1367"/>
      <c r="T132" s="1367"/>
      <c r="U132" s="1367"/>
      <c r="V132" s="1367"/>
      <c r="W132" s="1637"/>
      <c r="X132" s="1367"/>
      <c r="Y132" s="1367"/>
      <c r="Z132" s="545"/>
      <c r="AA132" s="1367"/>
      <c r="AB132" s="1367"/>
      <c r="AC132" s="1367"/>
      <c r="AD132" s="1367"/>
      <c r="AE132" s="1367"/>
      <c r="AF132" s="1633"/>
      <c r="AG132" s="623"/>
      <c r="AH132" s="623"/>
      <c r="AI132" s="623"/>
      <c r="AJ132" s="623"/>
      <c r="AK132" s="1642">
        <v>11</v>
      </c>
    </row>
    <row s="1642" customFormat="1" customHeight="1" ht="11.549999999999999">
      <c r="A133" s="988"/>
      <c r="B133" s="988"/>
      <c r="C133" s="988"/>
      <c r="D133" s="988"/>
      <c r="E133" s="988"/>
      <c r="F133" s="1637"/>
      <c r="G133" s="1637"/>
      <c r="H133" s="352"/>
      <c r="N133" s="1367"/>
      <c r="P133" s="1367"/>
      <c r="Q133" s="1637"/>
      <c r="R133" s="1637"/>
      <c r="S133" s="1367"/>
      <c r="T133" s="1367"/>
      <c r="U133" s="1367"/>
      <c r="V133" s="1367"/>
      <c r="W133" s="1637"/>
      <c r="X133" s="1367"/>
      <c r="Y133" s="1367"/>
      <c r="Z133" s="545"/>
      <c r="AA133" s="1367"/>
      <c r="AB133" s="1367"/>
      <c r="AC133" s="1367"/>
      <c r="AD133" s="1367"/>
      <c r="AE133" s="1367"/>
      <c r="AF133" s="1633"/>
      <c r="AG133" s="623"/>
      <c r="AH133" s="623"/>
      <c r="AI133" s="623"/>
      <c r="AJ133" s="623"/>
      <c r="AK133" s="1642">
        <v>11</v>
      </c>
    </row>
    <row s="1642" customFormat="1" customHeight="1" ht="11.549999999999999">
      <c r="A134" s="988"/>
      <c r="B134" s="988"/>
      <c r="C134" s="988"/>
      <c r="D134" s="988"/>
      <c r="E134" s="988"/>
      <c r="F134" s="1637"/>
      <c r="G134" s="1637"/>
      <c r="H134" s="352"/>
      <c r="N134" s="1367"/>
      <c r="P134" s="1367"/>
      <c r="Q134" s="1637"/>
      <c r="R134" s="1637"/>
      <c r="S134" s="1367"/>
      <c r="T134" s="1367"/>
      <c r="U134" s="1367"/>
      <c r="V134" s="1367"/>
      <c r="W134" s="1637"/>
      <c r="X134" s="1367"/>
      <c r="Y134" s="1367"/>
      <c r="Z134" s="545"/>
      <c r="AA134" s="1367"/>
      <c r="AB134" s="1367"/>
      <c r="AC134" s="1367"/>
      <c r="AD134" s="1367"/>
      <c r="AE134" s="1367"/>
      <c r="AF134" s="1633"/>
      <c r="AG134" s="623"/>
      <c r="AH134" s="623"/>
      <c r="AI134" s="623"/>
      <c r="AJ134" s="623"/>
      <c r="AK134" s="1642">
        <v>11</v>
      </c>
    </row>
    <row s="1642" customFormat="1" customHeight="1" ht="11.549999999999999">
      <c r="A135" s="988"/>
      <c r="B135" s="988"/>
      <c r="C135" s="988"/>
      <c r="D135" s="988"/>
      <c r="E135" s="988"/>
      <c r="F135" s="1637"/>
      <c r="G135" s="1637"/>
      <c r="H135" s="352"/>
      <c r="N135" s="1367"/>
      <c r="P135" s="1367"/>
      <c r="Q135" s="1637"/>
      <c r="R135" s="1637"/>
      <c r="S135" s="1367"/>
      <c r="T135" s="1367"/>
      <c r="U135" s="1367"/>
      <c r="V135" s="1367"/>
      <c r="W135" s="1637"/>
      <c r="X135" s="1367"/>
      <c r="Y135" s="1367"/>
      <c r="Z135" s="545"/>
      <c r="AA135" s="1367"/>
      <c r="AB135" s="1367"/>
      <c r="AC135" s="1367"/>
      <c r="AD135" s="1367"/>
      <c r="AE135" s="1367"/>
      <c r="AF135" s="1633"/>
      <c r="AG135" s="623"/>
      <c r="AH135" s="623"/>
      <c r="AI135" s="623"/>
      <c r="AJ135" s="623"/>
      <c r="AK135" s="1642">
        <v>11</v>
      </c>
    </row>
    <row s="1642" customFormat="1" customHeight="1" ht="11.549999999999999">
      <c r="A136" s="988"/>
      <c r="B136" s="988"/>
      <c r="C136" s="988"/>
      <c r="D136" s="988"/>
      <c r="E136" s="988"/>
      <c r="F136" s="1637"/>
      <c r="G136" s="1637"/>
      <c r="H136" s="352"/>
      <c r="N136" s="1367"/>
      <c r="P136" s="1367"/>
      <c r="Q136" s="1637"/>
      <c r="R136" s="1637"/>
      <c r="S136" s="1367"/>
      <c r="T136" s="1367"/>
      <c r="U136" s="1367"/>
      <c r="V136" s="1367"/>
      <c r="W136" s="1637"/>
      <c r="X136" s="1367"/>
      <c r="Y136" s="1367"/>
      <c r="Z136" s="545"/>
      <c r="AA136" s="1367"/>
      <c r="AB136" s="1367"/>
      <c r="AC136" s="1367"/>
      <c r="AD136" s="1367"/>
      <c r="AE136" s="1367"/>
      <c r="AF136" s="1633"/>
      <c r="AG136" s="623"/>
      <c r="AH136" s="623"/>
      <c r="AI136" s="623"/>
      <c r="AJ136" s="623"/>
      <c r="AK136" s="1642">
        <v>11</v>
      </c>
    </row>
    <row s="1642" customFormat="1" customHeight="1" ht="11.549999999999999">
      <c r="A137" s="988"/>
      <c r="B137" s="988"/>
      <c r="C137" s="988"/>
      <c r="D137" s="988"/>
      <c r="E137" s="988"/>
      <c r="F137" s="1637"/>
      <c r="G137" s="1637"/>
      <c r="H137" s="352"/>
      <c r="N137" s="1367"/>
      <c r="P137" s="1367"/>
      <c r="Q137" s="1637"/>
      <c r="R137" s="1637"/>
      <c r="S137" s="1367"/>
      <c r="T137" s="1367"/>
      <c r="U137" s="1367"/>
      <c r="V137" s="1367"/>
      <c r="W137" s="1637"/>
      <c r="X137" s="1367"/>
      <c r="Y137" s="1367"/>
      <c r="Z137" s="545"/>
      <c r="AA137" s="1367"/>
      <c r="AB137" s="1367"/>
      <c r="AC137" s="1367"/>
      <c r="AD137" s="1367"/>
      <c r="AE137" s="1367"/>
      <c r="AF137" s="1633"/>
      <c r="AG137" s="623"/>
      <c r="AH137" s="623"/>
      <c r="AI137" s="623"/>
      <c r="AJ137" s="623"/>
      <c r="AK137" s="1642">
        <v>11</v>
      </c>
    </row>
    <row s="1642" customFormat="1" customHeight="1" ht="11.549999999999999">
      <c r="A138" s="988"/>
      <c r="B138" s="988"/>
      <c r="C138" s="988"/>
      <c r="D138" s="988"/>
      <c r="E138" s="988"/>
      <c r="F138" s="1637"/>
      <c r="G138" s="1637"/>
      <c r="H138" s="352"/>
      <c r="N138" s="1367"/>
      <c r="P138" s="1367"/>
      <c r="Q138" s="1637"/>
      <c r="R138" s="1637"/>
      <c r="S138" s="1367"/>
      <c r="T138" s="1367"/>
      <c r="U138" s="1367"/>
      <c r="V138" s="1367"/>
      <c r="W138" s="1637"/>
      <c r="X138" s="1367"/>
      <c r="Y138" s="1367"/>
      <c r="Z138" s="545"/>
      <c r="AA138" s="1367"/>
      <c r="AB138" s="1367"/>
      <c r="AC138" s="1367"/>
      <c r="AD138" s="1367"/>
      <c r="AE138" s="1367"/>
      <c r="AF138" s="1633"/>
      <c r="AG138" s="623"/>
      <c r="AH138" s="623"/>
      <c r="AI138" s="623"/>
      <c r="AJ138" s="623"/>
      <c r="AK138" s="1642">
        <v>11</v>
      </c>
    </row>
    <row s="1642" customFormat="1" customHeight="1" ht="11.549999999999999">
      <c r="A139" s="988"/>
      <c r="B139" s="988"/>
      <c r="C139" s="988"/>
      <c r="D139" s="988"/>
      <c r="E139" s="988"/>
      <c r="F139" s="1637"/>
      <c r="G139" s="1637"/>
      <c r="H139" s="352"/>
      <c r="N139" s="1367"/>
      <c r="P139" s="1367"/>
      <c r="Q139" s="1637"/>
      <c r="R139" s="1637"/>
      <c r="S139" s="1367"/>
      <c r="T139" s="1367"/>
      <c r="U139" s="1367"/>
      <c r="V139" s="1367"/>
      <c r="W139" s="1637"/>
      <c r="X139" s="1367"/>
      <c r="Y139" s="1367"/>
      <c r="Z139" s="545"/>
      <c r="AA139" s="1367"/>
      <c r="AB139" s="1367"/>
      <c r="AC139" s="1367"/>
      <c r="AD139" s="1367"/>
      <c r="AE139" s="1367"/>
      <c r="AF139" s="1633"/>
      <c r="AG139" s="623"/>
      <c r="AH139" s="623"/>
      <c r="AI139" s="623"/>
      <c r="AJ139" s="623"/>
      <c r="AK139" s="1642">
        <v>11</v>
      </c>
    </row>
    <row s="1642" customFormat="1" customHeight="1" ht="11.549999999999999">
      <c r="A140" s="988"/>
      <c r="B140" s="988"/>
      <c r="C140" s="988"/>
      <c r="D140" s="988"/>
      <c r="E140" s="988"/>
      <c r="F140" s="1637"/>
      <c r="G140" s="1637"/>
      <c r="H140" s="352"/>
      <c r="N140" s="1367"/>
      <c r="P140" s="1367"/>
      <c r="Q140" s="1637"/>
      <c r="R140" s="1637"/>
      <c r="S140" s="1367"/>
      <c r="T140" s="1367"/>
      <c r="U140" s="1367"/>
      <c r="V140" s="1367"/>
      <c r="W140" s="1637"/>
      <c r="X140" s="1367"/>
      <c r="Y140" s="1367"/>
      <c r="Z140" s="545"/>
      <c r="AA140" s="1367"/>
      <c r="AB140" s="1367"/>
      <c r="AC140" s="1367"/>
      <c r="AD140" s="1367"/>
      <c r="AE140" s="1367"/>
      <c r="AF140" s="1633"/>
      <c r="AG140" s="623"/>
      <c r="AH140" s="623"/>
      <c r="AI140" s="623"/>
      <c r="AJ140" s="623"/>
      <c r="AK140" s="1642">
        <v>11</v>
      </c>
    </row>
    <row s="1642" customFormat="1" customHeight="1" ht="11.549999999999999">
      <c r="A141" s="988"/>
      <c r="B141" s="988"/>
      <c r="C141" s="988"/>
      <c r="D141" s="988"/>
      <c r="E141" s="988"/>
      <c r="F141" s="1637"/>
      <c r="G141" s="1637"/>
      <c r="H141" s="352"/>
      <c r="N141" s="1367"/>
      <c r="P141" s="1367"/>
      <c r="Q141" s="1637"/>
      <c r="R141" s="1637"/>
      <c r="S141" s="1367"/>
      <c r="T141" s="1367"/>
      <c r="U141" s="1367"/>
      <c r="V141" s="1367"/>
      <c r="W141" s="1637"/>
      <c r="X141" s="1367"/>
      <c r="Y141" s="1367"/>
      <c r="Z141" s="545"/>
      <c r="AA141" s="1367"/>
      <c r="AB141" s="1367"/>
      <c r="AC141" s="1367"/>
      <c r="AD141" s="1367"/>
      <c r="AE141" s="1367"/>
      <c r="AF141" s="1633"/>
      <c r="AG141" s="623"/>
      <c r="AH141" s="623"/>
      <c r="AI141" s="623"/>
      <c r="AJ141" s="623"/>
      <c r="AK141" s="1642">
        <v>11</v>
      </c>
    </row>
    <row s="1642" customFormat="1" customHeight="1" ht="11.549999999999999">
      <c r="A142" s="988"/>
      <c r="B142" s="988"/>
      <c r="C142" s="988"/>
      <c r="D142" s="988"/>
      <c r="E142" s="988"/>
      <c r="F142" s="1637"/>
      <c r="G142" s="1637"/>
      <c r="H142" s="352"/>
      <c r="N142" s="1367"/>
      <c r="P142" s="1367"/>
      <c r="Q142" s="1637"/>
      <c r="R142" s="1637"/>
      <c r="S142" s="1367"/>
      <c r="T142" s="1367"/>
      <c r="U142" s="1367"/>
      <c r="V142" s="1367"/>
      <c r="W142" s="1637"/>
      <c r="X142" s="1367"/>
      <c r="Y142" s="1367"/>
      <c r="Z142" s="545"/>
      <c r="AA142" s="1367"/>
      <c r="AB142" s="1367"/>
      <c r="AC142" s="1367"/>
      <c r="AD142" s="1367"/>
      <c r="AE142" s="1367"/>
      <c r="AF142" s="1633"/>
      <c r="AG142" s="623"/>
      <c r="AH142" s="623"/>
      <c r="AI142" s="623"/>
      <c r="AJ142" s="623"/>
      <c r="AK142" s="1642">
        <v>11</v>
      </c>
    </row>
    <row s="1642" customFormat="1" customHeight="1" ht="11.549999999999999">
      <c r="A143" s="988"/>
      <c r="B143" s="988"/>
      <c r="C143" s="988"/>
      <c r="D143" s="988"/>
      <c r="E143" s="988"/>
      <c r="F143" s="1637"/>
      <c r="G143" s="1637"/>
      <c r="H143" s="352"/>
      <c r="N143" s="1367"/>
      <c r="P143" s="1367"/>
      <c r="Q143" s="1637"/>
      <c r="R143" s="1637"/>
      <c r="S143" s="1367"/>
      <c r="T143" s="1367"/>
      <c r="U143" s="1367"/>
      <c r="V143" s="1367"/>
      <c r="W143" s="1637"/>
      <c r="X143" s="1367"/>
      <c r="Y143" s="1367"/>
      <c r="Z143" s="545"/>
      <c r="AA143" s="1367"/>
      <c r="AB143" s="1367"/>
      <c r="AC143" s="1367"/>
      <c r="AD143" s="1367"/>
      <c r="AE143" s="1367"/>
      <c r="AF143" s="1633"/>
      <c r="AG143" s="623"/>
      <c r="AH143" s="623"/>
      <c r="AI143" s="623"/>
      <c r="AJ143" s="623"/>
      <c r="AK143" s="1642">
        <v>11</v>
      </c>
    </row>
    <row s="1642" customFormat="1" customHeight="1" ht="11.549999999999999">
      <c r="A144" s="988"/>
      <c r="B144" s="988"/>
      <c r="C144" s="988"/>
      <c r="D144" s="988"/>
      <c r="E144" s="988"/>
      <c r="F144" s="1637"/>
      <c r="G144" s="1637"/>
      <c r="H144" s="352"/>
      <c r="N144" s="1367"/>
      <c r="P144" s="1367"/>
      <c r="Q144" s="1637"/>
      <c r="R144" s="1637"/>
      <c r="S144" s="1367"/>
      <c r="T144" s="1367"/>
      <c r="U144" s="1367"/>
      <c r="V144" s="1367"/>
      <c r="W144" s="1637"/>
      <c r="X144" s="1367"/>
      <c r="Y144" s="1367"/>
      <c r="Z144" s="545"/>
      <c r="AA144" s="1367"/>
      <c r="AB144" s="1367"/>
      <c r="AC144" s="1367"/>
      <c r="AD144" s="1367"/>
      <c r="AE144" s="1367"/>
      <c r="AF144" s="1633"/>
      <c r="AG144" s="623"/>
      <c r="AH144" s="623"/>
      <c r="AI144" s="623"/>
      <c r="AJ144" s="623"/>
      <c r="AK144" s="1642">
        <v>11</v>
      </c>
    </row>
    <row s="1642" customFormat="1" customHeight="1" ht="11.549999999999999">
      <c r="A145" s="988"/>
      <c r="B145" s="988"/>
      <c r="C145" s="988"/>
      <c r="D145" s="988"/>
      <c r="E145" s="988"/>
      <c r="F145" s="1637"/>
      <c r="G145" s="1637"/>
      <c r="H145" s="352"/>
      <c r="N145" s="1367"/>
      <c r="P145" s="1367"/>
      <c r="Q145" s="1637"/>
      <c r="R145" s="1637"/>
      <c r="S145" s="1367"/>
      <c r="T145" s="1367"/>
      <c r="U145" s="1367"/>
      <c r="V145" s="1367"/>
      <c r="W145" s="1637"/>
      <c r="X145" s="1367"/>
      <c r="Y145" s="1367"/>
      <c r="Z145" s="545"/>
      <c r="AA145" s="1367"/>
      <c r="AB145" s="1367"/>
      <c r="AC145" s="1367"/>
      <c r="AD145" s="1367"/>
      <c r="AE145" s="1367"/>
      <c r="AF145" s="1633"/>
      <c r="AG145" s="623"/>
      <c r="AH145" s="623"/>
      <c r="AI145" s="623"/>
      <c r="AJ145" s="623"/>
      <c r="AK145" s="1642">
        <v>11</v>
      </c>
    </row>
    <row s="1642" customFormat="1" customHeight="1" ht="11.549999999999999">
      <c r="A146" s="988"/>
      <c r="B146" s="988"/>
      <c r="C146" s="988"/>
      <c r="D146" s="988"/>
      <c r="E146" s="988"/>
      <c r="F146" s="1637"/>
      <c r="G146" s="1637"/>
      <c r="H146" s="352"/>
      <c r="N146" s="1367"/>
      <c r="P146" s="1367"/>
      <c r="Q146" s="1637"/>
      <c r="R146" s="1637"/>
      <c r="S146" s="1367"/>
      <c r="T146" s="1367"/>
      <c r="U146" s="1367"/>
      <c r="V146" s="1367"/>
      <c r="W146" s="1637"/>
      <c r="X146" s="1367"/>
      <c r="Y146" s="1367"/>
      <c r="Z146" s="545"/>
      <c r="AA146" s="1367"/>
      <c r="AB146" s="1367"/>
      <c r="AC146" s="1367"/>
      <c r="AD146" s="1367"/>
      <c r="AE146" s="1367"/>
      <c r="AF146" s="1633"/>
      <c r="AG146" s="623"/>
      <c r="AH146" s="623"/>
      <c r="AI146" s="623"/>
      <c r="AJ146" s="623"/>
      <c r="AK146" s="1642">
        <v>11</v>
      </c>
    </row>
    <row s="1642" customFormat="1" customHeight="1" ht="11.549999999999999">
      <c r="A147" s="988"/>
      <c r="B147" s="988"/>
      <c r="C147" s="988"/>
      <c r="D147" s="988"/>
      <c r="E147" s="988"/>
      <c r="F147" s="1637"/>
      <c r="G147" s="1637"/>
      <c r="H147" s="352"/>
      <c r="N147" s="1367"/>
      <c r="P147" s="1367"/>
      <c r="Q147" s="1637"/>
      <c r="R147" s="1637"/>
      <c r="S147" s="1367"/>
      <c r="T147" s="1367"/>
      <c r="U147" s="1367"/>
      <c r="V147" s="1367"/>
      <c r="W147" s="1637"/>
      <c r="X147" s="1367"/>
      <c r="Y147" s="1367"/>
      <c r="Z147" s="545"/>
      <c r="AA147" s="1367"/>
      <c r="AB147" s="1367"/>
      <c r="AC147" s="1367"/>
      <c r="AD147" s="1367"/>
      <c r="AE147" s="1367"/>
      <c r="AF147" s="1633"/>
      <c r="AG147" s="623"/>
      <c r="AH147" s="623"/>
      <c r="AI147" s="623"/>
      <c r="AJ147" s="623"/>
      <c r="AK147" s="1642">
        <v>11</v>
      </c>
    </row>
    <row s="1642" customFormat="1" customHeight="1" ht="11.549999999999999">
      <c r="A148" s="988"/>
      <c r="B148" s="988"/>
      <c r="C148" s="988"/>
      <c r="D148" s="988"/>
      <c r="E148" s="988"/>
      <c r="F148" s="1637"/>
      <c r="G148" s="1637"/>
      <c r="H148" s="352"/>
      <c r="N148" s="1367"/>
      <c r="P148" s="1367"/>
      <c r="Q148" s="1637"/>
      <c r="R148" s="1637"/>
      <c r="S148" s="1367"/>
      <c r="T148" s="1367"/>
      <c r="U148" s="1367"/>
      <c r="V148" s="1367"/>
      <c r="W148" s="1637"/>
      <c r="X148" s="1367"/>
      <c r="Y148" s="1367"/>
      <c r="Z148" s="545"/>
      <c r="AA148" s="1367"/>
      <c r="AB148" s="1367"/>
      <c r="AC148" s="1367"/>
      <c r="AD148" s="1367"/>
      <c r="AE148" s="1367"/>
      <c r="AF148" s="1633"/>
      <c r="AG148" s="623"/>
      <c r="AH148" s="623"/>
      <c r="AI148" s="623"/>
      <c r="AJ148" s="623"/>
      <c r="AK148" s="1642">
        <v>11</v>
      </c>
    </row>
    <row s="1642" customFormat="1" customHeight="1" ht="11.549999999999999">
      <c r="A149" s="988"/>
      <c r="B149" s="988"/>
      <c r="C149" s="988"/>
      <c r="D149" s="988"/>
      <c r="E149" s="988"/>
      <c r="F149" s="1637"/>
      <c r="G149" s="1637"/>
      <c r="H149" s="352"/>
      <c r="N149" s="1367"/>
      <c r="P149" s="1367"/>
      <c r="Q149" s="1637"/>
      <c r="R149" s="1637"/>
      <c r="S149" s="1367"/>
      <c r="T149" s="1367"/>
      <c r="U149" s="1367"/>
      <c r="V149" s="1367"/>
      <c r="W149" s="1637"/>
      <c r="X149" s="1367"/>
      <c r="Y149" s="1367"/>
      <c r="Z149" s="545"/>
      <c r="AA149" s="1367"/>
      <c r="AB149" s="1367"/>
      <c r="AC149" s="1367"/>
      <c r="AD149" s="1367"/>
      <c r="AE149" s="1367"/>
      <c r="AF149" s="1633"/>
      <c r="AG149" s="623"/>
      <c r="AH149" s="623"/>
      <c r="AI149" s="623"/>
      <c r="AJ149" s="623"/>
      <c r="AK149" s="1642">
        <v>11</v>
      </c>
    </row>
    <row s="1642" customFormat="1" customHeight="1" ht="11.549999999999999">
      <c r="A150" s="988"/>
      <c r="B150" s="988"/>
      <c r="C150" s="988"/>
      <c r="D150" s="988"/>
      <c r="E150" s="988"/>
      <c r="F150" s="1637"/>
      <c r="G150" s="1637"/>
      <c r="H150" s="352"/>
      <c r="N150" s="1367"/>
      <c r="P150" s="1367"/>
      <c r="Q150" s="1637"/>
      <c r="R150" s="1637"/>
      <c r="S150" s="1367"/>
      <c r="T150" s="1367"/>
      <c r="U150" s="1367"/>
      <c r="V150" s="1367"/>
      <c r="W150" s="1637"/>
      <c r="X150" s="1367"/>
      <c r="Y150" s="1367"/>
      <c r="Z150" s="545"/>
      <c r="AA150" s="1367"/>
      <c r="AB150" s="1367"/>
      <c r="AC150" s="1367"/>
      <c r="AD150" s="1367"/>
      <c r="AE150" s="1367"/>
      <c r="AF150" s="1633"/>
      <c r="AG150" s="623"/>
      <c r="AH150" s="623"/>
      <c r="AI150" s="623"/>
      <c r="AJ150" s="623"/>
      <c r="AK150" s="1642">
        <v>11</v>
      </c>
    </row>
    <row s="1642" customFormat="1" customHeight="1" ht="11.549999999999999">
      <c r="A151" s="988"/>
      <c r="B151" s="988"/>
      <c r="C151" s="988"/>
      <c r="D151" s="988"/>
      <c r="E151" s="988"/>
      <c r="F151" s="1637"/>
      <c r="G151" s="1637"/>
      <c r="H151" s="352"/>
      <c r="N151" s="1367"/>
      <c r="P151" s="1367"/>
      <c r="Q151" s="1637"/>
      <c r="R151" s="1637"/>
      <c r="S151" s="1367"/>
      <c r="T151" s="1367"/>
      <c r="U151" s="1367"/>
      <c r="V151" s="1367"/>
      <c r="W151" s="1637"/>
      <c r="X151" s="1367"/>
      <c r="Y151" s="1367"/>
      <c r="Z151" s="545"/>
      <c r="AA151" s="1367"/>
      <c r="AB151" s="1367"/>
      <c r="AC151" s="1367"/>
      <c r="AD151" s="1367"/>
      <c r="AE151" s="1367"/>
      <c r="AF151" s="1633"/>
      <c r="AG151" s="623"/>
      <c r="AH151" s="623"/>
      <c r="AI151" s="623"/>
      <c r="AJ151" s="623"/>
      <c r="AK151" s="1642">
        <v>11</v>
      </c>
    </row>
    <row s="1642" customFormat="1" customHeight="1" ht="11.549999999999999">
      <c r="A152" s="988"/>
      <c r="B152" s="988"/>
      <c r="C152" s="988"/>
      <c r="D152" s="988"/>
      <c r="E152" s="988"/>
      <c r="F152" s="1637"/>
      <c r="G152" s="1637"/>
      <c r="H152" s="352"/>
      <c r="N152" s="1367"/>
      <c r="P152" s="1367"/>
      <c r="Q152" s="1637"/>
      <c r="R152" s="1637"/>
      <c r="S152" s="1367"/>
      <c r="T152" s="1367"/>
      <c r="U152" s="1367"/>
      <c r="V152" s="1367"/>
      <c r="W152" s="1637"/>
      <c r="X152" s="1367"/>
      <c r="Y152" s="1367"/>
      <c r="Z152" s="545"/>
      <c r="AA152" s="1367"/>
      <c r="AB152" s="1367"/>
      <c r="AC152" s="1367"/>
      <c r="AD152" s="1367"/>
      <c r="AE152" s="1367"/>
      <c r="AF152" s="1633"/>
      <c r="AG152" s="623"/>
      <c r="AH152" s="623"/>
      <c r="AI152" s="623"/>
      <c r="AJ152" s="623"/>
      <c r="AK152" s="1642">
        <v>11</v>
      </c>
    </row>
    <row s="1642" customFormat="1" customHeight="1" ht="11.549999999999999">
      <c r="A153" s="988"/>
      <c r="B153" s="988"/>
      <c r="C153" s="988"/>
      <c r="D153" s="988"/>
      <c r="E153" s="988"/>
      <c r="F153" s="1637"/>
      <c r="G153" s="1637"/>
      <c r="H153" s="352"/>
      <c r="N153" s="1367"/>
      <c r="P153" s="1367"/>
      <c r="Q153" s="1637"/>
      <c r="R153" s="1637"/>
      <c r="S153" s="1367"/>
      <c r="T153" s="1367"/>
      <c r="U153" s="1367"/>
      <c r="V153" s="1367"/>
      <c r="W153" s="1637"/>
      <c r="X153" s="1367"/>
      <c r="Y153" s="1367"/>
      <c r="Z153" s="545"/>
      <c r="AA153" s="1367"/>
      <c r="AB153" s="1367"/>
      <c r="AC153" s="1367"/>
      <c r="AD153" s="1367"/>
      <c r="AE153" s="1367"/>
      <c r="AF153" s="1633"/>
      <c r="AG153" s="623"/>
      <c r="AH153" s="623"/>
      <c r="AI153" s="623"/>
      <c r="AJ153" s="623"/>
      <c r="AK153" s="1642">
        <v>11</v>
      </c>
    </row>
    <row s="1642" customFormat="1" customHeight="1" ht="11.549999999999999">
      <c r="A154" s="988"/>
      <c r="B154" s="988"/>
      <c r="C154" s="988"/>
      <c r="D154" s="988"/>
      <c r="E154" s="988"/>
      <c r="F154" s="1637"/>
      <c r="G154" s="1637"/>
      <c r="H154" s="352"/>
      <c r="N154" s="1367"/>
      <c r="P154" s="1367"/>
      <c r="Q154" s="1637"/>
      <c r="R154" s="1637"/>
      <c r="S154" s="1367"/>
      <c r="T154" s="1367"/>
      <c r="U154" s="1367"/>
      <c r="V154" s="1367"/>
      <c r="W154" s="1637"/>
      <c r="X154" s="1367"/>
      <c r="Y154" s="1367"/>
      <c r="Z154" s="545"/>
      <c r="AA154" s="1367"/>
      <c r="AB154" s="1367"/>
      <c r="AC154" s="1367"/>
      <c r="AD154" s="1367"/>
      <c r="AE154" s="1367"/>
      <c r="AF154" s="1633"/>
      <c r="AG154" s="623"/>
      <c r="AH154" s="623"/>
      <c r="AI154" s="623"/>
      <c r="AJ154" s="623"/>
      <c r="AK154" s="1642">
        <v>11</v>
      </c>
    </row>
    <row s="1642" customFormat="1" customHeight="1" ht="11.549999999999999">
      <c r="A155" s="988"/>
      <c r="B155" s="988"/>
      <c r="C155" s="988"/>
      <c r="D155" s="988"/>
      <c r="E155" s="988"/>
      <c r="F155" s="1637"/>
      <c r="G155" s="1637"/>
      <c r="H155" s="352"/>
      <c r="N155" s="1367"/>
      <c r="P155" s="1367"/>
      <c r="Q155" s="1637"/>
      <c r="R155" s="1637"/>
      <c r="S155" s="1367"/>
      <c r="T155" s="1367"/>
      <c r="U155" s="1367"/>
      <c r="V155" s="1367"/>
      <c r="W155" s="1637"/>
      <c r="X155" s="1367"/>
      <c r="Y155" s="1367"/>
      <c r="Z155" s="545"/>
      <c r="AA155" s="1367"/>
      <c r="AB155" s="1367"/>
      <c r="AC155" s="1367"/>
      <c r="AD155" s="1367"/>
      <c r="AE155" s="1367"/>
      <c r="AF155" s="1633"/>
      <c r="AG155" s="623"/>
      <c r="AH155" s="623"/>
      <c r="AI155" s="623"/>
      <c r="AJ155" s="623"/>
      <c r="AK155" s="1642">
        <v>11</v>
      </c>
    </row>
    <row s="1642" customFormat="1" customHeight="1" ht="11.549999999999999">
      <c r="A156" s="988"/>
      <c r="B156" s="988"/>
      <c r="C156" s="988"/>
      <c r="D156" s="988"/>
      <c r="E156" s="988"/>
      <c r="F156" s="1637"/>
      <c r="G156" s="1637"/>
      <c r="H156" s="352"/>
      <c r="N156" s="1367"/>
      <c r="P156" s="1367"/>
      <c r="Q156" s="1637"/>
      <c r="R156" s="1637"/>
      <c r="S156" s="1367"/>
      <c r="T156" s="1367"/>
      <c r="U156" s="1367"/>
      <c r="V156" s="1367"/>
      <c r="W156" s="1637"/>
      <c r="X156" s="1367"/>
      <c r="Y156" s="1367"/>
      <c r="Z156" s="545"/>
      <c r="AA156" s="1367"/>
      <c r="AB156" s="1367"/>
      <c r="AC156" s="1367"/>
      <c r="AD156" s="1367"/>
      <c r="AE156" s="1367"/>
      <c r="AF156" s="1633"/>
      <c r="AG156" s="623"/>
      <c r="AH156" s="623"/>
      <c r="AI156" s="623"/>
      <c r="AJ156" s="623"/>
      <c r="AK156" s="1642">
        <v>11</v>
      </c>
    </row>
    <row s="1642" customFormat="1" customHeight="1" ht="11.549999999999999">
      <c r="A157" s="988"/>
      <c r="B157" s="988"/>
      <c r="C157" s="988"/>
      <c r="D157" s="988"/>
      <c r="E157" s="988"/>
      <c r="F157" s="1637"/>
      <c r="G157" s="1637"/>
      <c r="H157" s="352"/>
      <c r="N157" s="1367"/>
      <c r="P157" s="1367"/>
      <c r="Q157" s="1637"/>
      <c r="R157" s="1637"/>
      <c r="S157" s="1367"/>
      <c r="T157" s="1367"/>
      <c r="U157" s="1367"/>
      <c r="V157" s="1367"/>
      <c r="W157" s="1637"/>
      <c r="X157" s="1367"/>
      <c r="Y157" s="1367"/>
      <c r="Z157" s="545"/>
      <c r="AA157" s="1367"/>
      <c r="AB157" s="1367"/>
      <c r="AC157" s="1367"/>
      <c r="AD157" s="1367"/>
      <c r="AE157" s="1367"/>
      <c r="AF157" s="1633"/>
      <c r="AG157" s="623"/>
      <c r="AH157" s="623"/>
      <c r="AI157" s="623"/>
      <c r="AJ157" s="623"/>
      <c r="AK157" s="1642">
        <v>11</v>
      </c>
    </row>
    <row s="1642" customFormat="1" customHeight="1" ht="11.549999999999999">
      <c r="A158" s="988"/>
      <c r="B158" s="988"/>
      <c r="C158" s="988"/>
      <c r="D158" s="988"/>
      <c r="E158" s="988"/>
      <c r="F158" s="1637"/>
      <c r="G158" s="1637"/>
      <c r="H158" s="352"/>
      <c r="N158" s="1367"/>
      <c r="P158" s="1367"/>
      <c r="Q158" s="1637"/>
      <c r="R158" s="1637"/>
      <c r="S158" s="1367"/>
      <c r="T158" s="1367"/>
      <c r="U158" s="1367"/>
      <c r="V158" s="1367"/>
      <c r="W158" s="1637"/>
      <c r="X158" s="1367"/>
      <c r="Y158" s="1367"/>
      <c r="Z158" s="545"/>
      <c r="AA158" s="1367"/>
      <c r="AB158" s="1367"/>
      <c r="AC158" s="1367"/>
      <c r="AD158" s="1367"/>
      <c r="AE158" s="1367"/>
      <c r="AF158" s="1633"/>
      <c r="AG158" s="623"/>
      <c r="AH158" s="623"/>
      <c r="AI158" s="623"/>
      <c r="AJ158" s="623"/>
      <c r="AK158" s="1642">
        <v>11</v>
      </c>
    </row>
    <row s="1642" customFormat="1" customHeight="1" ht="11.549999999999999">
      <c r="A159" s="988"/>
      <c r="B159" s="988"/>
      <c r="C159" s="988"/>
      <c r="D159" s="988"/>
      <c r="E159" s="988"/>
      <c r="F159" s="1637"/>
      <c r="G159" s="1637"/>
      <c r="H159" s="352"/>
      <c r="N159" s="1367"/>
      <c r="P159" s="1367"/>
      <c r="Q159" s="1637"/>
      <c r="R159" s="1637"/>
      <c r="S159" s="1367"/>
      <c r="T159" s="1367"/>
      <c r="U159" s="1367"/>
      <c r="V159" s="1367"/>
      <c r="W159" s="1637"/>
      <c r="X159" s="1367"/>
      <c r="Y159" s="1367"/>
      <c r="Z159" s="545"/>
      <c r="AA159" s="1367"/>
      <c r="AB159" s="1367"/>
      <c r="AC159" s="1367"/>
      <c r="AD159" s="1367"/>
      <c r="AE159" s="1367"/>
      <c r="AF159" s="1633"/>
      <c r="AG159" s="623"/>
      <c r="AH159" s="623"/>
      <c r="AI159" s="623"/>
      <c r="AJ159" s="623"/>
      <c r="AK159" s="1642">
        <v>11</v>
      </c>
    </row>
    <row s="1642" customFormat="1" customHeight="1" ht="11.549999999999999">
      <c r="A160" s="988"/>
      <c r="B160" s="988"/>
      <c r="C160" s="988"/>
      <c r="D160" s="988"/>
      <c r="E160" s="988"/>
      <c r="F160" s="1637"/>
      <c r="G160" s="1637"/>
      <c r="H160" s="352"/>
      <c r="N160" s="1367"/>
      <c r="P160" s="1367"/>
      <c r="Q160" s="1637"/>
      <c r="R160" s="1637"/>
      <c r="S160" s="1367"/>
      <c r="T160" s="1367"/>
      <c r="U160" s="1367"/>
      <c r="V160" s="1367"/>
      <c r="W160" s="1637"/>
      <c r="X160" s="1367"/>
      <c r="Y160" s="1367"/>
      <c r="Z160" s="545"/>
      <c r="AA160" s="1367"/>
      <c r="AB160" s="1367"/>
      <c r="AC160" s="1367"/>
      <c r="AD160" s="1367"/>
      <c r="AE160" s="1367"/>
      <c r="AF160" s="1633"/>
      <c r="AG160" s="623"/>
      <c r="AH160" s="623"/>
      <c r="AI160" s="623"/>
      <c r="AJ160" s="623"/>
      <c r="AK160" s="1642">
        <v>11</v>
      </c>
    </row>
    <row s="1642" customFormat="1" customHeight="1" ht="11.549999999999999">
      <c r="A161" s="988"/>
      <c r="B161" s="988"/>
      <c r="C161" s="988"/>
      <c r="D161" s="988"/>
      <c r="E161" s="988"/>
      <c r="F161" s="1637"/>
      <c r="G161" s="1637"/>
      <c r="H161" s="352"/>
      <c r="N161" s="1367"/>
      <c r="P161" s="1367"/>
      <c r="Q161" s="1637"/>
      <c r="R161" s="1637"/>
      <c r="S161" s="1367"/>
      <c r="T161" s="1367"/>
      <c r="U161" s="1367"/>
      <c r="V161" s="1367"/>
      <c r="W161" s="1637"/>
      <c r="X161" s="1367"/>
      <c r="Y161" s="1367"/>
      <c r="Z161" s="545"/>
      <c r="AA161" s="1367"/>
      <c r="AB161" s="1367"/>
      <c r="AC161" s="1367"/>
      <c r="AD161" s="1367"/>
      <c r="AE161" s="1367"/>
      <c r="AF161" s="1633"/>
      <c r="AG161" s="623"/>
      <c r="AH161" s="623"/>
      <c r="AI161" s="623"/>
      <c r="AJ161" s="623"/>
      <c r="AK161" s="1642">
        <v>11</v>
      </c>
    </row>
    <row s="1642" customFormat="1" customHeight="1" ht="11.549999999999999">
      <c r="A162" s="988"/>
      <c r="B162" s="988"/>
      <c r="C162" s="988"/>
      <c r="D162" s="988"/>
      <c r="E162" s="988"/>
      <c r="F162" s="1637"/>
      <c r="G162" s="1637"/>
      <c r="H162" s="352"/>
      <c r="N162" s="1367"/>
      <c r="P162" s="1367"/>
      <c r="Q162" s="1637"/>
      <c r="R162" s="1637"/>
      <c r="S162" s="1367"/>
      <c r="T162" s="1367"/>
      <c r="U162" s="1367"/>
      <c r="V162" s="1367"/>
      <c r="W162" s="1637"/>
      <c r="X162" s="1367"/>
      <c r="Y162" s="1367"/>
      <c r="Z162" s="545"/>
      <c r="AA162" s="1367"/>
      <c r="AB162" s="1367"/>
      <c r="AC162" s="1367"/>
      <c r="AD162" s="1367"/>
      <c r="AE162" s="1367"/>
      <c r="AF162" s="1633"/>
      <c r="AG162" s="623"/>
      <c r="AH162" s="623"/>
      <c r="AI162" s="623"/>
      <c r="AJ162" s="623"/>
      <c r="AK162" s="1642">
        <v>11</v>
      </c>
    </row>
    <row s="1642" customFormat="1" customHeight="1" ht="11.549999999999999">
      <c r="A163" s="988"/>
      <c r="B163" s="988"/>
      <c r="C163" s="988"/>
      <c r="D163" s="988"/>
      <c r="E163" s="988"/>
      <c r="F163" s="1637"/>
      <c r="G163" s="1637"/>
      <c r="H163" s="352"/>
      <c r="N163" s="1367"/>
      <c r="P163" s="1367"/>
      <c r="Q163" s="1637"/>
      <c r="R163" s="1637"/>
      <c r="S163" s="1367"/>
      <c r="T163" s="1367"/>
      <c r="U163" s="1367"/>
      <c r="V163" s="1367"/>
      <c r="W163" s="1637"/>
      <c r="X163" s="1367"/>
      <c r="Y163" s="1367"/>
      <c r="Z163" s="545"/>
      <c r="AA163" s="1367"/>
      <c r="AB163" s="1367"/>
      <c r="AC163" s="1367"/>
      <c r="AD163" s="1367"/>
      <c r="AE163" s="1367"/>
      <c r="AF163" s="1633"/>
      <c r="AG163" s="623"/>
      <c r="AH163" s="623"/>
      <c r="AI163" s="623"/>
      <c r="AJ163" s="623"/>
      <c r="AK163" s="1642">
        <v>11</v>
      </c>
    </row>
    <row s="1642" customFormat="1" customHeight="1" ht="11.549999999999999">
      <c r="A164" s="988"/>
      <c r="B164" s="988"/>
      <c r="C164" s="988"/>
      <c r="D164" s="988"/>
      <c r="E164" s="988"/>
      <c r="F164" s="1637"/>
      <c r="G164" s="1637"/>
      <c r="H164" s="352"/>
      <c r="N164" s="1367"/>
      <c r="P164" s="1367"/>
      <c r="Q164" s="1637"/>
      <c r="R164" s="1637"/>
      <c r="S164" s="1367"/>
      <c r="T164" s="1367"/>
      <c r="U164" s="1367"/>
      <c r="V164" s="1367"/>
      <c r="W164" s="1637"/>
      <c r="X164" s="1367"/>
      <c r="Y164" s="1367"/>
      <c r="Z164" s="545"/>
      <c r="AA164" s="1367"/>
      <c r="AB164" s="1367"/>
      <c r="AC164" s="1367"/>
      <c r="AD164" s="1367"/>
      <c r="AE164" s="1367"/>
      <c r="AF164" s="1633"/>
      <c r="AG164" s="623"/>
      <c r="AH164" s="623"/>
      <c r="AI164" s="623"/>
      <c r="AJ164" s="623"/>
      <c r="AK164" s="1642">
        <v>11</v>
      </c>
    </row>
    <row s="1642" customFormat="1" customHeight="1" ht="11.549999999999999">
      <c r="A165" s="988"/>
      <c r="B165" s="988"/>
      <c r="C165" s="988"/>
      <c r="D165" s="988"/>
      <c r="E165" s="988"/>
      <c r="F165" s="1637"/>
      <c r="G165" s="1637"/>
      <c r="H165" s="352"/>
      <c r="N165" s="1367"/>
      <c r="P165" s="1367"/>
      <c r="Q165" s="1637"/>
      <c r="R165" s="1637"/>
      <c r="S165" s="1367"/>
      <c r="T165" s="1367"/>
      <c r="U165" s="1367"/>
      <c r="V165" s="1367"/>
      <c r="W165" s="1637"/>
      <c r="X165" s="1367"/>
      <c r="Y165" s="1367"/>
      <c r="Z165" s="545"/>
      <c r="AA165" s="1367"/>
      <c r="AB165" s="1367"/>
      <c r="AC165" s="1367"/>
      <c r="AD165" s="1367"/>
      <c r="AE165" s="1367"/>
      <c r="AF165" s="1633"/>
      <c r="AG165" s="623"/>
      <c r="AH165" s="623"/>
      <c r="AI165" s="623"/>
      <c r="AJ165" s="623"/>
      <c r="AK165" s="1642">
        <v>11</v>
      </c>
    </row>
    <row s="1642" customFormat="1" customHeight="1" ht="11.549999999999999">
      <c r="A166" s="988"/>
      <c r="B166" s="988"/>
      <c r="C166" s="988"/>
      <c r="D166" s="988"/>
      <c r="E166" s="988"/>
      <c r="F166" s="1637"/>
      <c r="G166" s="1637"/>
      <c r="H166" s="352"/>
      <c r="N166" s="1367"/>
      <c r="P166" s="1367"/>
      <c r="Q166" s="1637"/>
      <c r="R166" s="1637"/>
      <c r="S166" s="1367"/>
      <c r="T166" s="1367"/>
      <c r="U166" s="1367"/>
      <c r="V166" s="1367"/>
      <c r="W166" s="1637"/>
      <c r="X166" s="1367"/>
      <c r="Y166" s="1367"/>
      <c r="Z166" s="545"/>
      <c r="AA166" s="1367"/>
      <c r="AB166" s="1367"/>
      <c r="AC166" s="1367"/>
      <c r="AD166" s="1367"/>
      <c r="AE166" s="1367"/>
      <c r="AF166" s="1633"/>
      <c r="AG166" s="623"/>
      <c r="AH166" s="623"/>
      <c r="AI166" s="623"/>
      <c r="AJ166" s="623"/>
      <c r="AK166" s="1642">
        <v>11</v>
      </c>
    </row>
    <row s="1642" customFormat="1" customHeight="1" ht="11.549999999999999">
      <c r="A167" s="988"/>
      <c r="B167" s="988"/>
      <c r="C167" s="988"/>
      <c r="D167" s="988"/>
      <c r="E167" s="988"/>
      <c r="F167" s="1637"/>
      <c r="G167" s="1637"/>
      <c r="H167" s="352"/>
      <c r="N167" s="1367"/>
      <c r="P167" s="1367"/>
      <c r="Q167" s="1637"/>
      <c r="R167" s="1637"/>
      <c r="S167" s="1367"/>
      <c r="T167" s="1367"/>
      <c r="U167" s="1367"/>
      <c r="V167" s="1367"/>
      <c r="W167" s="1637"/>
      <c r="X167" s="1367"/>
      <c r="Y167" s="1367"/>
      <c r="Z167" s="545"/>
      <c r="AA167" s="1367"/>
      <c r="AB167" s="1367"/>
      <c r="AC167" s="1367"/>
      <c r="AD167" s="1367"/>
      <c r="AE167" s="1367"/>
      <c r="AF167" s="1633"/>
      <c r="AG167" s="623"/>
      <c r="AH167" s="623"/>
      <c r="AI167" s="623"/>
      <c r="AJ167" s="623"/>
      <c r="AK167" s="1642">
        <v>11</v>
      </c>
    </row>
    <row s="1642" customFormat="1" customHeight="1" ht="11.549999999999999">
      <c r="A168" s="988"/>
      <c r="B168" s="988"/>
      <c r="C168" s="988"/>
      <c r="D168" s="988"/>
      <c r="E168" s="988"/>
      <c r="F168" s="1637"/>
      <c r="G168" s="1637"/>
      <c r="H168" s="352"/>
      <c r="N168" s="1367"/>
      <c r="P168" s="1367"/>
      <c r="Q168" s="1637"/>
      <c r="R168" s="1637"/>
      <c r="S168" s="1367"/>
      <c r="T168" s="1367"/>
      <c r="U168" s="1367"/>
      <c r="V168" s="1367"/>
      <c r="W168" s="1637"/>
      <c r="X168" s="1367"/>
      <c r="Y168" s="1367"/>
      <c r="Z168" s="545"/>
      <c r="AA168" s="1367"/>
      <c r="AB168" s="1367"/>
      <c r="AC168" s="1367"/>
      <c r="AD168" s="1367"/>
      <c r="AE168" s="1367"/>
      <c r="AF168" s="1633"/>
      <c r="AG168" s="623"/>
      <c r="AH168" s="623"/>
      <c r="AI168" s="623"/>
      <c r="AJ168" s="623"/>
      <c r="AK168" s="1642">
        <v>11</v>
      </c>
    </row>
    <row s="1642" customFormat="1" customHeight="1" ht="11.549999999999999">
      <c r="A169" s="988"/>
      <c r="B169" s="988"/>
      <c r="C169" s="988"/>
      <c r="D169" s="988"/>
      <c r="E169" s="988"/>
      <c r="F169" s="1637"/>
      <c r="G169" s="1637"/>
      <c r="H169" s="352"/>
      <c r="N169" s="1367"/>
      <c r="P169" s="1367"/>
      <c r="Q169" s="1637"/>
      <c r="R169" s="1637"/>
      <c r="S169" s="1367"/>
      <c r="T169" s="1367"/>
      <c r="U169" s="1367"/>
      <c r="V169" s="1367"/>
      <c r="W169" s="1637"/>
      <c r="X169" s="1367"/>
      <c r="Y169" s="1367"/>
      <c r="Z169" s="545"/>
      <c r="AA169" s="1367"/>
      <c r="AB169" s="1367"/>
      <c r="AC169" s="1367"/>
      <c r="AD169" s="1367"/>
      <c r="AE169" s="1367"/>
      <c r="AF169" s="1633"/>
      <c r="AG169" s="623"/>
      <c r="AH169" s="623"/>
      <c r="AI169" s="623"/>
      <c r="AJ169" s="623"/>
      <c r="AK169" s="1642">
        <v>11</v>
      </c>
    </row>
    <row s="1642" customFormat="1" customHeight="1" ht="11.549999999999999">
      <c r="A170" s="988"/>
      <c r="B170" s="988"/>
      <c r="C170" s="988"/>
      <c r="D170" s="988"/>
      <c r="E170" s="988"/>
      <c r="F170" s="1637"/>
      <c r="G170" s="1637"/>
      <c r="H170" s="352"/>
      <c r="N170" s="1367"/>
      <c r="P170" s="1367"/>
      <c r="Q170" s="1637"/>
      <c r="R170" s="1637"/>
      <c r="S170" s="1367"/>
      <c r="T170" s="1367"/>
      <c r="U170" s="1367"/>
      <c r="V170" s="1367"/>
      <c r="W170" s="1637"/>
      <c r="X170" s="1367"/>
      <c r="Y170" s="1367"/>
      <c r="Z170" s="545"/>
      <c r="AA170" s="1367"/>
      <c r="AB170" s="1367"/>
      <c r="AC170" s="1367"/>
      <c r="AD170" s="1367"/>
      <c r="AE170" s="1367"/>
      <c r="AF170" s="1633"/>
      <c r="AG170" s="623"/>
      <c r="AH170" s="623"/>
      <c r="AI170" s="623"/>
      <c r="AJ170" s="623"/>
      <c r="AK170" s="1642">
        <v>11</v>
      </c>
    </row>
    <row s="1642" customFormat="1" customHeight="1" ht="11.549999999999999">
      <c r="A171" s="988"/>
      <c r="B171" s="988"/>
      <c r="C171" s="988"/>
      <c r="D171" s="988"/>
      <c r="E171" s="988"/>
      <c r="F171" s="1637"/>
      <c r="G171" s="1637"/>
      <c r="H171" s="352"/>
      <c r="N171" s="1367"/>
      <c r="P171" s="1367"/>
      <c r="Q171" s="1637"/>
      <c r="R171" s="1637"/>
      <c r="S171" s="1367"/>
      <c r="T171" s="1367"/>
      <c r="U171" s="1367"/>
      <c r="V171" s="1367"/>
      <c r="W171" s="1637"/>
      <c r="X171" s="1367"/>
      <c r="Y171" s="1367"/>
      <c r="Z171" s="545"/>
      <c r="AA171" s="1367"/>
      <c r="AB171" s="1367"/>
      <c r="AC171" s="1367"/>
      <c r="AD171" s="1367"/>
      <c r="AE171" s="1367"/>
      <c r="AF171" s="1633"/>
      <c r="AG171" s="623"/>
      <c r="AH171" s="623"/>
      <c r="AI171" s="623"/>
      <c r="AJ171" s="623"/>
      <c r="AK171" s="1642">
        <v>11</v>
      </c>
    </row>
    <row s="1642" customFormat="1" customHeight="1" ht="11.549999999999999">
      <c r="A172" s="988"/>
      <c r="B172" s="988"/>
      <c r="C172" s="988"/>
      <c r="D172" s="988"/>
      <c r="E172" s="988"/>
      <c r="F172" s="1637"/>
      <c r="G172" s="1637"/>
      <c r="H172" s="352"/>
      <c r="N172" s="1367"/>
      <c r="P172" s="1367"/>
      <c r="Q172" s="1637"/>
      <c r="R172" s="1637"/>
      <c r="S172" s="1367"/>
      <c r="T172" s="1367"/>
      <c r="U172" s="1367"/>
      <c r="V172" s="1367"/>
      <c r="W172" s="1637"/>
      <c r="X172" s="1367"/>
      <c r="Y172" s="1367"/>
      <c r="Z172" s="545"/>
      <c r="AA172" s="1367"/>
      <c r="AB172" s="1367"/>
      <c r="AC172" s="1367"/>
      <c r="AD172" s="1367"/>
      <c r="AE172" s="1367"/>
      <c r="AF172" s="1633"/>
      <c r="AG172" s="623"/>
      <c r="AH172" s="623"/>
      <c r="AI172" s="623"/>
      <c r="AJ172" s="623"/>
      <c r="AK172" s="1642">
        <v>11</v>
      </c>
    </row>
    <row s="1642" customFormat="1" customHeight="1" ht="11.549999999999999">
      <c r="A173" s="988"/>
      <c r="B173" s="988"/>
      <c r="C173" s="988"/>
      <c r="D173" s="988"/>
      <c r="E173" s="988"/>
      <c r="F173" s="1637"/>
      <c r="G173" s="1637"/>
      <c r="H173" s="352"/>
      <c r="N173" s="1367"/>
      <c r="P173" s="1367"/>
      <c r="Q173" s="1637"/>
      <c r="R173" s="1637"/>
      <c r="S173" s="1367"/>
      <c r="T173" s="1367"/>
      <c r="U173" s="1367"/>
      <c r="V173" s="1367"/>
      <c r="W173" s="1637"/>
      <c r="X173" s="1367"/>
      <c r="Y173" s="1367"/>
      <c r="Z173" s="545"/>
      <c r="AA173" s="1367"/>
      <c r="AB173" s="1367"/>
      <c r="AC173" s="1367"/>
      <c r="AD173" s="1367"/>
      <c r="AE173" s="1367"/>
      <c r="AF173" s="1633"/>
      <c r="AG173" s="623"/>
      <c r="AH173" s="623"/>
      <c r="AI173" s="623"/>
      <c r="AJ173" s="623"/>
      <c r="AK173" s="1642">
        <v>11</v>
      </c>
    </row>
    <row s="1642" customFormat="1" customHeight="1" ht="11.549999999999999">
      <c r="A174" s="988"/>
      <c r="B174" s="988"/>
      <c r="C174" s="988"/>
      <c r="D174" s="988"/>
      <c r="E174" s="988"/>
      <c r="F174" s="1637"/>
      <c r="G174" s="1637"/>
      <c r="H174" s="352"/>
      <c r="N174" s="1367"/>
      <c r="P174" s="1367"/>
      <c r="Q174" s="1637"/>
      <c r="R174" s="1637"/>
      <c r="S174" s="1367"/>
      <c r="T174" s="1367"/>
      <c r="U174" s="1367"/>
      <c r="V174" s="1367"/>
      <c r="W174" s="1637"/>
      <c r="X174" s="1367"/>
      <c r="Y174" s="1367"/>
      <c r="Z174" s="545"/>
      <c r="AA174" s="1367"/>
      <c r="AB174" s="1367"/>
      <c r="AC174" s="1367"/>
      <c r="AD174" s="1367"/>
      <c r="AE174" s="1367"/>
      <c r="AF174" s="1633"/>
      <c r="AG174" s="623"/>
      <c r="AH174" s="623"/>
      <c r="AI174" s="623"/>
      <c r="AJ174" s="623"/>
      <c r="AK174" s="1642">
        <v>11</v>
      </c>
    </row>
    <row s="1642" customFormat="1" customHeight="1" ht="11.549999999999999">
      <c r="A175" s="988"/>
      <c r="B175" s="988"/>
      <c r="C175" s="988"/>
      <c r="D175" s="988"/>
      <c r="E175" s="988"/>
      <c r="F175" s="1637"/>
      <c r="G175" s="1637"/>
      <c r="H175" s="352"/>
      <c r="N175" s="1367"/>
      <c r="P175" s="1367"/>
      <c r="Q175" s="1637"/>
      <c r="R175" s="1637"/>
      <c r="S175" s="1367"/>
      <c r="T175" s="1367"/>
      <c r="U175" s="1367"/>
      <c r="V175" s="1367"/>
      <c r="W175" s="1637"/>
      <c r="X175" s="1367"/>
      <c r="Y175" s="1367"/>
      <c r="Z175" s="545"/>
      <c r="AA175" s="1367"/>
      <c r="AB175" s="1367"/>
      <c r="AC175" s="1367"/>
      <c r="AD175" s="1367"/>
      <c r="AE175" s="1367"/>
      <c r="AF175" s="1633"/>
      <c r="AG175" s="623"/>
      <c r="AH175" s="623"/>
      <c r="AI175" s="623"/>
      <c r="AJ175" s="623"/>
      <c r="AK175" s="1642">
        <v>11</v>
      </c>
    </row>
    <row s="1642" customFormat="1" customHeight="1" ht="11.549999999999999">
      <c r="A176" s="988"/>
      <c r="B176" s="988"/>
      <c r="C176" s="988"/>
      <c r="D176" s="988"/>
      <c r="E176" s="988"/>
      <c r="F176" s="1637"/>
      <c r="G176" s="1637"/>
      <c r="H176" s="352"/>
      <c r="N176" s="1367"/>
      <c r="P176" s="1367"/>
      <c r="Q176" s="1637"/>
      <c r="R176" s="1637"/>
      <c r="S176" s="1367"/>
      <c r="T176" s="1367"/>
      <c r="U176" s="1367"/>
      <c r="V176" s="1367"/>
      <c r="W176" s="1637"/>
      <c r="X176" s="1367"/>
      <c r="Y176" s="1367"/>
      <c r="Z176" s="545"/>
      <c r="AA176" s="1367"/>
      <c r="AB176" s="1367"/>
      <c r="AC176" s="1367"/>
      <c r="AD176" s="1367"/>
      <c r="AE176" s="1367"/>
      <c r="AF176" s="1633"/>
      <c r="AG176" s="623"/>
      <c r="AH176" s="623"/>
      <c r="AI176" s="623"/>
      <c r="AJ176" s="623"/>
      <c r="AK176" s="1642">
        <v>11</v>
      </c>
    </row>
    <row s="1642" customFormat="1" customHeight="1" ht="11.549999999999999">
      <c r="A177" s="988"/>
      <c r="B177" s="988"/>
      <c r="C177" s="988"/>
      <c r="D177" s="988"/>
      <c r="E177" s="988"/>
      <c r="F177" s="1637"/>
      <c r="G177" s="1637"/>
      <c r="H177" s="352"/>
      <c r="N177" s="1367"/>
      <c r="P177" s="1367"/>
      <c r="Q177" s="1637"/>
      <c r="R177" s="1637"/>
      <c r="S177" s="1367"/>
      <c r="T177" s="1367"/>
      <c r="U177" s="1367"/>
      <c r="V177" s="1367"/>
      <c r="W177" s="1637"/>
      <c r="X177" s="1367"/>
      <c r="Y177" s="1367"/>
      <c r="Z177" s="545"/>
      <c r="AA177" s="1367"/>
      <c r="AB177" s="1367"/>
      <c r="AC177" s="1367"/>
      <c r="AD177" s="1367"/>
      <c r="AE177" s="1367"/>
      <c r="AF177" s="1633"/>
      <c r="AG177" s="623"/>
      <c r="AH177" s="623"/>
      <c r="AI177" s="623"/>
      <c r="AJ177" s="623"/>
      <c r="AK177" s="1642">
        <v>11</v>
      </c>
    </row>
    <row s="1642" customFormat="1" customHeight="1" ht="11.549999999999999">
      <c r="A178" s="988"/>
      <c r="B178" s="988"/>
      <c r="C178" s="988"/>
      <c r="D178" s="988"/>
      <c r="E178" s="988"/>
      <c r="F178" s="1637"/>
      <c r="G178" s="1637"/>
      <c r="H178" s="352"/>
      <c r="N178" s="1367"/>
      <c r="P178" s="1367"/>
      <c r="Q178" s="1637"/>
      <c r="R178" s="1637"/>
      <c r="S178" s="1367"/>
      <c r="T178" s="1367"/>
      <c r="U178" s="1367"/>
      <c r="V178" s="1367"/>
      <c r="W178" s="1637"/>
      <c r="X178" s="1367"/>
      <c r="Y178" s="1367"/>
      <c r="Z178" s="545"/>
      <c r="AA178" s="1367"/>
      <c r="AB178" s="1367"/>
      <c r="AC178" s="1367"/>
      <c r="AD178" s="1367"/>
      <c r="AE178" s="1367"/>
      <c r="AF178" s="1633"/>
      <c r="AG178" s="623"/>
      <c r="AH178" s="623"/>
      <c r="AI178" s="623"/>
      <c r="AJ178" s="623"/>
      <c r="AK178" s="1642">
        <v>11</v>
      </c>
    </row>
    <row s="1642" customFormat="1" customHeight="1" ht="11.549999999999999">
      <c r="A179" s="988"/>
      <c r="B179" s="988"/>
      <c r="C179" s="988"/>
      <c r="D179" s="988"/>
      <c r="E179" s="988"/>
      <c r="F179" s="1637"/>
      <c r="G179" s="1637"/>
      <c r="H179" s="352"/>
      <c r="N179" s="1367"/>
      <c r="P179" s="1367"/>
      <c r="Q179" s="1637"/>
      <c r="R179" s="1637"/>
      <c r="S179" s="1367"/>
      <c r="T179" s="1367"/>
      <c r="U179" s="1367"/>
      <c r="V179" s="1367"/>
      <c r="W179" s="1637"/>
      <c r="X179" s="1367"/>
      <c r="Y179" s="1367"/>
      <c r="Z179" s="545"/>
      <c r="AA179" s="1367"/>
      <c r="AB179" s="1367"/>
      <c r="AC179" s="1367"/>
      <c r="AD179" s="1367"/>
      <c r="AE179" s="1367"/>
      <c r="AF179" s="1633"/>
      <c r="AG179" s="623"/>
      <c r="AH179" s="623"/>
      <c r="AI179" s="623"/>
      <c r="AJ179" s="623"/>
      <c r="AK179" s="1642">
        <v>11</v>
      </c>
    </row>
    <row s="1642" customFormat="1" customHeight="1" ht="11.549999999999999">
      <c r="A180" s="988"/>
      <c r="B180" s="988"/>
      <c r="C180" s="988"/>
      <c r="D180" s="988"/>
      <c r="E180" s="988"/>
      <c r="F180" s="1637"/>
      <c r="G180" s="1637"/>
      <c r="H180" s="352"/>
      <c r="N180" s="1367"/>
      <c r="P180" s="1367"/>
      <c r="Q180" s="1637"/>
      <c r="R180" s="1637"/>
      <c r="S180" s="1367"/>
      <c r="T180" s="1367"/>
      <c r="U180" s="1367"/>
      <c r="V180" s="1367"/>
      <c r="W180" s="1637"/>
      <c r="X180" s="1367"/>
      <c r="Y180" s="1367"/>
      <c r="Z180" s="545"/>
      <c r="AA180" s="1367"/>
      <c r="AB180" s="1367"/>
      <c r="AC180" s="1367"/>
      <c r="AD180" s="1367"/>
      <c r="AE180" s="1367"/>
      <c r="AF180" s="1633"/>
      <c r="AG180" s="623"/>
      <c r="AH180" s="623"/>
      <c r="AI180" s="623"/>
      <c r="AJ180" s="623"/>
      <c r="AK180" s="1642">
        <v>11</v>
      </c>
    </row>
    <row s="1642" customFormat="1" customHeight="1" ht="11.549999999999999">
      <c r="A181" s="988"/>
      <c r="B181" s="988"/>
      <c r="C181" s="988"/>
      <c r="D181" s="988"/>
      <c r="E181" s="988"/>
      <c r="F181" s="1637"/>
      <c r="G181" s="1637"/>
      <c r="H181" s="352"/>
      <c r="N181" s="1367"/>
      <c r="P181" s="1367"/>
      <c r="Q181" s="1637"/>
      <c r="R181" s="1637"/>
      <c r="S181" s="1367"/>
      <c r="T181" s="1367"/>
      <c r="U181" s="1367"/>
      <c r="V181" s="1367"/>
      <c r="W181" s="1637"/>
      <c r="X181" s="1367"/>
      <c r="Y181" s="1367"/>
      <c r="Z181" s="545"/>
      <c r="AA181" s="1367"/>
      <c r="AB181" s="1367"/>
      <c r="AC181" s="1367"/>
      <c r="AD181" s="1367"/>
      <c r="AE181" s="1367"/>
      <c r="AF181" s="1633"/>
      <c r="AG181" s="623"/>
      <c r="AH181" s="623"/>
      <c r="AI181" s="623"/>
      <c r="AJ181" s="623"/>
      <c r="AK181" s="1642">
        <v>11</v>
      </c>
    </row>
    <row s="1642" customFormat="1" customHeight="1" ht="11.549999999999999">
      <c r="A182" s="988"/>
      <c r="B182" s="988"/>
      <c r="C182" s="988"/>
      <c r="D182" s="988"/>
      <c r="E182" s="988"/>
      <c r="F182" s="1637"/>
      <c r="G182" s="1637"/>
      <c r="H182" s="352"/>
      <c r="N182" s="1367"/>
      <c r="P182" s="1367"/>
      <c r="Q182" s="1637"/>
      <c r="R182" s="1637"/>
      <c r="S182" s="1367"/>
      <c r="T182" s="1367"/>
      <c r="U182" s="1367"/>
      <c r="V182" s="1367"/>
      <c r="W182" s="1637"/>
      <c r="X182" s="1367"/>
      <c r="Y182" s="1367"/>
      <c r="Z182" s="545"/>
      <c r="AA182" s="1367"/>
      <c r="AB182" s="1367"/>
      <c r="AC182" s="1367"/>
      <c r="AD182" s="1367"/>
      <c r="AE182" s="1367"/>
      <c r="AF182" s="1633"/>
      <c r="AG182" s="623"/>
      <c r="AH182" s="623"/>
      <c r="AI182" s="623"/>
      <c r="AJ182" s="623"/>
      <c r="AK182" s="1642">
        <v>11</v>
      </c>
    </row>
    <row s="1642" customFormat="1" customHeight="1" ht="11.549999999999999">
      <c r="A183" s="988"/>
      <c r="B183" s="988"/>
      <c r="C183" s="988"/>
      <c r="D183" s="988"/>
      <c r="E183" s="988"/>
      <c r="F183" s="1637"/>
      <c r="G183" s="1637"/>
      <c r="H183" s="352"/>
      <c r="N183" s="1367"/>
      <c r="P183" s="1367"/>
      <c r="Q183" s="1637"/>
      <c r="R183" s="1637"/>
      <c r="S183" s="1367"/>
      <c r="T183" s="1367"/>
      <c r="U183" s="1367"/>
      <c r="V183" s="1367"/>
      <c r="W183" s="1637"/>
      <c r="X183" s="1367"/>
      <c r="Y183" s="1367"/>
      <c r="Z183" s="545"/>
      <c r="AA183" s="1367"/>
      <c r="AB183" s="1367"/>
      <c r="AC183" s="1367"/>
      <c r="AD183" s="1367"/>
      <c r="AE183" s="1367"/>
      <c r="AF183" s="1633"/>
      <c r="AG183" s="623"/>
      <c r="AH183" s="623"/>
      <c r="AI183" s="623"/>
      <c r="AJ183" s="623"/>
      <c r="AK183" s="1642">
        <v>11</v>
      </c>
    </row>
    <row s="1642" customFormat="1" customHeight="1" ht="11.549999999999999">
      <c r="A184" s="988"/>
      <c r="B184" s="988"/>
      <c r="C184" s="988"/>
      <c r="D184" s="988"/>
      <c r="E184" s="988"/>
      <c r="F184" s="1637"/>
      <c r="G184" s="1637"/>
      <c r="H184" s="352"/>
      <c r="N184" s="1367"/>
      <c r="P184" s="1367"/>
      <c r="Q184" s="1637"/>
      <c r="R184" s="1637"/>
      <c r="S184" s="1367"/>
      <c r="T184" s="1367"/>
      <c r="U184" s="1367"/>
      <c r="V184" s="1367"/>
      <c r="W184" s="1637"/>
      <c r="X184" s="1367"/>
      <c r="Y184" s="1367"/>
      <c r="Z184" s="545"/>
      <c r="AA184" s="1367"/>
      <c r="AB184" s="1367"/>
      <c r="AC184" s="1367"/>
      <c r="AD184" s="1367"/>
      <c r="AE184" s="1367"/>
      <c r="AF184" s="1633"/>
      <c r="AG184" s="623"/>
      <c r="AH184" s="623"/>
      <c r="AI184" s="623"/>
      <c r="AJ184" s="623"/>
      <c r="AK184" s="1642">
        <v>11</v>
      </c>
    </row>
    <row s="1642" customFormat="1" customHeight="1" ht="11.549999999999999">
      <c r="A185" s="988"/>
      <c r="B185" s="988"/>
      <c r="C185" s="988"/>
      <c r="D185" s="988"/>
      <c r="E185" s="988"/>
      <c r="F185" s="1637"/>
      <c r="G185" s="1637"/>
      <c r="H185" s="352"/>
      <c r="N185" s="1367"/>
      <c r="P185" s="1367"/>
      <c r="Q185" s="1637"/>
      <c r="R185" s="1637"/>
      <c r="S185" s="1367"/>
      <c r="T185" s="1367"/>
      <c r="U185" s="1367"/>
      <c r="V185" s="1367"/>
      <c r="W185" s="1637"/>
      <c r="X185" s="1367"/>
      <c r="Y185" s="1367"/>
      <c r="Z185" s="545"/>
      <c r="AA185" s="1367"/>
      <c r="AB185" s="1367"/>
      <c r="AC185" s="1367"/>
      <c r="AD185" s="1367"/>
      <c r="AE185" s="1367"/>
      <c r="AF185" s="1633"/>
      <c r="AG185" s="623"/>
      <c r="AH185" s="623"/>
      <c r="AI185" s="623"/>
      <c r="AJ185" s="623"/>
      <c r="AK185" s="1642">
        <v>11</v>
      </c>
    </row>
    <row s="1642" customFormat="1" customHeight="1" ht="11.549999999999999">
      <c r="A186" s="988"/>
      <c r="B186" s="988"/>
      <c r="C186" s="988"/>
      <c r="D186" s="988"/>
      <c r="E186" s="988"/>
      <c r="F186" s="1637"/>
      <c r="G186" s="1637"/>
      <c r="H186" s="352"/>
      <c r="N186" s="1367"/>
      <c r="P186" s="1367"/>
      <c r="Q186" s="1637"/>
      <c r="R186" s="1637"/>
      <c r="S186" s="1367"/>
      <c r="T186" s="1367"/>
      <c r="U186" s="1367"/>
      <c r="V186" s="1367"/>
      <c r="W186" s="1637"/>
      <c r="X186" s="1367"/>
      <c r="Y186" s="1367"/>
      <c r="Z186" s="545"/>
      <c r="AA186" s="1367"/>
      <c r="AB186" s="1367"/>
      <c r="AC186" s="1367"/>
      <c r="AD186" s="1367"/>
      <c r="AE186" s="1367"/>
      <c r="AF186" s="1633"/>
      <c r="AG186" s="623"/>
      <c r="AH186" s="623"/>
      <c r="AI186" s="623"/>
      <c r="AJ186" s="623"/>
      <c r="AK186" s="1642">
        <v>11</v>
      </c>
    </row>
    <row s="1642" customFormat="1" customHeight="1" ht="11.549999999999999">
      <c r="A187" s="988"/>
      <c r="B187" s="988"/>
      <c r="C187" s="988"/>
      <c r="D187" s="988"/>
      <c r="E187" s="988"/>
      <c r="F187" s="1637"/>
      <c r="G187" s="1637"/>
      <c r="H187" s="352"/>
      <c r="N187" s="1367"/>
      <c r="P187" s="1367"/>
      <c r="Q187" s="1637"/>
      <c r="R187" s="1637"/>
      <c r="S187" s="1367"/>
      <c r="T187" s="1367"/>
      <c r="U187" s="1367"/>
      <c r="V187" s="1367"/>
      <c r="W187" s="1637"/>
      <c r="X187" s="1367"/>
      <c r="Y187" s="1367"/>
      <c r="Z187" s="545"/>
      <c r="AA187" s="1367"/>
      <c r="AB187" s="1367"/>
      <c r="AC187" s="1367"/>
      <c r="AD187" s="1367"/>
      <c r="AE187" s="1367"/>
      <c r="AF187" s="1633"/>
      <c r="AG187" s="623"/>
      <c r="AH187" s="623"/>
      <c r="AI187" s="623"/>
      <c r="AJ187" s="623"/>
      <c r="AK187" s="1642">
        <v>11</v>
      </c>
    </row>
    <row s="1642" customFormat="1" customHeight="1" ht="11.549999999999999">
      <c r="A188" s="988"/>
      <c r="B188" s="988"/>
      <c r="C188" s="988"/>
      <c r="D188" s="988"/>
      <c r="E188" s="988"/>
      <c r="F188" s="1637"/>
      <c r="G188" s="1637"/>
      <c r="H188" s="352"/>
      <c r="N188" s="1367"/>
      <c r="P188" s="1367"/>
      <c r="Q188" s="1637"/>
      <c r="R188" s="1637"/>
      <c r="S188" s="1367"/>
      <c r="T188" s="1367"/>
      <c r="U188" s="1367"/>
      <c r="V188" s="1367"/>
      <c r="W188" s="1637"/>
      <c r="X188" s="1367"/>
      <c r="Y188" s="1367"/>
      <c r="Z188" s="545"/>
      <c r="AA188" s="1367"/>
      <c r="AB188" s="1367"/>
      <c r="AC188" s="1367"/>
      <c r="AD188" s="1367"/>
      <c r="AE188" s="1367"/>
      <c r="AF188" s="1633"/>
      <c r="AG188" s="623"/>
      <c r="AH188" s="623"/>
      <c r="AI188" s="623"/>
      <c r="AJ188" s="623"/>
      <c r="AK188" s="1642">
        <v>11</v>
      </c>
    </row>
    <row s="1642" customFormat="1" customHeight="1" ht="11.549999999999999">
      <c r="A189" s="988"/>
      <c r="B189" s="988"/>
      <c r="C189" s="988"/>
      <c r="D189" s="988"/>
      <c r="E189" s="988"/>
      <c r="F189" s="1637"/>
      <c r="G189" s="1637"/>
      <c r="H189" s="352"/>
      <c r="N189" s="1367"/>
      <c r="P189" s="1367"/>
      <c r="Q189" s="1637"/>
      <c r="R189" s="1637"/>
      <c r="S189" s="1367"/>
      <c r="T189" s="1367"/>
      <c r="U189" s="1367"/>
      <c r="V189" s="1367"/>
      <c r="W189" s="1637"/>
      <c r="X189" s="1367"/>
      <c r="Y189" s="1367"/>
      <c r="Z189" s="545"/>
      <c r="AA189" s="1367"/>
      <c r="AB189" s="1367"/>
      <c r="AC189" s="1367"/>
      <c r="AD189" s="1367"/>
      <c r="AE189" s="1367"/>
      <c r="AF189" s="1633"/>
      <c r="AG189" s="623"/>
      <c r="AH189" s="623"/>
      <c r="AI189" s="623"/>
      <c r="AJ189" s="623"/>
      <c r="AK189" s="1642">
        <v>11</v>
      </c>
    </row>
    <row customHeight="1" ht="11.549999999999999">
      <c r="AK190" s="1632">
        <v>11</v>
      </c>
    </row>
    <row customHeight="1" ht="11.549999999999999">
      <c r="AK191" s="1632">
        <v>11</v>
      </c>
    </row>
    <row customHeight="1" ht="11.549999999999999">
      <c r="AK192" s="1632">
        <v>11</v>
      </c>
    </row>
    <row customHeight="1" ht="11.549999999999999">
      <c r="A193" s="991"/>
      <c r="B193" s="991"/>
      <c r="C193" s="991"/>
      <c r="D193" s="991"/>
      <c r="E193" s="991"/>
      <c r="F193" s="1632"/>
      <c r="H193" s="1632"/>
      <c r="N193" s="1632"/>
      <c r="P193" s="1632"/>
      <c r="S193" s="1632"/>
      <c r="T193" s="1632"/>
      <c r="U193" s="1632"/>
      <c r="V193" s="1632"/>
      <c r="X193" s="1632"/>
      <c r="Y193" s="1632"/>
      <c r="Z193" s="1632"/>
      <c r="AA193" s="1632"/>
      <c r="AB193" s="1632"/>
      <c r="AC193" s="1632"/>
      <c r="AD193" s="1632"/>
      <c r="AE193" s="1632"/>
      <c r="AF193" s="1632"/>
      <c r="AG193" s="1632"/>
      <c r="AH193" s="1632"/>
      <c r="AI193" s="1632"/>
      <c r="AJ193" s="1632"/>
      <c r="AK193" s="1632">
        <v>11</v>
      </c>
    </row>
    <row customHeight="1" ht="11.549999999999999">
      <c r="A194" s="991"/>
      <c r="B194" s="991"/>
      <c r="C194" s="991"/>
      <c r="D194" s="991"/>
      <c r="E194" s="991"/>
      <c r="F194" s="1632"/>
      <c r="H194" s="1632"/>
      <c r="N194" s="1632"/>
      <c r="P194" s="1632"/>
      <c r="S194" s="1632"/>
      <c r="T194" s="1632"/>
      <c r="U194" s="1632"/>
      <c r="V194" s="1632"/>
      <c r="X194" s="1632"/>
      <c r="Y194" s="1632"/>
      <c r="Z194" s="1632"/>
      <c r="AA194" s="1632"/>
      <c r="AB194" s="1632"/>
      <c r="AC194" s="1632"/>
      <c r="AD194" s="1632"/>
      <c r="AE194" s="1632"/>
      <c r="AF194" s="1632"/>
      <c r="AG194" s="1632"/>
      <c r="AH194" s="1632"/>
      <c r="AI194" s="1632"/>
      <c r="AJ194" s="1632"/>
      <c r="AK194" s="1632">
        <v>11</v>
      </c>
    </row>
    <row customHeight="1" ht="11.549999999999999">
      <c r="A195" s="991"/>
      <c r="B195" s="991"/>
      <c r="C195" s="991"/>
      <c r="D195" s="991"/>
      <c r="E195" s="991"/>
      <c r="F195" s="1632"/>
      <c r="H195" s="1632"/>
      <c r="N195" s="1632"/>
      <c r="P195" s="1632"/>
      <c r="S195" s="1632"/>
      <c r="T195" s="1632"/>
      <c r="U195" s="1632"/>
      <c r="V195" s="1632"/>
      <c r="X195" s="1632"/>
      <c r="Y195" s="1632"/>
      <c r="Z195" s="1632"/>
      <c r="AA195" s="1632"/>
      <c r="AB195" s="1632"/>
      <c r="AC195" s="1632"/>
      <c r="AD195" s="1632"/>
      <c r="AE195" s="1632"/>
      <c r="AF195" s="1632"/>
      <c r="AG195" s="1632"/>
      <c r="AH195" s="1632"/>
      <c r="AI195" s="1632"/>
      <c r="AJ195" s="1632"/>
      <c r="AK195" s="1632">
        <v>11</v>
      </c>
    </row>
    <row customHeight="1" ht="11.549999999999999">
      <c r="A196" s="991"/>
      <c r="B196" s="991"/>
      <c r="C196" s="991"/>
      <c r="D196" s="991"/>
      <c r="E196" s="991"/>
      <c r="F196" s="1632"/>
      <c r="H196" s="1632"/>
      <c r="N196" s="1632"/>
      <c r="P196" s="1632"/>
      <c r="S196" s="1632"/>
      <c r="T196" s="1632"/>
      <c r="U196" s="1632"/>
      <c r="V196" s="1632"/>
      <c r="X196" s="1632"/>
      <c r="Y196" s="1632"/>
      <c r="Z196" s="1632"/>
      <c r="AA196" s="1632"/>
      <c r="AB196" s="1632"/>
      <c r="AC196" s="1632"/>
      <c r="AD196" s="1632"/>
      <c r="AE196" s="1632"/>
      <c r="AF196" s="1632"/>
      <c r="AG196" s="1632"/>
      <c r="AH196" s="1632"/>
      <c r="AI196" s="1632"/>
      <c r="AJ196" s="1632"/>
      <c r="AK196" s="1632">
        <v>11</v>
      </c>
    </row>
    <row customHeight="1" ht="11.549999999999999">
      <c r="A197" s="991"/>
      <c r="B197" s="991"/>
      <c r="C197" s="991"/>
      <c r="D197" s="991"/>
      <c r="E197" s="991"/>
      <c r="F197" s="1632"/>
      <c r="H197" s="1632"/>
      <c r="N197" s="1632"/>
      <c r="P197" s="1632"/>
      <c r="S197" s="1632"/>
      <c r="T197" s="1632"/>
      <c r="U197" s="1632"/>
      <c r="V197" s="1632"/>
      <c r="X197" s="1632"/>
      <c r="Y197" s="1632"/>
      <c r="Z197" s="1632"/>
      <c r="AA197" s="1632"/>
      <c r="AB197" s="1632"/>
      <c r="AC197" s="1632"/>
      <c r="AD197" s="1632"/>
      <c r="AE197" s="1632"/>
      <c r="AF197" s="1632"/>
      <c r="AG197" s="1632"/>
      <c r="AH197" s="1632"/>
      <c r="AI197" s="1632"/>
      <c r="AJ197" s="1632"/>
      <c r="AK197" s="1632">
        <v>11</v>
      </c>
    </row>
    <row customHeight="1" ht="11.549999999999999">
      <c r="A198" s="991"/>
      <c r="B198" s="991"/>
      <c r="C198" s="991"/>
      <c r="D198" s="991"/>
      <c r="E198" s="991"/>
      <c r="F198" s="1632"/>
      <c r="H198" s="1632"/>
      <c r="N198" s="1632"/>
      <c r="P198" s="1632"/>
      <c r="S198" s="1632"/>
      <c r="T198" s="1632"/>
      <c r="U198" s="1632"/>
      <c r="V198" s="1632"/>
      <c r="X198" s="1632"/>
      <c r="Y198" s="1632"/>
      <c r="Z198" s="1632"/>
      <c r="AA198" s="1632"/>
      <c r="AB198" s="1632"/>
      <c r="AC198" s="1632"/>
      <c r="AD198" s="1632"/>
      <c r="AE198" s="1632"/>
      <c r="AF198" s="1632"/>
      <c r="AG198" s="1632"/>
      <c r="AH198" s="1632"/>
      <c r="AI198" s="1632"/>
      <c r="AJ198" s="1632"/>
      <c r="AK198" s="1632">
        <v>11</v>
      </c>
    </row>
    <row customHeight="1" ht="11.549999999999999">
      <c r="A199" s="991"/>
      <c r="B199" s="991"/>
      <c r="C199" s="991"/>
      <c r="D199" s="991"/>
      <c r="E199" s="991"/>
      <c r="F199" s="1632"/>
      <c r="H199" s="1632"/>
      <c r="N199" s="1632"/>
      <c r="P199" s="1632"/>
      <c r="S199" s="1632"/>
      <c r="T199" s="1632"/>
      <c r="U199" s="1632"/>
      <c r="V199" s="1632"/>
      <c r="X199" s="1632"/>
      <c r="Y199" s="1632"/>
      <c r="Z199" s="1632"/>
      <c r="AA199" s="1632"/>
      <c r="AB199" s="1632"/>
      <c r="AC199" s="1632"/>
      <c r="AD199" s="1632"/>
      <c r="AE199" s="1632"/>
      <c r="AF199" s="1632"/>
      <c r="AG199" s="1632"/>
      <c r="AH199" s="1632"/>
      <c r="AI199" s="1632"/>
      <c r="AJ199" s="1632"/>
      <c r="AK199" s="1632">
        <v>11</v>
      </c>
    </row>
    <row customHeight="1" ht="11.549999999999999">
      <c r="A200" s="991"/>
      <c r="B200" s="991"/>
      <c r="C200" s="991"/>
      <c r="D200" s="991"/>
      <c r="E200" s="991"/>
      <c r="F200" s="1632"/>
      <c r="H200" s="1632"/>
      <c r="N200" s="1632"/>
      <c r="P200" s="1632"/>
      <c r="S200" s="1632"/>
      <c r="T200" s="1632"/>
      <c r="U200" s="1632"/>
      <c r="V200" s="1632"/>
      <c r="X200" s="1632"/>
      <c r="Y200" s="1632"/>
      <c r="Z200" s="1632"/>
      <c r="AA200" s="1632"/>
      <c r="AB200" s="1632"/>
      <c r="AC200" s="1632"/>
      <c r="AD200" s="1632"/>
      <c r="AE200" s="1632"/>
      <c r="AF200" s="1632"/>
      <c r="AG200" s="1632"/>
      <c r="AH200" s="1632"/>
      <c r="AI200" s="1632"/>
      <c r="AJ200" s="1632"/>
      <c r="AK200" s="1632">
        <v>11</v>
      </c>
    </row>
    <row customHeight="1" ht="11.549999999999999">
      <c r="A201" s="991"/>
      <c r="B201" s="991"/>
      <c r="C201" s="991"/>
      <c r="D201" s="991"/>
      <c r="E201" s="991"/>
      <c r="F201" s="1632"/>
      <c r="H201" s="1632"/>
      <c r="N201" s="1632"/>
      <c r="P201" s="1632"/>
      <c r="S201" s="1632"/>
      <c r="T201" s="1632"/>
      <c r="U201" s="1632"/>
      <c r="V201" s="1632"/>
      <c r="X201" s="1632"/>
      <c r="Y201" s="1632"/>
      <c r="Z201" s="1632"/>
      <c r="AA201" s="1632"/>
      <c r="AB201" s="1632"/>
      <c r="AC201" s="1632"/>
      <c r="AD201" s="1632"/>
      <c r="AE201" s="1632"/>
      <c r="AF201" s="1632"/>
      <c r="AG201" s="1632"/>
      <c r="AH201" s="1632"/>
      <c r="AI201" s="1632"/>
      <c r="AJ201" s="1632"/>
      <c r="AK201" s="1632">
        <v>11</v>
      </c>
    </row>
    <row customHeight="1" ht="11.549999999999999">
      <c r="A202" s="991"/>
      <c r="B202" s="991"/>
      <c r="C202" s="991"/>
      <c r="D202" s="991"/>
      <c r="E202" s="991"/>
      <c r="F202" s="1632"/>
      <c r="H202" s="1632"/>
      <c r="N202" s="1632"/>
      <c r="P202" s="1632"/>
      <c r="S202" s="1632"/>
      <c r="T202" s="1632"/>
      <c r="U202" s="1632"/>
      <c r="V202" s="1632"/>
      <c r="X202" s="1632"/>
      <c r="Y202" s="1632"/>
      <c r="Z202" s="1632"/>
      <c r="AA202" s="1632"/>
      <c r="AB202" s="1632"/>
      <c r="AC202" s="1632"/>
      <c r="AD202" s="1632"/>
      <c r="AE202" s="1632"/>
      <c r="AF202" s="1632"/>
      <c r="AG202" s="1632"/>
      <c r="AH202" s="1632"/>
      <c r="AI202" s="1632"/>
      <c r="AJ202" s="1632"/>
      <c r="AK202" s="1632">
        <v>11</v>
      </c>
    </row>
    <row customHeight="1" ht="11.549999999999999">
      <c r="A203" s="991"/>
      <c r="B203" s="991"/>
      <c r="C203" s="991"/>
      <c r="D203" s="991"/>
      <c r="E203" s="991"/>
      <c r="F203" s="1632"/>
      <c r="H203" s="1632"/>
      <c r="N203" s="1632"/>
      <c r="P203" s="1632"/>
      <c r="S203" s="1632"/>
      <c r="T203" s="1632"/>
      <c r="U203" s="1632"/>
      <c r="V203" s="1632"/>
      <c r="X203" s="1632"/>
      <c r="Y203" s="1632"/>
      <c r="Z203" s="1632"/>
      <c r="AA203" s="1632"/>
      <c r="AB203" s="1632"/>
      <c r="AC203" s="1632"/>
      <c r="AD203" s="1632"/>
      <c r="AE203" s="1632"/>
      <c r="AF203" s="1632"/>
      <c r="AG203" s="1632"/>
      <c r="AH203" s="1632"/>
      <c r="AI203" s="1632"/>
      <c r="AJ203" s="1632"/>
      <c r="AK203" s="1632">
        <v>11</v>
      </c>
    </row>
    <row customHeight="1" ht="12.75" hidden="1">
      <c r="A204" s="988" t="s">
        <v>86</v>
      </c>
      <c r="B204" s="988" t="s">
        <v>162</v>
      </c>
      <c r="C204" s="988" t="s">
        <v>162</v>
      </c>
      <c r="D204" s="988" t="s">
        <v>162</v>
      </c>
      <c r="E204" s="988" t="s">
        <v>162</v>
      </c>
      <c r="F204" s="1636">
        <v>16</v>
      </c>
      <c r="G204" s="1637">
        <v>0</v>
      </c>
      <c r="H204" s="1636">
        <v>3</v>
      </c>
      <c r="I204" s="1632">
        <v>7</v>
      </c>
      <c r="J204" s="1632">
        <v>56</v>
      </c>
      <c r="K204" s="1632">
        <v>10</v>
      </c>
      <c r="L204" s="1632">
        <v>40</v>
      </c>
      <c r="M204" s="1632">
        <v>40</v>
      </c>
      <c r="N204" s="1367">
        <v>9</v>
      </c>
      <c r="O204" s="1632">
        <v>102</v>
      </c>
      <c r="P204" s="1367">
        <v>9</v>
      </c>
      <c r="Q204" s="1637">
        <v>5</v>
      </c>
      <c r="R204" s="1637">
        <v>3</v>
      </c>
      <c r="S204" s="1367">
        <v>3</v>
      </c>
      <c r="T204" s="1367">
        <v>3</v>
      </c>
      <c r="U204" s="1367">
        <v>3</v>
      </c>
      <c r="V204" s="1367">
        <v>3</v>
      </c>
      <c r="W204" s="1637">
        <v>10</v>
      </c>
      <c r="X204" s="1367">
        <v>34</v>
      </c>
      <c r="Y204" s="1367">
        <v>9</v>
      </c>
      <c r="Z204" s="545">
        <v>8</v>
      </c>
      <c r="AA204" s="1367">
        <v>8</v>
      </c>
      <c r="AB204" s="1367">
        <v>8</v>
      </c>
      <c r="AC204" s="1367">
        <v>8</v>
      </c>
      <c r="AD204" s="1367">
        <v>8</v>
      </c>
      <c r="AE204" s="1367">
        <v>8</v>
      </c>
      <c r="AF204" s="1633">
        <v>8</v>
      </c>
      <c r="AG204" s="1633">
        <v>8</v>
      </c>
      <c r="AH204" s="1633">
        <v>8</v>
      </c>
      <c r="AI204" s="1633">
        <v>8</v>
      </c>
      <c r="AJ204" s="1633">
        <v>8</v>
      </c>
      <c r="AK204" s="1632">
        <v>11</v>
      </c>
    </row>
  </sheetData>
  <sheetProtection sort="0" autoFilter="0" insertRows="0" insertColumns="1" deleteRows="0" deleteColumns="0"/>
  <mergeCells count="7">
    <mergeCell ref="I6:M6"/>
    <mergeCell ref="I7:M7"/>
    <mergeCell ref="J10:K10"/>
    <mergeCell ref="O10:O14"/>
    <mergeCell ref="J11:K11"/>
    <mergeCell ref="J12:K12"/>
    <mergeCell ref="I13:K13"/>
  </mergeCells>
  <dataValidations count="4">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L15:M15 L34:M34">
      <formula1>900</formula1>
    </dataValidation>
    <dataValidation type="whole" allowBlank="1" showErrorMessage="1" errorTitle="Ошибка" error="Допускается ввод только неотрицательных целых чисел!" sqref="L30:M31">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L17:M17">
      <formula1>900</formula1>
    </dataValidation>
    <dataValidation type="decimal" allowBlank="1" showErrorMessage="1" errorTitle="Ошибка" error="Допускается ввод только неотрицательных чисел!" sqref="L32:M33 L19:M29 L16:M16 L2:M2">
      <formula1>0</formula1>
      <formula2>9.99999999999999E+23</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drawing r:id="rId1"/>
</worksheet>
</file>

<file path=xl/worksheets/sheet3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2C730D8-6448-F2B8-2EC8-4107993BE898}" mc:Ignorable="x14ac xr xr2 xr3">
  <sheetPr>
    <tabColor theme="9" tint="-0.25"/>
  </sheetPr>
  <dimension ref="A1:W16"/>
  <sheetViews>
    <sheetView showGridLines="0" zoomScale="90" workbookViewId="0">
      <pane xSplit="11" ySplit="9" topLeftCell="L10" activePane="bottomRight" state="frozen"/>
      <selection pane="bottomLeft" activeCell="A10" sqref="A10"/>
      <selection pane="topRight" activeCell="L1" sqref="L1"/>
      <selection pane="bottomRight" activeCell="A1" sqref="A1"/>
    </sheetView>
  </sheetViews>
  <sheetFormatPr defaultColWidth="10.57421875" customHeight="1" defaultRowHeight="14.25"/>
  <cols>
    <col min="1" max="4" style="1636" width="10.57421875" hidden="1"/>
    <col min="5" max="5" style="2398" width="9.140625" hidden="1" customWidth="1"/>
    <col min="6" max="7" style="1367" width="9.140625" hidden="1" customWidth="1"/>
    <col min="8" max="8" style="345" width="3.00390625" customWidth="1"/>
    <col min="9" max="9" style="1636" width="6.00390625" customWidth="1"/>
    <col min="10" max="10" style="1636" width="63.00390625" customWidth="1"/>
    <col min="11" max="11" style="1636" width="9.00390625" customWidth="1"/>
    <col min="12" max="12" style="1636" width="39.00390625" customWidth="1"/>
    <col min="13" max="13" style="1636" width="89.00390625" customWidth="1"/>
    <col min="14" max="14" style="1636" width="10.00390625" customWidth="1"/>
    <col min="15" max="16" style="1625" width="10.00390625" customWidth="1"/>
    <col min="17" max="22" style="1636" width="10.00390625" customWidth="1"/>
    <col min="23" max="23" style="1636" width="10.57421875" hidden="1"/>
  </cols>
  <sheetData>
    <row customHeight="1" ht="22.5" hidden="1">
      <c r="S1" s="256"/>
      <c r="T1" s="256"/>
      <c r="V1" s="256"/>
      <c r="W1" s="1632" t="s">
        <v>14</v>
      </c>
    </row>
    <row customHeight="1" ht="22.5" hidden="1">
      <c r="B2" s="2054" t="s">
        <v>818</v>
      </c>
      <c r="C2" s="2054" t="s">
        <v>819</v>
      </c>
      <c r="D2" s="2053" t="s">
        <v>758</v>
      </c>
      <c r="E2" s="2059">
        <f>I2-3</f>
        <v>-3</v>
      </c>
      <c r="F2" s="2059">
        <f>J2</f>
        <v>0</v>
      </c>
      <c r="H2" s="1731" t="s">
        <v>108</v>
      </c>
      <c r="I2" s="2025"/>
      <c r="J2" s="1683"/>
      <c r="K2" s="2019" t="s">
        <v>436</v>
      </c>
      <c r="L2" s="1165"/>
      <c r="M2" s="298"/>
      <c r="N2" s="1625"/>
      <c r="P2" s="1632"/>
      <c r="W2" s="1632">
        <v>0</v>
      </c>
    </row>
    <row customHeight="1" ht="14.25" hidden="1">
      <c r="W3" s="1632">
        <v>0</v>
      </c>
    </row>
    <row customHeight="1" ht="6.3">
      <c r="H4" s="377"/>
      <c r="I4" s="458"/>
      <c r="J4" s="458"/>
      <c r="K4" s="458"/>
      <c r="L4" s="86"/>
      <c r="M4" s="86"/>
      <c r="W4" s="1632">
        <v>6</v>
      </c>
    </row>
    <row customHeight="1" ht="50.25">
      <c r="H5" s="377"/>
      <c r="I5" s="2249" t="s">
        <v>820</v>
      </c>
      <c r="J5" s="2249"/>
      <c r="K5" s="2249"/>
      <c r="L5" s="2249"/>
      <c r="M5" s="267"/>
      <c r="W5" s="1632">
        <v>48</v>
      </c>
    </row>
    <row customHeight="1" ht="18">
      <c r="H6" s="377"/>
      <c r="I6" s="2250" t="str">
        <f>IF(org=0,"Не определено",org)</f>
        <v>ПАО "ТГК-1" (филиал "Кольский")</v>
      </c>
      <c r="J6" s="2250"/>
      <c r="K6" s="2250"/>
      <c r="L6" s="2250"/>
      <c r="M6" s="267"/>
      <c r="W6" s="1632">
        <v>17</v>
      </c>
    </row>
    <row customHeight="1" ht="14.699999999999998">
      <c r="H7" s="377"/>
      <c r="I7" s="458"/>
      <c r="J7" s="464"/>
      <c r="K7" s="464"/>
      <c r="L7" s="753"/>
      <c r="M7" s="194"/>
      <c r="W7" s="1632">
        <v>14</v>
      </c>
    </row>
    <row customHeight="1" ht="14.699999999999998">
      <c r="H8" s="377"/>
      <c r="I8" s="2387" t="s">
        <v>430</v>
      </c>
      <c r="J8" s="2388"/>
      <c r="K8" s="2388"/>
      <c r="L8" s="2389"/>
      <c r="M8" s="2390" t="s">
        <v>431</v>
      </c>
      <c r="W8" s="1632">
        <v>14</v>
      </c>
    </row>
    <row customHeight="1" ht="35.699999999999996">
      <c r="E9" s="2052" t="s">
        <v>749</v>
      </c>
      <c r="F9" s="2052" t="s">
        <v>755</v>
      </c>
      <c r="H9" s="377"/>
      <c r="I9" s="2026" t="s">
        <v>92</v>
      </c>
      <c r="J9" s="2027" t="s">
        <v>432</v>
      </c>
      <c r="K9" s="2065" t="s">
        <v>697</v>
      </c>
      <c r="L9" s="2066" t="s">
        <v>433</v>
      </c>
      <c r="M9" s="2390"/>
      <c r="W9" s="1632">
        <v>34</v>
      </c>
    </row>
    <row customHeight="1" ht="35.699999999999996">
      <c r="B10" s="2054" t="s">
        <v>821</v>
      </c>
      <c r="C10" s="2054" t="s">
        <v>822</v>
      </c>
      <c r="D10" s="2053" t="s">
        <v>758</v>
      </c>
      <c r="E10" s="2057" t="s">
        <v>759</v>
      </c>
      <c r="F10" s="2057" t="s">
        <v>759</v>
      </c>
      <c r="H10" s="377"/>
      <c r="I10" s="2025" t="s">
        <v>123</v>
      </c>
      <c r="J10" s="1887" t="s">
        <v>823</v>
      </c>
      <c r="K10" s="2019" t="s">
        <v>436</v>
      </c>
      <c r="L10" s="819"/>
      <c r="M10" s="298" t="s">
        <v>824</v>
      </c>
      <c r="W10" s="1632">
        <v>34</v>
      </c>
    </row>
    <row customHeight="1" ht="50.25">
      <c r="B11" s="2054" t="s">
        <v>825</v>
      </c>
      <c r="C11" s="2054" t="s">
        <v>826</v>
      </c>
      <c r="D11" s="2053" t="s">
        <v>758</v>
      </c>
      <c r="E11" s="2057" t="s">
        <v>759</v>
      </c>
      <c r="F11" s="2057" t="s">
        <v>759</v>
      </c>
      <c r="H11" s="377"/>
      <c r="I11" s="2025" t="s">
        <v>107</v>
      </c>
      <c r="J11" s="1887" t="s">
        <v>827</v>
      </c>
      <c r="K11" s="2019" t="s">
        <v>436</v>
      </c>
      <c r="L11" s="819"/>
      <c r="M11" s="298" t="s">
        <v>824</v>
      </c>
      <c r="W11" s="1632">
        <v>48</v>
      </c>
    </row>
    <row customHeight="1" ht="48.29999999999999">
      <c r="B12" s="2054" t="s">
        <v>828</v>
      </c>
      <c r="C12" s="2054" t="s">
        <v>829</v>
      </c>
      <c r="D12" s="2053" t="s">
        <v>758</v>
      </c>
      <c r="E12" s="2057" t="s">
        <v>759</v>
      </c>
      <c r="F12" s="2057" t="s">
        <v>759</v>
      </c>
      <c r="H12" s="1689"/>
      <c r="I12" s="2025" t="s">
        <v>94</v>
      </c>
      <c r="J12" s="2032" t="s">
        <v>830</v>
      </c>
      <c r="K12" s="2019" t="s">
        <v>436</v>
      </c>
      <c r="L12" s="819"/>
      <c r="M12" s="298" t="s">
        <v>831</v>
      </c>
      <c r="N12" s="1625"/>
      <c r="P12" s="1632"/>
      <c r="W12" s="1632">
        <v>46</v>
      </c>
    </row>
    <row customHeight="1" ht="14.699999999999998">
      <c r="E13" s="344"/>
      <c r="H13" s="377"/>
      <c r="I13" s="348"/>
      <c r="J13" s="652" t="s">
        <v>832</v>
      </c>
      <c r="K13" s="572"/>
      <c r="L13" s="215"/>
      <c r="M13" s="298"/>
      <c r="W13" s="1632">
        <v>14</v>
      </c>
    </row>
    <row customHeight="1" ht="14.699999999999998">
      <c r="E14" s="344"/>
      <c r="H14" s="377"/>
      <c r="I14" s="1058"/>
      <c r="J14" s="1678"/>
      <c r="K14" s="1679"/>
      <c r="L14" s="1680"/>
      <c r="M14" s="2029"/>
      <c r="W14" s="1632">
        <v>14</v>
      </c>
    </row>
    <row customHeight="1" ht="14.699999999999998">
      <c r="I15" s="1682"/>
      <c r="J15" s="2386"/>
      <c r="K15" s="2386"/>
      <c r="L15" s="2386"/>
      <c r="M15" s="2386"/>
      <c r="W15" s="1632">
        <v>14</v>
      </c>
    </row>
    <row customHeight="1" ht="21" hidden="1">
      <c r="A16" s="2031" t="s">
        <v>86</v>
      </c>
      <c r="B16" s="1632">
        <v>9</v>
      </c>
      <c r="C16" s="1632">
        <v>9</v>
      </c>
      <c r="D16" s="1632">
        <v>9</v>
      </c>
      <c r="E16" s="2031" t="s">
        <v>161</v>
      </c>
      <c r="F16" s="2056" t="s">
        <v>161</v>
      </c>
      <c r="G16" s="2058"/>
      <c r="H16" s="345">
        <v>3</v>
      </c>
      <c r="I16" s="1632">
        <v>6</v>
      </c>
      <c r="J16" s="1632">
        <v>63</v>
      </c>
      <c r="K16" s="1632">
        <v>9</v>
      </c>
      <c r="L16" s="1632">
        <v>39</v>
      </c>
      <c r="M16" s="1632">
        <v>89</v>
      </c>
      <c r="N16" s="1632">
        <v>10</v>
      </c>
      <c r="O16" s="1625">
        <v>10</v>
      </c>
      <c r="P16" s="1625">
        <v>10</v>
      </c>
      <c r="Q16" s="1632">
        <v>10</v>
      </c>
      <c r="R16" s="1632">
        <v>10</v>
      </c>
      <c r="S16" s="1632">
        <v>10</v>
      </c>
      <c r="T16" s="1632">
        <v>10</v>
      </c>
      <c r="U16" s="1632">
        <v>10</v>
      </c>
      <c r="V16" s="1632">
        <v>10</v>
      </c>
      <c r="W16" s="1632">
        <v>23</v>
      </c>
    </row>
  </sheetData>
  <sheetProtection formatColumns="0" formatRows="0" sort="0" autoFilter="0" insertRows="0" insertColumns="1" deleteRows="0" deleteColumns="0"/>
  <mergeCells count="5">
    <mergeCell ref="J15:M15"/>
    <mergeCell ref="I5:L5"/>
    <mergeCell ref="I6:L6"/>
    <mergeCell ref="I8:L8"/>
    <mergeCell ref="M8:M9"/>
  </mergeCells>
  <dataValidations count="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либо ссылку на официальный сайт в сети «Интернет», на котором размещена информация" sqref="L2 L10:L12">
      <formula1>900</formula1>
    </dataValidation>
    <dataValidation type="textLength" operator="lessThanOrEqual" allowBlank="1" showInputMessage="1" showErrorMessage="1" errorTitle="Ошибка" error="Допускается ввод не более 900 символов!" sqref="M10 J2">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drawing r:id="rId1"/>
</worksheet>
</file>

<file path=xl/worksheets/sheet3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F2CFF91-B034-739E-03D8-12C418242DE8}" mc:Ignorable="x14ac xr xr2 xr3">
  <sheetPr>
    <tabColor theme="9" tint="-0.25"/>
  </sheetPr>
  <dimension ref="A1:AF217"/>
  <sheetViews>
    <sheetView showGridLines="0" zoomScale="90" workbookViewId="0">
      <pane xSplit="8" ySplit="14" topLeftCell="I15" activePane="bottomRight" state="frozen"/>
      <selection pane="bottomLeft" activeCell="A15" sqref="A15"/>
      <selection pane="topRight" activeCell="I1" sqref="I1"/>
      <selection pane="bottomRight" activeCell="A1" sqref="A1"/>
    </sheetView>
  </sheetViews>
  <sheetFormatPr defaultColWidth="9.140625" customHeight="1" defaultRowHeight="11.25"/>
  <cols>
    <col min="1" max="1" style="988" width="10.7109375" hidden="1" customWidth="1"/>
    <col min="2" max="2" style="1367" width="16.8515625" hidden="1" customWidth="1"/>
    <col min="3" max="3" style="1643" width="5.57421875" hidden="1" customWidth="1"/>
    <col min="4" max="4" style="1636" width="3.00390625" customWidth="1"/>
    <col min="5" max="5" style="1636" width="7.00390625" customWidth="1"/>
    <col min="6" max="6" style="1636" width="56.00390625" customWidth="1"/>
    <col min="7" max="7" style="1636" width="10.00390625" customWidth="1"/>
    <col min="8" max="8" style="1636" width="40.7109375" hidden="1" customWidth="1"/>
    <col min="9" max="9" style="1636" width="40.00390625" customWidth="1"/>
    <col min="10" max="10" style="1636" width="102.00390625" customWidth="1"/>
    <col min="11" max="11" style="1367" width="9.00390625" customWidth="1"/>
    <col min="12" max="12" style="1643" width="5.00390625" customWidth="1"/>
    <col min="13" max="13" style="1643" width="3.00390625" customWidth="1"/>
    <col min="14" max="17" style="1367" width="3.00390625" customWidth="1"/>
    <col min="18" max="18" style="1643" width="10.00390625" customWidth="1"/>
    <col min="19" max="19" style="1367" width="34.00390625" customWidth="1"/>
    <col min="20" max="20" style="1367" width="9.00390625" customWidth="1"/>
    <col min="21" max="21" style="737" width="8.00390625" customWidth="1"/>
    <col min="22" max="26" style="1367" width="8.00390625" customWidth="1"/>
    <col min="27" max="31" style="1633" width="8.00390625" customWidth="1"/>
    <col min="32" max="32" style="1636" width="10.421875" hidden="1" customWidth="1"/>
  </cols>
  <sheetData>
    <row s="1367" customFormat="1" customHeight="1" ht="22.5" hidden="1">
      <c r="A1" s="988"/>
      <c r="C1" s="1637"/>
      <c r="D1" s="538"/>
      <c r="H1" s="1161">
        <v>4</v>
      </c>
      <c r="I1" s="1161">
        <v>4</v>
      </c>
      <c r="L1" s="1637"/>
      <c r="M1" s="1637"/>
      <c r="R1" s="1637"/>
      <c r="AF1" s="1161" t="s">
        <v>14</v>
      </c>
    </row>
    <row s="1367" customFormat="1" customHeight="1" ht="22.5" hidden="1">
      <c r="A2" s="988"/>
      <c r="C2" s="1637"/>
      <c r="D2" s="539"/>
      <c r="E2" s="1638"/>
      <c r="F2" s="541"/>
      <c r="G2" s="1640" t="s">
        <v>683</v>
      </c>
      <c r="H2" s="542"/>
      <c r="I2" s="542"/>
      <c r="J2" s="543" t="s">
        <v>833</v>
      </c>
      <c r="K2" s="544"/>
      <c r="L2" s="1637"/>
      <c r="M2" s="1637"/>
      <c r="R2" s="1637"/>
      <c r="U2" s="545"/>
      <c r="AA2" s="1633"/>
      <c r="AB2" s="1633"/>
      <c r="AC2" s="1633"/>
      <c r="AD2" s="1633"/>
      <c r="AE2" s="1633"/>
      <c r="AF2" s="1161">
        <v>0</v>
      </c>
    </row>
    <row customHeight="1" ht="11.25" hidden="1">
      <c r="AF3" s="1632">
        <v>0</v>
      </c>
    </row>
    <row s="1633" customFormat="1" customHeight="1" ht="11.25" hidden="1">
      <c r="A4" s="988"/>
      <c r="B4" s="1161"/>
      <c r="C4" s="1637"/>
      <c r="D4" s="363"/>
      <c r="J4" s="1633">
        <v>4</v>
      </c>
      <c r="K4" s="1161"/>
      <c r="L4" s="1637"/>
      <c r="M4" s="1637"/>
      <c r="N4" s="1161"/>
      <c r="O4" s="1161"/>
      <c r="P4" s="1161"/>
      <c r="Q4" s="1161"/>
      <c r="R4" s="1637"/>
      <c r="S4" s="1161"/>
      <c r="T4" s="1161"/>
      <c r="U4" s="545"/>
      <c r="V4" s="1161"/>
      <c r="W4" s="1161"/>
      <c r="X4" s="1161"/>
      <c r="Y4" s="1161"/>
      <c r="Z4" s="1161"/>
      <c r="AF4" s="1633">
        <v>0</v>
      </c>
    </row>
    <row customHeight="1" ht="11.549999999999999">
      <c r="AF5" s="1632">
        <v>11</v>
      </c>
    </row>
    <row customHeight="1" ht="31.5">
      <c r="E6" s="2308" t="s">
        <v>834</v>
      </c>
      <c r="F6" s="2308"/>
      <c r="G6" s="2308"/>
      <c r="H6" s="2308"/>
      <c r="I6" s="2308"/>
      <c r="J6" s="557"/>
      <c r="AF6" s="1632">
        <v>30</v>
      </c>
    </row>
    <row customHeight="1" ht="11.549999999999999">
      <c r="E7" s="2250" t="str">
        <f>IF(org=0,"Не определено",org)</f>
        <v>ПАО "ТГК-1" (филиал "Кольский")</v>
      </c>
      <c r="F7" s="2250"/>
      <c r="G7" s="2250"/>
      <c r="H7" s="2250"/>
      <c r="I7" s="2250"/>
      <c r="AF7" s="1632">
        <v>11</v>
      </c>
    </row>
    <row customHeight="1" ht="11.549999999999999">
      <c r="E8" s="1136"/>
      <c r="F8" s="1136"/>
      <c r="G8" s="1136"/>
      <c r="H8" s="1136"/>
      <c r="I8" s="1136"/>
      <c r="AF8" s="1632">
        <v>11</v>
      </c>
    </row>
    <row s="1643" customFormat="1" customHeight="1" ht="4.2">
      <c r="A9" s="1168"/>
      <c r="D9" s="1643"/>
      <c r="H9" s="890"/>
      <c r="I9" s="890" t="s">
        <v>130</v>
      </c>
      <c r="AF9" s="1637">
        <v>4</v>
      </c>
    </row>
    <row customHeight="1" ht="11.549999999999999">
      <c r="E10" s="712"/>
      <c r="F10" s="2368" t="s">
        <v>119</v>
      </c>
      <c r="G10" s="2369"/>
      <c r="H10" s="1553" t="str">
        <f>IF(H9="","",INDEX(DIFFERENTIATION_UNMERGE_VD,MATCH(H9,DIFFERENTIATION_ID_DIFF,0)))</f>
        <v/>
      </c>
      <c r="I10" s="1553">
        <f>IF(I9="","",INDEX(DIFFERENTIATION_UNMERGE_VD,MATCH(I9,DIFFERENTIATION_ID_DIFF,0)))</f>
        <v>0</v>
      </c>
      <c r="J10" s="2128"/>
      <c r="AF10" s="1632">
        <v>11</v>
      </c>
    </row>
    <row customHeight="1" ht="11.549999999999999">
      <c r="E11" s="712"/>
      <c r="F11" s="2368" t="s">
        <v>695</v>
      </c>
      <c r="G11" s="2369"/>
      <c r="H11" s="1553" t="str">
        <f>IF(H9="","",INDEX(DIFFERENTIATION_UNMERGE_AREA,MATCH(H9,DIFFERENTIATION_ID_DIFF,0)))</f>
        <v/>
      </c>
      <c r="I11" s="1553" t="str">
        <f>IF(I9="","",INDEX(DIFFERENTIATION_UNMERGE_AREA,MATCH(I9,DIFFERENTIATION_ID_DIFF,0)))</f>
        <v/>
      </c>
      <c r="J11" s="2128"/>
      <c r="AF11" s="1632">
        <v>11</v>
      </c>
    </row>
    <row customHeight="1" ht="1.05">
      <c r="E12" s="1663"/>
      <c r="F12" s="2391" t="s">
        <v>696</v>
      </c>
      <c r="G12" s="2392"/>
      <c r="H12" s="1664" t="str">
        <f>IF(H9="","",INDEX(DIFFERENTIATION_UNMERGE_SYSTEM,MATCH(H9,DIFFERENTIATION_ID_DIFF,0)))</f>
        <v/>
      </c>
      <c r="I12" s="1664" t="str">
        <f>IF(I9="","",INDEX(DIFFERENTIATION_UNMERGE_SYSTEM,MATCH(I9,DIFFERENTIATION_ID_DIFF,0)))</f>
        <v>без дифференциации</v>
      </c>
      <c r="J12" s="2128"/>
      <c r="AF12" s="1632">
        <v>1</v>
      </c>
    </row>
    <row customHeight="1" ht="11.549999999999999">
      <c r="E13" s="2370" t="s">
        <v>430</v>
      </c>
      <c r="F13" s="2371"/>
      <c r="G13" s="2371"/>
      <c r="H13" s="1552"/>
      <c r="I13" s="1552"/>
      <c r="J13" s="2128"/>
      <c r="AF13" s="1632">
        <v>11</v>
      </c>
    </row>
    <row customHeight="1" ht="24">
      <c r="E14" s="1640" t="s">
        <v>92</v>
      </c>
      <c r="F14" s="1635" t="s">
        <v>432</v>
      </c>
      <c r="G14" s="1635" t="s">
        <v>697</v>
      </c>
      <c r="H14" s="1635" t="s">
        <v>433</v>
      </c>
      <c r="I14" s="1635" t="s">
        <v>433</v>
      </c>
      <c r="J14" s="2128"/>
      <c r="AF14" s="1632">
        <v>23</v>
      </c>
    </row>
    <row customHeight="1" ht="19.95">
      <c r="D15" s="1639"/>
      <c r="E15" s="1631" t="s">
        <v>123</v>
      </c>
      <c r="F15" s="708" t="s">
        <v>835</v>
      </c>
      <c r="G15" s="1647" t="s">
        <v>683</v>
      </c>
      <c r="H15" s="558"/>
      <c r="I15" s="558"/>
      <c r="J15" s="290" t="s">
        <v>836</v>
      </c>
      <c r="K15" s="544" t="s">
        <v>761</v>
      </c>
      <c r="AF15" s="1632">
        <v>19</v>
      </c>
    </row>
    <row customHeight="1" ht="35.699999999999996">
      <c r="D16" s="1639"/>
      <c r="E16" s="1631" t="s">
        <v>107</v>
      </c>
      <c r="F16" s="708" t="s">
        <v>837</v>
      </c>
      <c r="G16" s="1647" t="s">
        <v>683</v>
      </c>
      <c r="H16" s="559">
        <f>SUM(H17,H20:H32)</f>
        <v>0</v>
      </c>
      <c r="I16" s="559">
        <f>SUM(I17,I20,I23,I26,I29:I32)</f>
        <v>0</v>
      </c>
      <c r="J16" s="290" t="s">
        <v>838</v>
      </c>
      <c r="K16" s="544" t="s">
        <v>761</v>
      </c>
      <c r="AF16" s="1632">
        <v>34</v>
      </c>
    </row>
    <row customHeight="1" ht="19.95">
      <c r="D17" s="1639"/>
      <c r="E17" s="1665" t="s">
        <v>839</v>
      </c>
      <c r="F17" s="955" t="s">
        <v>840</v>
      </c>
      <c r="G17" s="1644" t="s">
        <v>683</v>
      </c>
      <c r="H17" s="558"/>
      <c r="I17" s="558"/>
      <c r="J17" s="290" t="s">
        <v>841</v>
      </c>
      <c r="K17" s="544"/>
      <c r="AF17" s="1632">
        <v>19</v>
      </c>
    </row>
    <row customHeight="1" ht="24">
      <c r="D18" s="1639"/>
      <c r="E18" s="1665" t="s">
        <v>842</v>
      </c>
      <c r="F18" s="1651" t="s">
        <v>843</v>
      </c>
      <c r="G18" s="1644" t="s">
        <v>683</v>
      </c>
      <c r="H18" s="558"/>
      <c r="I18" s="558"/>
      <c r="J18" s="290" t="s">
        <v>844</v>
      </c>
      <c r="K18" s="544"/>
      <c r="AF18" s="1632">
        <v>23</v>
      </c>
    </row>
    <row customHeight="1" ht="35.699999999999996">
      <c r="D19" s="1639"/>
      <c r="E19" s="1665" t="s">
        <v>845</v>
      </c>
      <c r="F19" s="1651" t="s">
        <v>846</v>
      </c>
      <c r="G19" s="1644" t="s">
        <v>683</v>
      </c>
      <c r="H19" s="558"/>
      <c r="I19" s="558"/>
      <c r="J19" s="290"/>
      <c r="K19" s="544"/>
      <c r="AF19" s="1632">
        <v>34</v>
      </c>
    </row>
    <row customHeight="1" ht="19.95">
      <c r="D20" s="1639"/>
      <c r="E20" s="1665" t="s">
        <v>437</v>
      </c>
      <c r="F20" s="955" t="s">
        <v>847</v>
      </c>
      <c r="G20" s="1644" t="s">
        <v>683</v>
      </c>
      <c r="H20" s="558"/>
      <c r="I20" s="558"/>
      <c r="J20" s="290" t="s">
        <v>848</v>
      </c>
      <c r="K20" s="544"/>
      <c r="AF20" s="1632">
        <v>19</v>
      </c>
    </row>
    <row customHeight="1" ht="19.95">
      <c r="D21" s="1639"/>
      <c r="E21" s="1665" t="s">
        <v>849</v>
      </c>
      <c r="F21" s="1651" t="s">
        <v>850</v>
      </c>
      <c r="G21" s="1644" t="s">
        <v>683</v>
      </c>
      <c r="H21" s="558"/>
      <c r="I21" s="558"/>
      <c r="J21" s="290"/>
      <c r="K21" s="544"/>
      <c r="AF21" s="1632">
        <v>19</v>
      </c>
    </row>
    <row customHeight="1" ht="19.95">
      <c r="D22" s="1639"/>
      <c r="E22" s="1665" t="s">
        <v>851</v>
      </c>
      <c r="F22" s="1651" t="s">
        <v>852</v>
      </c>
      <c r="G22" s="1644" t="s">
        <v>683</v>
      </c>
      <c r="H22" s="558"/>
      <c r="I22" s="558"/>
      <c r="J22" s="290"/>
      <c r="K22" s="544"/>
      <c r="AF22" s="1632">
        <v>19</v>
      </c>
    </row>
    <row customHeight="1" ht="24">
      <c r="D23" s="1639"/>
      <c r="E23" s="1665" t="s">
        <v>440</v>
      </c>
      <c r="F23" s="955" t="s">
        <v>853</v>
      </c>
      <c r="G23" s="1644" t="s">
        <v>683</v>
      </c>
      <c r="H23" s="558"/>
      <c r="I23" s="558"/>
      <c r="J23" s="290" t="s">
        <v>854</v>
      </c>
      <c r="K23" s="544"/>
      <c r="AF23" s="1632">
        <v>23</v>
      </c>
    </row>
    <row customHeight="1" ht="19.95">
      <c r="D24" s="1639"/>
      <c r="E24" s="1665" t="s">
        <v>855</v>
      </c>
      <c r="F24" s="1651" t="s">
        <v>856</v>
      </c>
      <c r="G24" s="1644" t="s">
        <v>683</v>
      </c>
      <c r="H24" s="558"/>
      <c r="I24" s="558"/>
      <c r="J24" s="290"/>
      <c r="K24" s="544"/>
      <c r="AF24" s="1632">
        <v>19</v>
      </c>
    </row>
    <row customHeight="1" ht="35.699999999999996">
      <c r="D25" s="1639"/>
      <c r="E25" s="1665" t="s">
        <v>857</v>
      </c>
      <c r="F25" s="1651" t="s">
        <v>858</v>
      </c>
      <c r="G25" s="1644" t="s">
        <v>683</v>
      </c>
      <c r="H25" s="558"/>
      <c r="I25" s="558"/>
      <c r="J25" s="290"/>
      <c r="K25" s="544"/>
      <c r="AF25" s="1632">
        <v>34</v>
      </c>
    </row>
    <row customHeight="1" ht="24">
      <c r="D26" s="1639"/>
      <c r="E26" s="1665" t="s">
        <v>859</v>
      </c>
      <c r="F26" s="955" t="s">
        <v>860</v>
      </c>
      <c r="G26" s="1644" t="s">
        <v>683</v>
      </c>
      <c r="H26" s="558"/>
      <c r="I26" s="558"/>
      <c r="J26" s="290" t="s">
        <v>861</v>
      </c>
      <c r="K26" s="544"/>
      <c r="AF26" s="1632">
        <v>23</v>
      </c>
    </row>
    <row customHeight="1" ht="19.95">
      <c r="D27" s="1639"/>
      <c r="E27" s="1676" t="s">
        <v>862</v>
      </c>
      <c r="F27" s="1651" t="s">
        <v>863</v>
      </c>
      <c r="G27" s="1655" t="s">
        <v>683</v>
      </c>
      <c r="H27" s="1677"/>
      <c r="I27" s="1677"/>
      <c r="J27" s="290"/>
      <c r="K27" s="544"/>
      <c r="AF27" s="1632">
        <v>19</v>
      </c>
    </row>
    <row customHeight="1" ht="19.95">
      <c r="D28" s="1639"/>
      <c r="E28" s="1676" t="s">
        <v>864</v>
      </c>
      <c r="F28" s="1651" t="s">
        <v>865</v>
      </c>
      <c r="G28" s="1655" t="s">
        <v>683</v>
      </c>
      <c r="H28" s="1677"/>
      <c r="I28" s="1677"/>
      <c r="J28" s="290"/>
      <c r="K28" s="544"/>
      <c r="AF28" s="1632">
        <v>19</v>
      </c>
    </row>
    <row customHeight="1" ht="19.95">
      <c r="D29" s="1639"/>
      <c r="E29" s="1676" t="s">
        <v>866</v>
      </c>
      <c r="F29" s="955" t="s">
        <v>867</v>
      </c>
      <c r="G29" s="1655" t="s">
        <v>683</v>
      </c>
      <c r="H29" s="1677"/>
      <c r="I29" s="1677"/>
      <c r="J29" s="290"/>
      <c r="K29" s="544"/>
      <c r="AF29" s="1632">
        <v>19</v>
      </c>
    </row>
    <row customHeight="1" ht="19.95">
      <c r="D30" s="1639"/>
      <c r="E30" s="1676" t="s">
        <v>868</v>
      </c>
      <c r="F30" s="955" t="s">
        <v>869</v>
      </c>
      <c r="G30" s="1655" t="s">
        <v>683</v>
      </c>
      <c r="H30" s="1677"/>
      <c r="I30" s="1677"/>
      <c r="J30" s="290"/>
      <c r="K30" s="544"/>
      <c r="AF30" s="1632">
        <v>19</v>
      </c>
    </row>
    <row customHeight="1" ht="19.95">
      <c r="D31" s="1639"/>
      <c r="E31" s="1676" t="s">
        <v>870</v>
      </c>
      <c r="F31" s="955" t="s">
        <v>871</v>
      </c>
      <c r="G31" s="1655" t="s">
        <v>683</v>
      </c>
      <c r="H31" s="1677"/>
      <c r="I31" s="1677"/>
      <c r="J31" s="290"/>
      <c r="K31" s="544"/>
      <c r="AF31" s="1632">
        <v>19</v>
      </c>
    </row>
    <row s="1367" customFormat="1" customHeight="1" ht="35.699999999999996">
      <c r="A32" s="988"/>
      <c r="C32" s="1637"/>
      <c r="D32" s="1639"/>
      <c r="E32" s="1676" t="s">
        <v>872</v>
      </c>
      <c r="F32" s="955" t="s">
        <v>873</v>
      </c>
      <c r="G32" s="1645" t="s">
        <v>683</v>
      </c>
      <c r="H32" s="580">
        <f>SUM(H33:H34)</f>
        <v>0</v>
      </c>
      <c r="I32" s="580">
        <f>SUM(I33:I34)</f>
        <v>0</v>
      </c>
      <c r="J32" s="290" t="s">
        <v>874</v>
      </c>
      <c r="K32" s="544"/>
      <c r="L32" s="1637"/>
      <c r="M32" s="1637"/>
      <c r="R32" s="1637"/>
      <c r="U32" s="545"/>
      <c r="AA32" s="1633"/>
      <c r="AB32" s="1633"/>
      <c r="AC32" s="1633"/>
      <c r="AD32" s="1633"/>
      <c r="AE32" s="1633"/>
      <c r="AF32" s="1161">
        <v>34</v>
      </c>
    </row>
    <row s="1643" customFormat="1" customHeight="1" ht="1.05">
      <c r="A33" s="1168"/>
      <c r="D33" s="549"/>
      <c r="E33" s="803" t="str">
        <f>E32&amp;".0"</f>
        <v>2.8.0</v>
      </c>
      <c r="F33" s="992"/>
      <c r="G33" s="552"/>
      <c r="H33" s="993"/>
      <c r="I33" s="993"/>
      <c r="J33" s="994"/>
      <c r="AF33" s="1637">
        <v>1</v>
      </c>
    </row>
    <row s="1367" customFormat="1" customHeight="1" ht="19.95">
      <c r="A34" s="988"/>
      <c r="C34" s="1637"/>
      <c r="D34" s="1634"/>
      <c r="E34" s="571"/>
      <c r="F34" s="1667" t="s">
        <v>708</v>
      </c>
      <c r="G34" s="573"/>
      <c r="H34" s="574"/>
      <c r="I34" s="574"/>
      <c r="J34" s="302" t="s">
        <v>875</v>
      </c>
      <c r="K34" s="544"/>
      <c r="L34" s="1637"/>
      <c r="M34" s="1637"/>
      <c r="R34" s="1637"/>
      <c r="U34" s="545"/>
      <c r="AA34" s="1633"/>
      <c r="AB34" s="1633"/>
      <c r="AC34" s="1633"/>
      <c r="AD34" s="1633"/>
      <c r="AE34" s="1633"/>
      <c r="AF34" s="1161">
        <v>19</v>
      </c>
    </row>
    <row customHeight="1" ht="60">
      <c r="D35" s="1639"/>
      <c r="E35" s="1676" t="s">
        <v>876</v>
      </c>
      <c r="F35" s="955" t="s">
        <v>877</v>
      </c>
      <c r="G35" s="1655" t="s">
        <v>683</v>
      </c>
      <c r="H35" s="1677"/>
      <c r="I35" s="1677"/>
      <c r="J35" s="290" t="s">
        <v>878</v>
      </c>
      <c r="K35" s="544"/>
      <c r="AF35" s="1632">
        <v>57</v>
      </c>
    </row>
    <row s="1367" customFormat="1" customHeight="1" ht="24">
      <c r="A36" s="990" t="s">
        <v>709</v>
      </c>
      <c r="C36" s="1637"/>
      <c r="D36" s="1639"/>
      <c r="E36" s="1665" t="s">
        <v>94</v>
      </c>
      <c r="F36" s="708" t="s">
        <v>879</v>
      </c>
      <c r="G36" s="1644" t="s">
        <v>683</v>
      </c>
      <c r="H36" s="558"/>
      <c r="I36" s="558"/>
      <c r="J36" s="290" t="s">
        <v>880</v>
      </c>
      <c r="K36" s="544"/>
      <c r="L36" s="1637"/>
      <c r="M36" s="1637"/>
      <c r="R36" s="1637"/>
      <c r="U36" s="545"/>
      <c r="AA36" s="1633"/>
      <c r="AB36" s="1633"/>
      <c r="AC36" s="1633"/>
      <c r="AD36" s="1633"/>
      <c r="AE36" s="1633"/>
      <c r="AF36" s="1161">
        <v>23</v>
      </c>
    </row>
    <row s="1367" customFormat="1" customHeight="1" ht="35.699999999999996">
      <c r="A37" s="990"/>
      <c r="C37" s="1637"/>
      <c r="D37" s="1639"/>
      <c r="E37" s="1665" t="s">
        <v>454</v>
      </c>
      <c r="F37" s="955" t="s">
        <v>881</v>
      </c>
      <c r="G37" s="1655"/>
      <c r="H37" s="558"/>
      <c r="I37" s="558"/>
      <c r="J37" s="290"/>
      <c r="K37" s="544"/>
      <c r="L37" s="1637"/>
      <c r="M37" s="1637"/>
      <c r="R37" s="1637"/>
      <c r="U37" s="545"/>
      <c r="AA37" s="1633"/>
      <c r="AB37" s="1633"/>
      <c r="AC37" s="1633"/>
      <c r="AD37" s="1633"/>
      <c r="AE37" s="1633"/>
      <c r="AF37" s="1161">
        <v>34</v>
      </c>
    </row>
    <row s="1367" customFormat="1" customHeight="1" ht="19.95">
      <c r="A38" s="988"/>
      <c r="C38" s="1637"/>
      <c r="D38" s="576"/>
      <c r="E38" s="1665" t="s">
        <v>95</v>
      </c>
      <c r="F38" s="708" t="s">
        <v>882</v>
      </c>
      <c r="G38" s="1644" t="s">
        <v>683</v>
      </c>
      <c r="H38" s="558"/>
      <c r="I38" s="558"/>
      <c r="J38" s="290" t="s">
        <v>883</v>
      </c>
      <c r="K38" s="544"/>
      <c r="L38" s="1637"/>
      <c r="M38" s="1637"/>
      <c r="R38" s="1637"/>
      <c r="U38" s="545"/>
      <c r="AA38" s="1633"/>
      <c r="AB38" s="1633"/>
      <c r="AC38" s="1633"/>
      <c r="AD38" s="1633"/>
      <c r="AE38" s="1633"/>
      <c r="AF38" s="1161">
        <v>19</v>
      </c>
    </row>
    <row s="1367" customFormat="1" customHeight="1" ht="24">
      <c r="A39" s="988"/>
      <c r="C39" s="1637"/>
      <c r="D39" s="576"/>
      <c r="E39" s="1665" t="s">
        <v>884</v>
      </c>
      <c r="F39" s="955" t="s">
        <v>885</v>
      </c>
      <c r="G39" s="1655" t="s">
        <v>683</v>
      </c>
      <c r="H39" s="558"/>
      <c r="I39" s="558"/>
      <c r="J39" s="290" t="s">
        <v>886</v>
      </c>
      <c r="K39" s="544"/>
      <c r="L39" s="1637"/>
      <c r="M39" s="1637"/>
      <c r="R39" s="1637"/>
      <c r="U39" s="545"/>
      <c r="AA39" s="1633"/>
      <c r="AB39" s="1633"/>
      <c r="AC39" s="1633"/>
      <c r="AD39" s="1633"/>
      <c r="AE39" s="1633"/>
      <c r="AF39" s="1161">
        <v>23</v>
      </c>
    </row>
    <row s="1367" customFormat="1" customHeight="1" ht="24">
      <c r="A40" s="988"/>
      <c r="C40" s="1637"/>
      <c r="D40" s="1639"/>
      <c r="E40" s="1665" t="s">
        <v>887</v>
      </c>
      <c r="F40" s="1651" t="s">
        <v>888</v>
      </c>
      <c r="G40" s="1644" t="s">
        <v>683</v>
      </c>
      <c r="H40" s="558"/>
      <c r="I40" s="558"/>
      <c r="J40" s="290" t="s">
        <v>889</v>
      </c>
      <c r="K40" s="544"/>
      <c r="L40" s="1637"/>
      <c r="M40" s="1637"/>
      <c r="R40" s="1637"/>
      <c r="U40" s="545"/>
      <c r="AA40" s="1633"/>
      <c r="AB40" s="1633"/>
      <c r="AC40" s="1633"/>
      <c r="AD40" s="1633"/>
      <c r="AE40" s="1633"/>
      <c r="AF40" s="1161">
        <v>23</v>
      </c>
    </row>
    <row s="1367" customFormat="1" customHeight="1" ht="24">
      <c r="A41" s="988"/>
      <c r="C41" s="1637"/>
      <c r="D41" s="1639"/>
      <c r="E41" s="1665" t="s">
        <v>890</v>
      </c>
      <c r="F41" s="1651" t="s">
        <v>891</v>
      </c>
      <c r="G41" s="1644" t="s">
        <v>683</v>
      </c>
      <c r="H41" s="558"/>
      <c r="I41" s="558"/>
      <c r="J41" s="290" t="s">
        <v>892</v>
      </c>
      <c r="K41" s="544"/>
      <c r="L41" s="1637"/>
      <c r="M41" s="1637"/>
      <c r="R41" s="1637"/>
      <c r="U41" s="545"/>
      <c r="AA41" s="1633"/>
      <c r="AB41" s="1633"/>
      <c r="AC41" s="1633"/>
      <c r="AD41" s="1633"/>
      <c r="AE41" s="1633"/>
      <c r="AF41" s="1161">
        <v>23</v>
      </c>
    </row>
    <row s="1367" customFormat="1" customHeight="1" ht="24">
      <c r="A42" s="988"/>
      <c r="C42" s="1637"/>
      <c r="D42" s="1639"/>
      <c r="E42" s="1665" t="s">
        <v>893</v>
      </c>
      <c r="F42" s="1651" t="s">
        <v>894</v>
      </c>
      <c r="G42" s="1644" t="s">
        <v>683</v>
      </c>
      <c r="H42" s="558"/>
      <c r="I42" s="558"/>
      <c r="J42" s="290" t="s">
        <v>895</v>
      </c>
      <c r="K42" s="544"/>
      <c r="L42" s="1637"/>
      <c r="M42" s="1637"/>
      <c r="R42" s="1637"/>
      <c r="U42" s="545"/>
      <c r="AA42" s="1633"/>
      <c r="AB42" s="1633"/>
      <c r="AC42" s="1633"/>
      <c r="AD42" s="1633"/>
      <c r="AE42" s="1633"/>
      <c r="AF42" s="1161">
        <v>23</v>
      </c>
    </row>
    <row s="1367" customFormat="1" customHeight="1" ht="35.699999999999996">
      <c r="A43" s="988"/>
      <c r="C43" s="1637" t="s">
        <v>719</v>
      </c>
      <c r="D43" s="1639"/>
      <c r="E43" s="1665" t="s">
        <v>124</v>
      </c>
      <c r="F43" s="708" t="s">
        <v>760</v>
      </c>
      <c r="G43" s="1647" t="s">
        <v>896</v>
      </c>
      <c r="H43" s="402"/>
      <c r="I43" s="402"/>
      <c r="J43" s="290" t="s">
        <v>897</v>
      </c>
      <c r="K43" s="544"/>
      <c r="L43" s="1637"/>
      <c r="M43" s="1637"/>
      <c r="R43" s="1637"/>
      <c r="U43" s="545"/>
      <c r="AA43" s="1633"/>
      <c r="AB43" s="1633"/>
      <c r="AC43" s="1633"/>
      <c r="AD43" s="1633"/>
      <c r="AE43" s="1633"/>
      <c r="AF43" s="1161">
        <v>34</v>
      </c>
    </row>
    <row s="1367" customFormat="1" customHeight="1" ht="35.699999999999996">
      <c r="A44" s="988"/>
      <c r="C44" s="1637"/>
      <c r="D44" s="1639"/>
      <c r="E44" s="1665" t="s">
        <v>96</v>
      </c>
      <c r="F44" s="708" t="s">
        <v>898</v>
      </c>
      <c r="G44" s="1644" t="s">
        <v>899</v>
      </c>
      <c r="H44" s="546"/>
      <c r="I44" s="546"/>
      <c r="J44" s="290" t="s">
        <v>900</v>
      </c>
      <c r="K44" s="544"/>
      <c r="L44" s="1637"/>
      <c r="M44" s="1637"/>
      <c r="R44" s="1637"/>
      <c r="U44" s="545"/>
      <c r="AA44" s="1633"/>
      <c r="AB44" s="1633"/>
      <c r="AC44" s="1633"/>
      <c r="AD44" s="1633"/>
      <c r="AE44" s="1633"/>
      <c r="AF44" s="1161">
        <v>34</v>
      </c>
    </row>
    <row s="1367" customFormat="1" customHeight="1" ht="24">
      <c r="A45" s="988"/>
      <c r="C45" s="1637"/>
      <c r="D45" s="1639"/>
      <c r="E45" s="1665" t="s">
        <v>97</v>
      </c>
      <c r="F45" s="708" t="s">
        <v>901</v>
      </c>
      <c r="G45" s="1655" t="s">
        <v>902</v>
      </c>
      <c r="H45" s="546"/>
      <c r="I45" s="546"/>
      <c r="J45" s="290" t="s">
        <v>903</v>
      </c>
      <c r="K45" s="544"/>
      <c r="L45" s="1637"/>
      <c r="M45" s="1637"/>
      <c r="R45" s="1637"/>
      <c r="U45" s="545"/>
      <c r="AA45" s="1633"/>
      <c r="AB45" s="1633"/>
      <c r="AC45" s="1633"/>
      <c r="AD45" s="1633"/>
      <c r="AE45" s="1633"/>
      <c r="AF45" s="1161">
        <v>23</v>
      </c>
    </row>
    <row s="1367" customFormat="1" customHeight="1" ht="19.95">
      <c r="A46" s="988"/>
      <c r="C46" s="1637"/>
      <c r="D46" s="1639"/>
      <c r="E46" s="1665" t="s">
        <v>125</v>
      </c>
      <c r="F46" s="708" t="s">
        <v>904</v>
      </c>
      <c r="G46" s="1644" t="s">
        <v>721</v>
      </c>
      <c r="H46" s="578"/>
      <c r="I46" s="578"/>
      <c r="J46" s="290"/>
      <c r="K46" s="544"/>
      <c r="L46" s="1637"/>
      <c r="M46" s="1637"/>
      <c r="R46" s="1637"/>
      <c r="U46" s="545"/>
      <c r="AA46" s="1633"/>
      <c r="AB46" s="1633"/>
      <c r="AC46" s="1633"/>
      <c r="AD46" s="1633"/>
      <c r="AE46" s="1633"/>
      <c r="AF46" s="1161">
        <v>19</v>
      </c>
    </row>
    <row customHeight="1" ht="11.549999999999999">
      <c r="D47" s="1639"/>
      <c r="AF47" s="1632">
        <v>11</v>
      </c>
    </row>
    <row s="1642" customFormat="1" customHeight="1" ht="11.549999999999999">
      <c r="A48" s="988"/>
      <c r="B48" s="1637"/>
      <c r="C48" s="1637"/>
      <c r="D48" s="352"/>
      <c r="K48" s="1161"/>
      <c r="L48" s="1637"/>
      <c r="M48" s="1637"/>
      <c r="N48" s="1161"/>
      <c r="O48" s="1161"/>
      <c r="P48" s="1161"/>
      <c r="Q48" s="1161"/>
      <c r="R48" s="1637"/>
      <c r="S48" s="1161"/>
      <c r="T48" s="1161"/>
      <c r="U48" s="545"/>
      <c r="V48" s="1161"/>
      <c r="W48" s="1161"/>
      <c r="X48" s="1161"/>
      <c r="Y48" s="1161"/>
      <c r="Z48" s="1161"/>
      <c r="AA48" s="1633"/>
      <c r="AB48" s="567"/>
      <c r="AC48" s="567"/>
      <c r="AD48" s="567"/>
      <c r="AE48" s="567"/>
      <c r="AF48" s="1642">
        <v>11</v>
      </c>
    </row>
    <row s="1642" customFormat="1" customHeight="1" ht="11.549999999999999">
      <c r="A49" s="988"/>
      <c r="B49" s="1637"/>
      <c r="C49" s="1637"/>
      <c r="D49" s="352"/>
      <c r="K49" s="1161"/>
      <c r="L49" s="1637"/>
      <c r="M49" s="1637"/>
      <c r="N49" s="1161"/>
      <c r="O49" s="1161"/>
      <c r="P49" s="1161"/>
      <c r="Q49" s="1161"/>
      <c r="R49" s="1637"/>
      <c r="S49" s="1161"/>
      <c r="T49" s="1161"/>
      <c r="U49" s="545"/>
      <c r="V49" s="1161"/>
      <c r="W49" s="1161"/>
      <c r="X49" s="1161"/>
      <c r="Y49" s="1161"/>
      <c r="Z49" s="1161"/>
      <c r="AA49" s="1633"/>
      <c r="AB49" s="567"/>
      <c r="AC49" s="567"/>
      <c r="AD49" s="567"/>
      <c r="AE49" s="567"/>
      <c r="AF49" s="1642">
        <v>11</v>
      </c>
    </row>
    <row s="1642" customFormat="1" customHeight="1" ht="11.549999999999999">
      <c r="A50" s="988"/>
      <c r="B50" s="1637"/>
      <c r="C50" s="1637"/>
      <c r="D50" s="352"/>
      <c r="H50" s="567"/>
      <c r="I50" s="567"/>
      <c r="K50" s="1161"/>
      <c r="L50" s="1637"/>
      <c r="M50" s="1637"/>
      <c r="N50" s="1161"/>
      <c r="O50" s="1161"/>
      <c r="P50" s="1161"/>
      <c r="Q50" s="1161"/>
      <c r="R50" s="1637"/>
      <c r="S50" s="1161"/>
      <c r="T50" s="1161"/>
      <c r="U50" s="545"/>
      <c r="V50" s="1161"/>
      <c r="W50" s="1161"/>
      <c r="X50" s="1161"/>
      <c r="Y50" s="1161"/>
      <c r="Z50" s="1161"/>
      <c r="AA50" s="1633"/>
      <c r="AB50" s="567"/>
      <c r="AC50" s="567"/>
      <c r="AD50" s="567"/>
      <c r="AE50" s="567"/>
      <c r="AF50" s="1642">
        <v>11</v>
      </c>
    </row>
    <row s="1642" customFormat="1" customHeight="1" ht="11.549999999999999">
      <c r="A51" s="988"/>
      <c r="B51" s="1637"/>
      <c r="C51" s="1637"/>
      <c r="D51" s="352"/>
      <c r="K51" s="1161"/>
      <c r="L51" s="1637"/>
      <c r="M51" s="1637"/>
      <c r="N51" s="1161"/>
      <c r="O51" s="1161"/>
      <c r="P51" s="1161"/>
      <c r="Q51" s="1161"/>
      <c r="R51" s="1637"/>
      <c r="S51" s="1161"/>
      <c r="T51" s="1161"/>
      <c r="U51" s="545"/>
      <c r="V51" s="1161"/>
      <c r="W51" s="1161"/>
      <c r="X51" s="1161"/>
      <c r="Y51" s="1161"/>
      <c r="Z51" s="1161"/>
      <c r="AA51" s="1633"/>
      <c r="AB51" s="567"/>
      <c r="AC51" s="567"/>
      <c r="AD51" s="567"/>
      <c r="AE51" s="567"/>
      <c r="AF51" s="1642">
        <v>11</v>
      </c>
    </row>
    <row s="1642" customFormat="1" customHeight="1" ht="11.549999999999999">
      <c r="A52" s="988"/>
      <c r="B52" s="1637"/>
      <c r="C52" s="1637"/>
      <c r="D52" s="352"/>
      <c r="K52" s="1161"/>
      <c r="L52" s="1637"/>
      <c r="M52" s="1637"/>
      <c r="N52" s="1161"/>
      <c r="O52" s="1161"/>
      <c r="P52" s="1161"/>
      <c r="Q52" s="1161"/>
      <c r="R52" s="1637"/>
      <c r="S52" s="1161"/>
      <c r="T52" s="1161"/>
      <c r="U52" s="545"/>
      <c r="V52" s="1161"/>
      <c r="W52" s="1161"/>
      <c r="X52" s="1161"/>
      <c r="Y52" s="1161"/>
      <c r="Z52" s="1161"/>
      <c r="AA52" s="1633"/>
      <c r="AB52" s="567"/>
      <c r="AC52" s="567"/>
      <c r="AD52" s="567"/>
      <c r="AE52" s="567"/>
      <c r="AF52" s="1642">
        <v>11</v>
      </c>
    </row>
    <row s="1642" customFormat="1" customHeight="1" ht="11.549999999999999">
      <c r="A53" s="988"/>
      <c r="B53" s="1637"/>
      <c r="C53" s="1637"/>
      <c r="D53" s="352"/>
      <c r="K53" s="1161"/>
      <c r="L53" s="1637"/>
      <c r="M53" s="1637"/>
      <c r="N53" s="1161"/>
      <c r="O53" s="1161"/>
      <c r="P53" s="1161"/>
      <c r="Q53" s="1161"/>
      <c r="R53" s="1637"/>
      <c r="S53" s="1161"/>
      <c r="T53" s="1161"/>
      <c r="U53" s="545"/>
      <c r="V53" s="1161"/>
      <c r="W53" s="1161"/>
      <c r="X53" s="1161"/>
      <c r="Y53" s="1161"/>
      <c r="Z53" s="1161"/>
      <c r="AA53" s="1633"/>
      <c r="AB53" s="567"/>
      <c r="AC53" s="567"/>
      <c r="AD53" s="567"/>
      <c r="AE53" s="567"/>
      <c r="AF53" s="1642">
        <v>11</v>
      </c>
    </row>
    <row s="1642" customFormat="1" customHeight="1" ht="11.549999999999999">
      <c r="A54" s="988"/>
      <c r="B54" s="1637"/>
      <c r="C54" s="1637"/>
      <c r="D54" s="352"/>
      <c r="K54" s="1161"/>
      <c r="L54" s="1637"/>
      <c r="M54" s="1637"/>
      <c r="N54" s="1161"/>
      <c r="O54" s="1161"/>
      <c r="P54" s="1161"/>
      <c r="Q54" s="1161"/>
      <c r="R54" s="1637"/>
      <c r="S54" s="1161"/>
      <c r="T54" s="1161"/>
      <c r="U54" s="545"/>
      <c r="V54" s="1161"/>
      <c r="W54" s="1161"/>
      <c r="X54" s="1161"/>
      <c r="Y54" s="1161"/>
      <c r="Z54" s="1161"/>
      <c r="AA54" s="1633"/>
      <c r="AB54" s="567"/>
      <c r="AC54" s="567"/>
      <c r="AD54" s="567"/>
      <c r="AE54" s="567"/>
      <c r="AF54" s="1642">
        <v>11</v>
      </c>
    </row>
    <row s="1642" customFormat="1" customHeight="1" ht="11.549999999999999">
      <c r="A55" s="988"/>
      <c r="B55" s="1637"/>
      <c r="C55" s="1637"/>
      <c r="D55" s="352"/>
      <c r="K55" s="1161"/>
      <c r="L55" s="1637"/>
      <c r="M55" s="1637"/>
      <c r="N55" s="1161"/>
      <c r="O55" s="1161"/>
      <c r="P55" s="1161"/>
      <c r="Q55" s="1161"/>
      <c r="R55" s="1637"/>
      <c r="S55" s="1161"/>
      <c r="T55" s="1161"/>
      <c r="U55" s="545"/>
      <c r="V55" s="1161"/>
      <c r="W55" s="1161"/>
      <c r="X55" s="1161"/>
      <c r="Y55" s="1161"/>
      <c r="Z55" s="1161"/>
      <c r="AA55" s="1633"/>
      <c r="AB55" s="567"/>
      <c r="AC55" s="567"/>
      <c r="AD55" s="567"/>
      <c r="AE55" s="567"/>
      <c r="AF55" s="1642">
        <v>11</v>
      </c>
    </row>
    <row s="1642" customFormat="1" customHeight="1" ht="11.549999999999999">
      <c r="A56" s="988"/>
      <c r="B56" s="1637"/>
      <c r="C56" s="1637"/>
      <c r="D56" s="352"/>
      <c r="K56" s="1161"/>
      <c r="L56" s="1637"/>
      <c r="M56" s="1637"/>
      <c r="N56" s="1161"/>
      <c r="O56" s="1161"/>
      <c r="P56" s="1161"/>
      <c r="Q56" s="1161"/>
      <c r="R56" s="1637"/>
      <c r="S56" s="1161"/>
      <c r="T56" s="1161"/>
      <c r="U56" s="545"/>
      <c r="V56" s="1161"/>
      <c r="W56" s="1161"/>
      <c r="X56" s="1161"/>
      <c r="Y56" s="1161"/>
      <c r="Z56" s="1161"/>
      <c r="AA56" s="1633"/>
      <c r="AB56" s="567"/>
      <c r="AC56" s="567"/>
      <c r="AD56" s="567"/>
      <c r="AE56" s="567"/>
      <c r="AF56" s="1642">
        <v>11</v>
      </c>
    </row>
    <row s="1642" customFormat="1" customHeight="1" ht="11.549999999999999">
      <c r="A57" s="988"/>
      <c r="B57" s="1637"/>
      <c r="C57" s="1637"/>
      <c r="D57" s="352"/>
      <c r="K57" s="1161"/>
      <c r="L57" s="1637"/>
      <c r="M57" s="1637"/>
      <c r="N57" s="1161"/>
      <c r="O57" s="1161"/>
      <c r="P57" s="1161"/>
      <c r="Q57" s="1161"/>
      <c r="R57" s="1637"/>
      <c r="S57" s="1161"/>
      <c r="T57" s="1161"/>
      <c r="U57" s="545"/>
      <c r="V57" s="1161"/>
      <c r="W57" s="1161"/>
      <c r="X57" s="1161"/>
      <c r="Y57" s="1161"/>
      <c r="Z57" s="1161"/>
      <c r="AA57" s="1633"/>
      <c r="AB57" s="567"/>
      <c r="AC57" s="567"/>
      <c r="AD57" s="567"/>
      <c r="AE57" s="567"/>
      <c r="AF57" s="1642">
        <v>11</v>
      </c>
    </row>
    <row s="1642" customFormat="1" customHeight="1" ht="11.549999999999999">
      <c r="A58" s="988"/>
      <c r="B58" s="1637"/>
      <c r="C58" s="1637"/>
      <c r="D58" s="352"/>
      <c r="K58" s="1161"/>
      <c r="L58" s="1637"/>
      <c r="M58" s="1637"/>
      <c r="N58" s="1161"/>
      <c r="O58" s="1161"/>
      <c r="P58" s="1161"/>
      <c r="Q58" s="1161"/>
      <c r="R58" s="1637"/>
      <c r="S58" s="1161"/>
      <c r="T58" s="1161"/>
      <c r="U58" s="545"/>
      <c r="V58" s="1161"/>
      <c r="W58" s="1161"/>
      <c r="X58" s="1161"/>
      <c r="Y58" s="1161"/>
      <c r="Z58" s="1161"/>
      <c r="AA58" s="1633"/>
      <c r="AB58" s="567"/>
      <c r="AC58" s="567"/>
      <c r="AD58" s="567"/>
      <c r="AE58" s="567"/>
      <c r="AF58" s="1642">
        <v>11</v>
      </c>
    </row>
    <row s="1642" customFormat="1" customHeight="1" ht="11.549999999999999">
      <c r="A59" s="988"/>
      <c r="B59" s="1637"/>
      <c r="C59" s="1637"/>
      <c r="D59" s="352"/>
      <c r="K59" s="1161"/>
      <c r="L59" s="1637"/>
      <c r="M59" s="1637"/>
      <c r="N59" s="1161"/>
      <c r="O59" s="1161"/>
      <c r="P59" s="1161"/>
      <c r="Q59" s="1161"/>
      <c r="R59" s="1637"/>
      <c r="S59" s="1161"/>
      <c r="T59" s="1161"/>
      <c r="U59" s="545"/>
      <c r="V59" s="1161"/>
      <c r="W59" s="1161"/>
      <c r="X59" s="1161"/>
      <c r="Y59" s="1161"/>
      <c r="Z59" s="1161"/>
      <c r="AA59" s="1633"/>
      <c r="AB59" s="567"/>
      <c r="AC59" s="567"/>
      <c r="AD59" s="567"/>
      <c r="AE59" s="567"/>
      <c r="AF59" s="1642">
        <v>11</v>
      </c>
    </row>
    <row s="1642" customFormat="1" customHeight="1" ht="11.549999999999999">
      <c r="A60" s="988"/>
      <c r="B60" s="1637"/>
      <c r="C60" s="1637"/>
      <c r="D60" s="352"/>
      <c r="K60" s="1161"/>
      <c r="L60" s="1637"/>
      <c r="M60" s="1637"/>
      <c r="N60" s="1161"/>
      <c r="O60" s="1161"/>
      <c r="P60" s="1161"/>
      <c r="Q60" s="1161"/>
      <c r="R60" s="1637"/>
      <c r="S60" s="1161"/>
      <c r="T60" s="1161"/>
      <c r="U60" s="545"/>
      <c r="V60" s="1161"/>
      <c r="W60" s="1161"/>
      <c r="X60" s="1161"/>
      <c r="Y60" s="1161"/>
      <c r="Z60" s="1161"/>
      <c r="AA60" s="1633"/>
      <c r="AB60" s="567"/>
      <c r="AC60" s="567"/>
      <c r="AD60" s="567"/>
      <c r="AE60" s="567"/>
      <c r="AF60" s="1642">
        <v>11</v>
      </c>
    </row>
    <row s="1642" customFormat="1" customHeight="1" ht="11.549999999999999">
      <c r="A61" s="988"/>
      <c r="B61" s="1637"/>
      <c r="C61" s="1637"/>
      <c r="D61" s="352"/>
      <c r="K61" s="1161"/>
      <c r="L61" s="1637"/>
      <c r="M61" s="1637"/>
      <c r="N61" s="1161"/>
      <c r="O61" s="1161"/>
      <c r="P61" s="1161"/>
      <c r="Q61" s="1161"/>
      <c r="R61" s="1637"/>
      <c r="S61" s="1161"/>
      <c r="T61" s="1161"/>
      <c r="U61" s="545"/>
      <c r="V61" s="1161"/>
      <c r="W61" s="1161"/>
      <c r="X61" s="1161"/>
      <c r="Y61" s="1161"/>
      <c r="Z61" s="1161"/>
      <c r="AA61" s="1633"/>
      <c r="AB61" s="567"/>
      <c r="AC61" s="567"/>
      <c r="AD61" s="567"/>
      <c r="AE61" s="567"/>
      <c r="AF61" s="1642">
        <v>11</v>
      </c>
    </row>
    <row s="1642" customFormat="1" customHeight="1" ht="11.549999999999999">
      <c r="A62" s="988"/>
      <c r="B62" s="1637"/>
      <c r="C62" s="1637"/>
      <c r="D62" s="352"/>
      <c r="K62" s="1161"/>
      <c r="L62" s="1637"/>
      <c r="M62" s="1637"/>
      <c r="N62" s="1161"/>
      <c r="O62" s="1161"/>
      <c r="P62" s="1161"/>
      <c r="Q62" s="1161"/>
      <c r="R62" s="1637"/>
      <c r="S62" s="1161"/>
      <c r="T62" s="1161"/>
      <c r="U62" s="545"/>
      <c r="V62" s="1161"/>
      <c r="W62" s="1161"/>
      <c r="X62" s="1161"/>
      <c r="Y62" s="1161"/>
      <c r="Z62" s="1161"/>
      <c r="AA62" s="1633"/>
      <c r="AB62" s="567"/>
      <c r="AC62" s="567"/>
      <c r="AD62" s="567"/>
      <c r="AE62" s="567"/>
      <c r="AF62" s="1642">
        <v>11</v>
      </c>
    </row>
    <row s="1642" customFormat="1" customHeight="1" ht="11.549999999999999">
      <c r="A63" s="988"/>
      <c r="B63" s="1637"/>
      <c r="C63" s="1637"/>
      <c r="D63" s="352"/>
      <c r="K63" s="1161"/>
      <c r="L63" s="1637"/>
      <c r="M63" s="1637"/>
      <c r="N63" s="1161"/>
      <c r="O63" s="1161"/>
      <c r="P63" s="1161"/>
      <c r="Q63" s="1161"/>
      <c r="R63" s="1637"/>
      <c r="S63" s="1161"/>
      <c r="T63" s="1161"/>
      <c r="U63" s="545"/>
      <c r="V63" s="1161"/>
      <c r="W63" s="1161"/>
      <c r="X63" s="1161"/>
      <c r="Y63" s="1161"/>
      <c r="Z63" s="1161"/>
      <c r="AA63" s="1633"/>
      <c r="AB63" s="567"/>
      <c r="AC63" s="567"/>
      <c r="AD63" s="567"/>
      <c r="AE63" s="567"/>
      <c r="AF63" s="1642">
        <v>11</v>
      </c>
    </row>
    <row s="1642" customFormat="1" customHeight="1" ht="11.549999999999999">
      <c r="A64" s="988"/>
      <c r="B64" s="1637"/>
      <c r="C64" s="1637"/>
      <c r="D64" s="352"/>
      <c r="K64" s="1161"/>
      <c r="L64" s="1637"/>
      <c r="M64" s="1637"/>
      <c r="N64" s="1161"/>
      <c r="O64" s="1161"/>
      <c r="P64" s="1161"/>
      <c r="Q64" s="1161"/>
      <c r="R64" s="1637"/>
      <c r="S64" s="1161"/>
      <c r="T64" s="1161"/>
      <c r="U64" s="545"/>
      <c r="V64" s="1161"/>
      <c r="W64" s="1161"/>
      <c r="X64" s="1161"/>
      <c r="Y64" s="1161"/>
      <c r="Z64" s="1161"/>
      <c r="AA64" s="1633"/>
      <c r="AB64" s="567"/>
      <c r="AC64" s="567"/>
      <c r="AD64" s="567"/>
      <c r="AE64" s="567"/>
      <c r="AF64" s="1642">
        <v>11</v>
      </c>
    </row>
    <row s="1642" customFormat="1" customHeight="1" ht="11.549999999999999">
      <c r="A65" s="988"/>
      <c r="B65" s="1637"/>
      <c r="C65" s="1637"/>
      <c r="D65" s="352"/>
      <c r="K65" s="1161"/>
      <c r="L65" s="1637"/>
      <c r="M65" s="1637"/>
      <c r="N65" s="1161"/>
      <c r="O65" s="1161"/>
      <c r="P65" s="1161"/>
      <c r="Q65" s="1161"/>
      <c r="R65" s="1637"/>
      <c r="S65" s="1161"/>
      <c r="T65" s="1161"/>
      <c r="U65" s="545"/>
      <c r="V65" s="1161"/>
      <c r="W65" s="1161"/>
      <c r="X65" s="1161"/>
      <c r="Y65" s="1161"/>
      <c r="Z65" s="1161"/>
      <c r="AA65" s="1633"/>
      <c r="AB65" s="567"/>
      <c r="AC65" s="567"/>
      <c r="AD65" s="567"/>
      <c r="AE65" s="567"/>
      <c r="AF65" s="1642">
        <v>11</v>
      </c>
    </row>
    <row s="1642" customFormat="1" customHeight="1" ht="11.549999999999999">
      <c r="A66" s="988"/>
      <c r="B66" s="1637"/>
      <c r="C66" s="1637"/>
      <c r="D66" s="352"/>
      <c r="K66" s="1161"/>
      <c r="L66" s="1637"/>
      <c r="M66" s="1637"/>
      <c r="N66" s="1161"/>
      <c r="O66" s="1161"/>
      <c r="P66" s="1161"/>
      <c r="Q66" s="1161"/>
      <c r="R66" s="1637"/>
      <c r="S66" s="1161"/>
      <c r="T66" s="1161"/>
      <c r="U66" s="545"/>
      <c r="V66" s="1161"/>
      <c r="W66" s="1161"/>
      <c r="X66" s="1161"/>
      <c r="Y66" s="1161"/>
      <c r="Z66" s="1161"/>
      <c r="AA66" s="1633"/>
      <c r="AB66" s="567"/>
      <c r="AC66" s="567"/>
      <c r="AD66" s="567"/>
      <c r="AE66" s="567"/>
      <c r="AF66" s="1642">
        <v>11</v>
      </c>
    </row>
    <row s="1642" customFormat="1" customHeight="1" ht="11.549999999999999">
      <c r="A67" s="988"/>
      <c r="B67" s="1637"/>
      <c r="C67" s="1637"/>
      <c r="D67" s="352"/>
      <c r="K67" s="1161"/>
      <c r="L67" s="1637"/>
      <c r="M67" s="1637"/>
      <c r="N67" s="1161"/>
      <c r="O67" s="1161"/>
      <c r="P67" s="1161"/>
      <c r="Q67" s="1161"/>
      <c r="R67" s="1637"/>
      <c r="S67" s="1161"/>
      <c r="T67" s="1161"/>
      <c r="U67" s="545"/>
      <c r="V67" s="1161"/>
      <c r="W67" s="1161"/>
      <c r="X67" s="1161"/>
      <c r="Y67" s="1161"/>
      <c r="Z67" s="1161"/>
      <c r="AA67" s="1633"/>
      <c r="AB67" s="567"/>
      <c r="AC67" s="567"/>
      <c r="AD67" s="567"/>
      <c r="AE67" s="567"/>
      <c r="AF67" s="1642">
        <v>11</v>
      </c>
    </row>
    <row s="1642" customFormat="1" customHeight="1" ht="11.549999999999999">
      <c r="A68" s="988"/>
      <c r="B68" s="1637"/>
      <c r="C68" s="1637"/>
      <c r="D68" s="352"/>
      <c r="K68" s="1161"/>
      <c r="L68" s="1637"/>
      <c r="M68" s="1637"/>
      <c r="N68" s="1161"/>
      <c r="O68" s="1161"/>
      <c r="P68" s="1161"/>
      <c r="Q68" s="1161"/>
      <c r="R68" s="1637"/>
      <c r="S68" s="1161"/>
      <c r="T68" s="1161"/>
      <c r="U68" s="545"/>
      <c r="V68" s="1161"/>
      <c r="W68" s="1161"/>
      <c r="X68" s="1161"/>
      <c r="Y68" s="1161"/>
      <c r="Z68" s="1161"/>
      <c r="AA68" s="1633"/>
      <c r="AB68" s="567"/>
      <c r="AC68" s="567"/>
      <c r="AD68" s="567"/>
      <c r="AE68" s="567"/>
      <c r="AF68" s="1642">
        <v>11</v>
      </c>
    </row>
    <row s="1642" customFormat="1" customHeight="1" ht="11.549999999999999">
      <c r="A69" s="988"/>
      <c r="B69" s="1637"/>
      <c r="C69" s="1637"/>
      <c r="D69" s="352"/>
      <c r="K69" s="1161"/>
      <c r="L69" s="1637"/>
      <c r="M69" s="1637"/>
      <c r="N69" s="1161"/>
      <c r="O69" s="1161"/>
      <c r="P69" s="1161"/>
      <c r="Q69" s="1161"/>
      <c r="R69" s="1637"/>
      <c r="S69" s="1161"/>
      <c r="T69" s="1161"/>
      <c r="U69" s="545"/>
      <c r="V69" s="1161"/>
      <c r="W69" s="1161"/>
      <c r="X69" s="1161"/>
      <c r="Y69" s="1161"/>
      <c r="Z69" s="1161"/>
      <c r="AA69" s="1633"/>
      <c r="AB69" s="567"/>
      <c r="AC69" s="567"/>
      <c r="AD69" s="567"/>
      <c r="AE69" s="567"/>
      <c r="AF69" s="1642">
        <v>11</v>
      </c>
    </row>
    <row s="1642" customFormat="1" customHeight="1" ht="11.549999999999999">
      <c r="A70" s="988"/>
      <c r="B70" s="1637"/>
      <c r="C70" s="1637"/>
      <c r="D70" s="352"/>
      <c r="K70" s="1161"/>
      <c r="L70" s="1637"/>
      <c r="M70" s="1637"/>
      <c r="N70" s="1161"/>
      <c r="O70" s="1161"/>
      <c r="P70" s="1161"/>
      <c r="Q70" s="1161"/>
      <c r="R70" s="1637"/>
      <c r="S70" s="1161"/>
      <c r="T70" s="1161"/>
      <c r="U70" s="545"/>
      <c r="V70" s="1161"/>
      <c r="W70" s="1161"/>
      <c r="X70" s="1161"/>
      <c r="Y70" s="1161"/>
      <c r="Z70" s="1161"/>
      <c r="AA70" s="1633"/>
      <c r="AB70" s="567"/>
      <c r="AC70" s="567"/>
      <c r="AD70" s="567"/>
      <c r="AE70" s="567"/>
      <c r="AF70" s="1642">
        <v>11</v>
      </c>
    </row>
    <row s="1642" customFormat="1" customHeight="1" ht="11.549999999999999">
      <c r="A71" s="988"/>
      <c r="B71" s="1637"/>
      <c r="C71" s="1637"/>
      <c r="D71" s="352"/>
      <c r="K71" s="1161"/>
      <c r="L71" s="1637"/>
      <c r="M71" s="1637"/>
      <c r="N71" s="1161"/>
      <c r="O71" s="1161"/>
      <c r="P71" s="1161"/>
      <c r="Q71" s="1161"/>
      <c r="R71" s="1637"/>
      <c r="S71" s="1161"/>
      <c r="T71" s="1161"/>
      <c r="U71" s="545"/>
      <c r="V71" s="1161"/>
      <c r="W71" s="1161"/>
      <c r="X71" s="1161"/>
      <c r="Y71" s="1161"/>
      <c r="Z71" s="1161"/>
      <c r="AA71" s="1633"/>
      <c r="AB71" s="567"/>
      <c r="AC71" s="567"/>
      <c r="AD71" s="567"/>
      <c r="AE71" s="567"/>
      <c r="AF71" s="1642">
        <v>11</v>
      </c>
    </row>
    <row s="1642" customFormat="1" customHeight="1" ht="11.549999999999999">
      <c r="A72" s="988"/>
      <c r="B72" s="1637"/>
      <c r="C72" s="1637"/>
      <c r="D72" s="352"/>
      <c r="K72" s="1161"/>
      <c r="L72" s="1637"/>
      <c r="M72" s="1637"/>
      <c r="N72" s="1161"/>
      <c r="O72" s="1161"/>
      <c r="P72" s="1161"/>
      <c r="Q72" s="1161"/>
      <c r="R72" s="1637"/>
      <c r="S72" s="1161"/>
      <c r="T72" s="1161"/>
      <c r="U72" s="545"/>
      <c r="V72" s="1161"/>
      <c r="W72" s="1161"/>
      <c r="X72" s="1161"/>
      <c r="Y72" s="1161"/>
      <c r="Z72" s="1161"/>
      <c r="AA72" s="1633"/>
      <c r="AB72" s="567"/>
      <c r="AC72" s="567"/>
      <c r="AD72" s="567"/>
      <c r="AE72" s="567"/>
      <c r="AF72" s="1642">
        <v>11</v>
      </c>
    </row>
    <row s="1642" customFormat="1" customHeight="1" ht="11.549999999999999">
      <c r="A73" s="988"/>
      <c r="B73" s="1637"/>
      <c r="C73" s="1637"/>
      <c r="D73" s="352"/>
      <c r="K73" s="1161"/>
      <c r="L73" s="1637"/>
      <c r="M73" s="1637"/>
      <c r="N73" s="1161"/>
      <c r="O73" s="1161"/>
      <c r="P73" s="1161"/>
      <c r="Q73" s="1161"/>
      <c r="R73" s="1637"/>
      <c r="S73" s="1161"/>
      <c r="T73" s="1161"/>
      <c r="U73" s="545"/>
      <c r="V73" s="1161"/>
      <c r="W73" s="1161"/>
      <c r="X73" s="1161"/>
      <c r="Y73" s="1161"/>
      <c r="Z73" s="1161"/>
      <c r="AA73" s="1633"/>
      <c r="AB73" s="567"/>
      <c r="AC73" s="567"/>
      <c r="AD73" s="567"/>
      <c r="AE73" s="567"/>
      <c r="AF73" s="1642">
        <v>11</v>
      </c>
    </row>
    <row s="1642" customFormat="1" customHeight="1" ht="11.549999999999999">
      <c r="A74" s="988"/>
      <c r="B74" s="1637"/>
      <c r="C74" s="1637"/>
      <c r="D74" s="352"/>
      <c r="K74" s="1161"/>
      <c r="L74" s="1637"/>
      <c r="M74" s="1637"/>
      <c r="N74" s="1161"/>
      <c r="O74" s="1161"/>
      <c r="P74" s="1161"/>
      <c r="Q74" s="1161"/>
      <c r="R74" s="1637"/>
      <c r="S74" s="1161"/>
      <c r="T74" s="1161"/>
      <c r="U74" s="545"/>
      <c r="V74" s="1161"/>
      <c r="W74" s="1161"/>
      <c r="X74" s="1161"/>
      <c r="Y74" s="1161"/>
      <c r="Z74" s="1161"/>
      <c r="AA74" s="1633"/>
      <c r="AB74" s="567"/>
      <c r="AC74" s="567"/>
      <c r="AD74" s="567"/>
      <c r="AE74" s="567"/>
      <c r="AF74" s="1642">
        <v>11</v>
      </c>
    </row>
    <row s="1642" customFormat="1" customHeight="1" ht="11.549999999999999">
      <c r="A75" s="988"/>
      <c r="B75" s="1637"/>
      <c r="C75" s="1637"/>
      <c r="D75" s="352"/>
      <c r="K75" s="1161"/>
      <c r="L75" s="1637"/>
      <c r="M75" s="1637"/>
      <c r="N75" s="1161"/>
      <c r="O75" s="1161"/>
      <c r="P75" s="1161"/>
      <c r="Q75" s="1161"/>
      <c r="R75" s="1637"/>
      <c r="S75" s="1161"/>
      <c r="T75" s="1161"/>
      <c r="U75" s="545"/>
      <c r="V75" s="1161"/>
      <c r="W75" s="1161"/>
      <c r="X75" s="1161"/>
      <c r="Y75" s="1161"/>
      <c r="Z75" s="1161"/>
      <c r="AA75" s="1633"/>
      <c r="AB75" s="567"/>
      <c r="AC75" s="567"/>
      <c r="AD75" s="567"/>
      <c r="AE75" s="567"/>
      <c r="AF75" s="1642">
        <v>11</v>
      </c>
    </row>
    <row s="1642" customFormat="1" customHeight="1" ht="11.549999999999999">
      <c r="A76" s="988"/>
      <c r="B76" s="1637"/>
      <c r="C76" s="1637"/>
      <c r="D76" s="352"/>
      <c r="K76" s="1161"/>
      <c r="L76" s="1637"/>
      <c r="M76" s="1637"/>
      <c r="N76" s="1161"/>
      <c r="O76" s="1161"/>
      <c r="P76" s="1161"/>
      <c r="Q76" s="1161"/>
      <c r="R76" s="1637"/>
      <c r="S76" s="1161"/>
      <c r="T76" s="1161"/>
      <c r="U76" s="545"/>
      <c r="V76" s="1161"/>
      <c r="W76" s="1161"/>
      <c r="X76" s="1161"/>
      <c r="Y76" s="1161"/>
      <c r="Z76" s="1161"/>
      <c r="AA76" s="1633"/>
      <c r="AB76" s="567"/>
      <c r="AC76" s="567"/>
      <c r="AD76" s="567"/>
      <c r="AE76" s="567"/>
      <c r="AF76" s="1642">
        <v>11</v>
      </c>
    </row>
    <row s="1642" customFormat="1" customHeight="1" ht="11.549999999999999">
      <c r="A77" s="988"/>
      <c r="B77" s="1637"/>
      <c r="C77" s="1637"/>
      <c r="D77" s="352"/>
      <c r="K77" s="1161"/>
      <c r="L77" s="1637"/>
      <c r="M77" s="1637"/>
      <c r="N77" s="1161"/>
      <c r="O77" s="1161"/>
      <c r="P77" s="1161"/>
      <c r="Q77" s="1161"/>
      <c r="R77" s="1637"/>
      <c r="S77" s="1161"/>
      <c r="T77" s="1161"/>
      <c r="U77" s="545"/>
      <c r="V77" s="1161"/>
      <c r="W77" s="1161"/>
      <c r="X77" s="1161"/>
      <c r="Y77" s="1161"/>
      <c r="Z77" s="1161"/>
      <c r="AA77" s="1633"/>
      <c r="AB77" s="567"/>
      <c r="AC77" s="567"/>
      <c r="AD77" s="567"/>
      <c r="AE77" s="567"/>
      <c r="AF77" s="1642">
        <v>11</v>
      </c>
    </row>
    <row s="1642" customFormat="1" customHeight="1" ht="11.549999999999999">
      <c r="A78" s="988"/>
      <c r="B78" s="1637"/>
      <c r="C78" s="1637"/>
      <c r="D78" s="352"/>
      <c r="K78" s="1161"/>
      <c r="L78" s="1637"/>
      <c r="M78" s="1637"/>
      <c r="N78" s="1161"/>
      <c r="O78" s="1161"/>
      <c r="P78" s="1161"/>
      <c r="Q78" s="1161"/>
      <c r="R78" s="1637"/>
      <c r="S78" s="1161"/>
      <c r="T78" s="1161"/>
      <c r="U78" s="545"/>
      <c r="V78" s="1161"/>
      <c r="W78" s="1161"/>
      <c r="X78" s="1161"/>
      <c r="Y78" s="1161"/>
      <c r="Z78" s="1161"/>
      <c r="AA78" s="1633"/>
      <c r="AB78" s="567"/>
      <c r="AC78" s="567"/>
      <c r="AD78" s="567"/>
      <c r="AE78" s="567"/>
      <c r="AF78" s="1642">
        <v>11</v>
      </c>
    </row>
    <row s="1642" customFormat="1" customHeight="1" ht="11.549999999999999">
      <c r="A79" s="988"/>
      <c r="B79" s="1637"/>
      <c r="C79" s="1637"/>
      <c r="D79" s="352"/>
      <c r="K79" s="1161"/>
      <c r="L79" s="1637"/>
      <c r="M79" s="1637"/>
      <c r="N79" s="1161"/>
      <c r="O79" s="1161"/>
      <c r="P79" s="1161"/>
      <c r="Q79" s="1161"/>
      <c r="R79" s="1637"/>
      <c r="S79" s="1161"/>
      <c r="T79" s="1161"/>
      <c r="U79" s="545"/>
      <c r="V79" s="1161"/>
      <c r="W79" s="1161"/>
      <c r="X79" s="1161"/>
      <c r="Y79" s="1161"/>
      <c r="Z79" s="1161"/>
      <c r="AA79" s="1633"/>
      <c r="AB79" s="567"/>
      <c r="AC79" s="567"/>
      <c r="AD79" s="567"/>
      <c r="AE79" s="567"/>
      <c r="AF79" s="1642">
        <v>11</v>
      </c>
    </row>
    <row s="1642" customFormat="1" customHeight="1" ht="11.549999999999999">
      <c r="A80" s="988"/>
      <c r="B80" s="1637"/>
      <c r="C80" s="1637"/>
      <c r="D80" s="352"/>
      <c r="K80" s="1161"/>
      <c r="L80" s="1637"/>
      <c r="M80" s="1637"/>
      <c r="N80" s="1161"/>
      <c r="O80" s="1161"/>
      <c r="P80" s="1161"/>
      <c r="Q80" s="1161"/>
      <c r="R80" s="1637"/>
      <c r="S80" s="1161"/>
      <c r="T80" s="1161"/>
      <c r="U80" s="545"/>
      <c r="V80" s="1161"/>
      <c r="W80" s="1161"/>
      <c r="X80" s="1161"/>
      <c r="Y80" s="1161"/>
      <c r="Z80" s="1161"/>
      <c r="AA80" s="1633"/>
      <c r="AB80" s="567"/>
      <c r="AC80" s="567"/>
      <c r="AD80" s="567"/>
      <c r="AE80" s="567"/>
      <c r="AF80" s="1642">
        <v>11</v>
      </c>
    </row>
    <row s="1642" customFormat="1" customHeight="1" ht="11.549999999999999">
      <c r="A81" s="988"/>
      <c r="B81" s="1637"/>
      <c r="C81" s="1637"/>
      <c r="D81" s="352"/>
      <c r="K81" s="1161"/>
      <c r="L81" s="1637"/>
      <c r="M81" s="1637"/>
      <c r="N81" s="1161"/>
      <c r="O81" s="1161"/>
      <c r="P81" s="1161"/>
      <c r="Q81" s="1161"/>
      <c r="R81" s="1637"/>
      <c r="S81" s="1161"/>
      <c r="T81" s="1161"/>
      <c r="U81" s="545"/>
      <c r="V81" s="1161"/>
      <c r="W81" s="1161"/>
      <c r="X81" s="1161"/>
      <c r="Y81" s="1161"/>
      <c r="Z81" s="1161"/>
      <c r="AA81" s="1633"/>
      <c r="AB81" s="567"/>
      <c r="AC81" s="567"/>
      <c r="AD81" s="567"/>
      <c r="AE81" s="567"/>
      <c r="AF81" s="1642">
        <v>11</v>
      </c>
    </row>
    <row s="1642" customFormat="1" customHeight="1" ht="11.549999999999999">
      <c r="A82" s="988"/>
      <c r="B82" s="1637"/>
      <c r="C82" s="1637"/>
      <c r="D82" s="352"/>
      <c r="K82" s="1161"/>
      <c r="L82" s="1637"/>
      <c r="M82" s="1637"/>
      <c r="N82" s="1161"/>
      <c r="O82" s="1161"/>
      <c r="P82" s="1161"/>
      <c r="Q82" s="1161"/>
      <c r="R82" s="1637"/>
      <c r="S82" s="1161"/>
      <c r="T82" s="1161"/>
      <c r="U82" s="545"/>
      <c r="V82" s="1161"/>
      <c r="W82" s="1161"/>
      <c r="X82" s="1161"/>
      <c r="Y82" s="1161"/>
      <c r="Z82" s="1161"/>
      <c r="AA82" s="1633"/>
      <c r="AB82" s="567"/>
      <c r="AC82" s="567"/>
      <c r="AD82" s="567"/>
      <c r="AE82" s="567"/>
      <c r="AF82" s="1642">
        <v>11</v>
      </c>
    </row>
    <row s="1642" customFormat="1" customHeight="1" ht="11.549999999999999">
      <c r="A83" s="988"/>
      <c r="B83" s="1637"/>
      <c r="C83" s="1637"/>
      <c r="D83" s="352"/>
      <c r="K83" s="1161"/>
      <c r="L83" s="1637"/>
      <c r="M83" s="1637"/>
      <c r="N83" s="1161"/>
      <c r="O83" s="1161"/>
      <c r="P83" s="1161"/>
      <c r="Q83" s="1161"/>
      <c r="R83" s="1637"/>
      <c r="S83" s="1161"/>
      <c r="T83" s="1161"/>
      <c r="U83" s="545"/>
      <c r="V83" s="1161"/>
      <c r="W83" s="1161"/>
      <c r="X83" s="1161"/>
      <c r="Y83" s="1161"/>
      <c r="Z83" s="1161"/>
      <c r="AA83" s="1633"/>
      <c r="AB83" s="567"/>
      <c r="AC83" s="567"/>
      <c r="AD83" s="567"/>
      <c r="AE83" s="567"/>
      <c r="AF83" s="1642">
        <v>11</v>
      </c>
    </row>
    <row s="1642" customFormat="1" customHeight="1" ht="11.549999999999999">
      <c r="A84" s="988"/>
      <c r="B84" s="1637"/>
      <c r="C84" s="1637"/>
      <c r="D84" s="352"/>
      <c r="K84" s="1161"/>
      <c r="L84" s="1637"/>
      <c r="M84" s="1637"/>
      <c r="N84" s="1161"/>
      <c r="O84" s="1161"/>
      <c r="P84" s="1161"/>
      <c r="Q84" s="1161"/>
      <c r="R84" s="1637"/>
      <c r="S84" s="1161"/>
      <c r="T84" s="1161"/>
      <c r="U84" s="545"/>
      <c r="V84" s="1161"/>
      <c r="W84" s="1161"/>
      <c r="X84" s="1161"/>
      <c r="Y84" s="1161"/>
      <c r="Z84" s="1161"/>
      <c r="AA84" s="1633"/>
      <c r="AB84" s="567"/>
      <c r="AC84" s="567"/>
      <c r="AD84" s="567"/>
      <c r="AE84" s="567"/>
      <c r="AF84" s="1642">
        <v>11</v>
      </c>
    </row>
    <row s="1642" customFormat="1" customHeight="1" ht="11.549999999999999">
      <c r="A85" s="988"/>
      <c r="B85" s="1637"/>
      <c r="C85" s="1637"/>
      <c r="D85" s="352"/>
      <c r="K85" s="1161"/>
      <c r="L85" s="1637"/>
      <c r="M85" s="1637"/>
      <c r="N85" s="1161"/>
      <c r="O85" s="1161"/>
      <c r="P85" s="1161"/>
      <c r="Q85" s="1161"/>
      <c r="R85" s="1637"/>
      <c r="S85" s="1161"/>
      <c r="T85" s="1161"/>
      <c r="U85" s="545"/>
      <c r="V85" s="1161"/>
      <c r="W85" s="1161"/>
      <c r="X85" s="1161"/>
      <c r="Y85" s="1161"/>
      <c r="Z85" s="1161"/>
      <c r="AA85" s="1633"/>
      <c r="AB85" s="567"/>
      <c r="AC85" s="567"/>
      <c r="AD85" s="567"/>
      <c r="AE85" s="567"/>
      <c r="AF85" s="1642">
        <v>11</v>
      </c>
    </row>
    <row s="1642" customFormat="1" customHeight="1" ht="11.549999999999999">
      <c r="A86" s="988"/>
      <c r="B86" s="1637"/>
      <c r="C86" s="1637"/>
      <c r="D86" s="352"/>
      <c r="K86" s="1161"/>
      <c r="L86" s="1637"/>
      <c r="M86" s="1637"/>
      <c r="N86" s="1161"/>
      <c r="O86" s="1161"/>
      <c r="P86" s="1161"/>
      <c r="Q86" s="1161"/>
      <c r="R86" s="1637"/>
      <c r="S86" s="1161"/>
      <c r="T86" s="1161"/>
      <c r="U86" s="545"/>
      <c r="V86" s="1161"/>
      <c r="W86" s="1161"/>
      <c r="X86" s="1161"/>
      <c r="Y86" s="1161"/>
      <c r="Z86" s="1161"/>
      <c r="AA86" s="1633"/>
      <c r="AB86" s="567"/>
      <c r="AC86" s="567"/>
      <c r="AD86" s="567"/>
      <c r="AE86" s="567"/>
      <c r="AF86" s="1642">
        <v>11</v>
      </c>
    </row>
    <row s="1642" customFormat="1" customHeight="1" ht="11.549999999999999">
      <c r="A87" s="988"/>
      <c r="B87" s="1637"/>
      <c r="C87" s="1637"/>
      <c r="D87" s="352"/>
      <c r="K87" s="1161"/>
      <c r="L87" s="1637"/>
      <c r="M87" s="1637"/>
      <c r="N87" s="1161"/>
      <c r="O87" s="1161"/>
      <c r="P87" s="1161"/>
      <c r="Q87" s="1161"/>
      <c r="R87" s="1637"/>
      <c r="S87" s="1161"/>
      <c r="T87" s="1161"/>
      <c r="U87" s="545"/>
      <c r="V87" s="1161"/>
      <c r="W87" s="1161"/>
      <c r="X87" s="1161"/>
      <c r="Y87" s="1161"/>
      <c r="Z87" s="1161"/>
      <c r="AA87" s="1633"/>
      <c r="AB87" s="567"/>
      <c r="AC87" s="567"/>
      <c r="AD87" s="567"/>
      <c r="AE87" s="567"/>
      <c r="AF87" s="1642">
        <v>11</v>
      </c>
    </row>
    <row s="1642" customFormat="1" customHeight="1" ht="11.549999999999999">
      <c r="A88" s="988"/>
      <c r="B88" s="1637"/>
      <c r="C88" s="1637"/>
      <c r="D88" s="352"/>
      <c r="K88" s="1161"/>
      <c r="L88" s="1637"/>
      <c r="M88" s="1637"/>
      <c r="N88" s="1161"/>
      <c r="O88" s="1161"/>
      <c r="P88" s="1161"/>
      <c r="Q88" s="1161"/>
      <c r="R88" s="1637"/>
      <c r="S88" s="1161"/>
      <c r="T88" s="1161"/>
      <c r="U88" s="545"/>
      <c r="V88" s="1161"/>
      <c r="W88" s="1161"/>
      <c r="X88" s="1161"/>
      <c r="Y88" s="1161"/>
      <c r="Z88" s="1161"/>
      <c r="AA88" s="1633"/>
      <c r="AB88" s="567"/>
      <c r="AC88" s="567"/>
      <c r="AD88" s="567"/>
      <c r="AE88" s="567"/>
      <c r="AF88" s="1642">
        <v>11</v>
      </c>
    </row>
    <row s="1642" customFormat="1" customHeight="1" ht="11.549999999999999">
      <c r="A89" s="988"/>
      <c r="B89" s="1637"/>
      <c r="C89" s="1637"/>
      <c r="D89" s="352"/>
      <c r="K89" s="1161"/>
      <c r="L89" s="1637"/>
      <c r="M89" s="1637"/>
      <c r="N89" s="1161"/>
      <c r="O89" s="1161"/>
      <c r="P89" s="1161"/>
      <c r="Q89" s="1161"/>
      <c r="R89" s="1637"/>
      <c r="S89" s="1161"/>
      <c r="T89" s="1161"/>
      <c r="U89" s="545"/>
      <c r="V89" s="1161"/>
      <c r="W89" s="1161"/>
      <c r="X89" s="1161"/>
      <c r="Y89" s="1161"/>
      <c r="Z89" s="1161"/>
      <c r="AA89" s="1633"/>
      <c r="AB89" s="567"/>
      <c r="AC89" s="567"/>
      <c r="AD89" s="567"/>
      <c r="AE89" s="567"/>
      <c r="AF89" s="1642">
        <v>11</v>
      </c>
    </row>
    <row s="1642" customFormat="1" customHeight="1" ht="11.549999999999999">
      <c r="A90" s="988"/>
      <c r="B90" s="1637"/>
      <c r="C90" s="1637"/>
      <c r="D90" s="352"/>
      <c r="K90" s="1161"/>
      <c r="L90" s="1637"/>
      <c r="M90" s="1637"/>
      <c r="N90" s="1161"/>
      <c r="O90" s="1161"/>
      <c r="P90" s="1161"/>
      <c r="Q90" s="1161"/>
      <c r="R90" s="1637"/>
      <c r="S90" s="1161"/>
      <c r="T90" s="1161"/>
      <c r="U90" s="545"/>
      <c r="V90" s="1161"/>
      <c r="W90" s="1161"/>
      <c r="X90" s="1161"/>
      <c r="Y90" s="1161"/>
      <c r="Z90" s="1161"/>
      <c r="AA90" s="1633"/>
      <c r="AB90" s="567"/>
      <c r="AC90" s="567"/>
      <c r="AD90" s="567"/>
      <c r="AE90" s="567"/>
      <c r="AF90" s="1642">
        <v>11</v>
      </c>
    </row>
    <row s="1642" customFormat="1" customHeight="1" ht="11.549999999999999">
      <c r="A91" s="988"/>
      <c r="B91" s="1637"/>
      <c r="C91" s="1637"/>
      <c r="D91" s="352"/>
      <c r="K91" s="1161"/>
      <c r="L91" s="1637"/>
      <c r="M91" s="1637"/>
      <c r="N91" s="1161"/>
      <c r="O91" s="1161"/>
      <c r="P91" s="1161"/>
      <c r="Q91" s="1161"/>
      <c r="R91" s="1637"/>
      <c r="S91" s="1161"/>
      <c r="T91" s="1161"/>
      <c r="U91" s="545"/>
      <c r="V91" s="1161"/>
      <c r="W91" s="1161"/>
      <c r="X91" s="1161"/>
      <c r="Y91" s="1161"/>
      <c r="Z91" s="1161"/>
      <c r="AA91" s="1633"/>
      <c r="AB91" s="567"/>
      <c r="AC91" s="567"/>
      <c r="AD91" s="567"/>
      <c r="AE91" s="567"/>
      <c r="AF91" s="1642">
        <v>11</v>
      </c>
    </row>
    <row s="1642" customFormat="1" customHeight="1" ht="11.549999999999999">
      <c r="A92" s="988"/>
      <c r="B92" s="1637"/>
      <c r="C92" s="1637"/>
      <c r="D92" s="352"/>
      <c r="K92" s="1161"/>
      <c r="L92" s="1637"/>
      <c r="M92" s="1637"/>
      <c r="N92" s="1161"/>
      <c r="O92" s="1161"/>
      <c r="P92" s="1161"/>
      <c r="Q92" s="1161"/>
      <c r="R92" s="1637"/>
      <c r="S92" s="1161"/>
      <c r="T92" s="1161"/>
      <c r="U92" s="545"/>
      <c r="V92" s="1161"/>
      <c r="W92" s="1161"/>
      <c r="X92" s="1161"/>
      <c r="Y92" s="1161"/>
      <c r="Z92" s="1161"/>
      <c r="AA92" s="1633"/>
      <c r="AB92" s="567"/>
      <c r="AC92" s="567"/>
      <c r="AD92" s="567"/>
      <c r="AE92" s="567"/>
      <c r="AF92" s="1642">
        <v>11</v>
      </c>
    </row>
    <row s="1642" customFormat="1" customHeight="1" ht="11.549999999999999">
      <c r="A93" s="988"/>
      <c r="B93" s="1637"/>
      <c r="C93" s="1637"/>
      <c r="D93" s="352"/>
      <c r="K93" s="1161"/>
      <c r="L93" s="1637"/>
      <c r="M93" s="1637"/>
      <c r="N93" s="1161"/>
      <c r="O93" s="1161"/>
      <c r="P93" s="1161"/>
      <c r="Q93" s="1161"/>
      <c r="R93" s="1637"/>
      <c r="S93" s="1161"/>
      <c r="T93" s="1161"/>
      <c r="U93" s="545"/>
      <c r="V93" s="1161"/>
      <c r="W93" s="1161"/>
      <c r="X93" s="1161"/>
      <c r="Y93" s="1161"/>
      <c r="Z93" s="1161"/>
      <c r="AA93" s="1633"/>
      <c r="AB93" s="567"/>
      <c r="AC93" s="567"/>
      <c r="AD93" s="567"/>
      <c r="AE93" s="567"/>
      <c r="AF93" s="1642">
        <v>11</v>
      </c>
    </row>
    <row s="1642" customFormat="1" customHeight="1" ht="11.549999999999999">
      <c r="A94" s="988"/>
      <c r="B94" s="1637"/>
      <c r="C94" s="1637"/>
      <c r="D94" s="352"/>
      <c r="K94" s="1161"/>
      <c r="L94" s="1637"/>
      <c r="M94" s="1637"/>
      <c r="N94" s="1161"/>
      <c r="O94" s="1161"/>
      <c r="P94" s="1161"/>
      <c r="Q94" s="1161"/>
      <c r="R94" s="1637"/>
      <c r="S94" s="1161"/>
      <c r="T94" s="1161"/>
      <c r="U94" s="545"/>
      <c r="V94" s="1161"/>
      <c r="W94" s="1161"/>
      <c r="X94" s="1161"/>
      <c r="Y94" s="1161"/>
      <c r="Z94" s="1161"/>
      <c r="AA94" s="1633"/>
      <c r="AB94" s="567"/>
      <c r="AC94" s="567"/>
      <c r="AD94" s="567"/>
      <c r="AE94" s="567"/>
      <c r="AF94" s="1642">
        <v>11</v>
      </c>
    </row>
    <row s="1642" customFormat="1" customHeight="1" ht="11.549999999999999">
      <c r="A95" s="988"/>
      <c r="B95" s="1637"/>
      <c r="C95" s="1637"/>
      <c r="D95" s="352"/>
      <c r="K95" s="1161"/>
      <c r="L95" s="1637"/>
      <c r="M95" s="1637"/>
      <c r="N95" s="1161"/>
      <c r="O95" s="1161"/>
      <c r="P95" s="1161"/>
      <c r="Q95" s="1161"/>
      <c r="R95" s="1637"/>
      <c r="S95" s="1161"/>
      <c r="T95" s="1161"/>
      <c r="U95" s="545"/>
      <c r="V95" s="1161"/>
      <c r="W95" s="1161"/>
      <c r="X95" s="1161"/>
      <c r="Y95" s="1161"/>
      <c r="Z95" s="1161"/>
      <c r="AA95" s="1633"/>
      <c r="AB95" s="567"/>
      <c r="AC95" s="567"/>
      <c r="AD95" s="567"/>
      <c r="AE95" s="567"/>
      <c r="AF95" s="1642">
        <v>11</v>
      </c>
    </row>
    <row s="1642" customFormat="1" customHeight="1" ht="11.549999999999999">
      <c r="A96" s="988"/>
      <c r="B96" s="1637"/>
      <c r="C96" s="1637"/>
      <c r="D96" s="352"/>
      <c r="K96" s="1161"/>
      <c r="L96" s="1637"/>
      <c r="M96" s="1637"/>
      <c r="N96" s="1161"/>
      <c r="O96" s="1161"/>
      <c r="P96" s="1161"/>
      <c r="Q96" s="1161"/>
      <c r="R96" s="1637"/>
      <c r="S96" s="1161"/>
      <c r="T96" s="1161"/>
      <c r="U96" s="545"/>
      <c r="V96" s="1161"/>
      <c r="W96" s="1161"/>
      <c r="X96" s="1161"/>
      <c r="Y96" s="1161"/>
      <c r="Z96" s="1161"/>
      <c r="AA96" s="1633"/>
      <c r="AB96" s="567"/>
      <c r="AC96" s="567"/>
      <c r="AD96" s="567"/>
      <c r="AE96" s="567"/>
      <c r="AF96" s="1642">
        <v>11</v>
      </c>
    </row>
    <row s="1642" customFormat="1" customHeight="1" ht="11.549999999999999">
      <c r="A97" s="988"/>
      <c r="B97" s="1637"/>
      <c r="C97" s="1637"/>
      <c r="D97" s="352"/>
      <c r="K97" s="1161"/>
      <c r="L97" s="1637"/>
      <c r="M97" s="1637"/>
      <c r="N97" s="1161"/>
      <c r="O97" s="1161"/>
      <c r="P97" s="1161"/>
      <c r="Q97" s="1161"/>
      <c r="R97" s="1637"/>
      <c r="S97" s="1161"/>
      <c r="T97" s="1161"/>
      <c r="U97" s="545"/>
      <c r="V97" s="1161"/>
      <c r="W97" s="1161"/>
      <c r="X97" s="1161"/>
      <c r="Y97" s="1161"/>
      <c r="Z97" s="1161"/>
      <c r="AA97" s="1633"/>
      <c r="AB97" s="567"/>
      <c r="AC97" s="567"/>
      <c r="AD97" s="567"/>
      <c r="AE97" s="567"/>
      <c r="AF97" s="1642">
        <v>11</v>
      </c>
    </row>
    <row s="1642" customFormat="1" customHeight="1" ht="11.549999999999999">
      <c r="A98" s="988"/>
      <c r="B98" s="1637"/>
      <c r="C98" s="1637"/>
      <c r="D98" s="352"/>
      <c r="K98" s="1161"/>
      <c r="L98" s="1637"/>
      <c r="M98" s="1637"/>
      <c r="N98" s="1161"/>
      <c r="O98" s="1161"/>
      <c r="P98" s="1161"/>
      <c r="Q98" s="1161"/>
      <c r="R98" s="1637"/>
      <c r="S98" s="1161"/>
      <c r="T98" s="1161"/>
      <c r="U98" s="545"/>
      <c r="V98" s="1161"/>
      <c r="W98" s="1161"/>
      <c r="X98" s="1161"/>
      <c r="Y98" s="1161"/>
      <c r="Z98" s="1161"/>
      <c r="AA98" s="1633"/>
      <c r="AB98" s="567"/>
      <c r="AC98" s="567"/>
      <c r="AD98" s="567"/>
      <c r="AE98" s="567"/>
      <c r="AF98" s="1642">
        <v>11</v>
      </c>
    </row>
    <row s="1642" customFormat="1" customHeight="1" ht="11.549999999999999">
      <c r="A99" s="988"/>
      <c r="B99" s="1637"/>
      <c r="C99" s="1637"/>
      <c r="D99" s="352"/>
      <c r="K99" s="1161"/>
      <c r="L99" s="1637"/>
      <c r="M99" s="1637"/>
      <c r="N99" s="1161"/>
      <c r="O99" s="1161"/>
      <c r="P99" s="1161"/>
      <c r="Q99" s="1161"/>
      <c r="R99" s="1637"/>
      <c r="S99" s="1161"/>
      <c r="T99" s="1161"/>
      <c r="U99" s="545"/>
      <c r="V99" s="1161"/>
      <c r="W99" s="1161"/>
      <c r="X99" s="1161"/>
      <c r="Y99" s="1161"/>
      <c r="Z99" s="1161"/>
      <c r="AA99" s="1633"/>
      <c r="AB99" s="567"/>
      <c r="AC99" s="567"/>
      <c r="AD99" s="567"/>
      <c r="AE99" s="567"/>
      <c r="AF99" s="1642">
        <v>11</v>
      </c>
    </row>
    <row s="1642" customFormat="1" customHeight="1" ht="11.549999999999999">
      <c r="A100" s="988"/>
      <c r="B100" s="1637"/>
      <c r="C100" s="1637"/>
      <c r="D100" s="352"/>
      <c r="K100" s="1161"/>
      <c r="L100" s="1637"/>
      <c r="M100" s="1637"/>
      <c r="N100" s="1161"/>
      <c r="O100" s="1161"/>
      <c r="P100" s="1161"/>
      <c r="Q100" s="1161"/>
      <c r="R100" s="1637"/>
      <c r="S100" s="1161"/>
      <c r="T100" s="1161"/>
      <c r="U100" s="545"/>
      <c r="V100" s="1161"/>
      <c r="W100" s="1161"/>
      <c r="X100" s="1161"/>
      <c r="Y100" s="1161"/>
      <c r="Z100" s="1161"/>
      <c r="AA100" s="1633"/>
      <c r="AB100" s="567"/>
      <c r="AC100" s="567"/>
      <c r="AD100" s="567"/>
      <c r="AE100" s="567"/>
      <c r="AF100" s="1642">
        <v>11</v>
      </c>
    </row>
    <row s="1642" customFormat="1" customHeight="1" ht="11.549999999999999">
      <c r="A101" s="988"/>
      <c r="B101" s="1637"/>
      <c r="C101" s="1637"/>
      <c r="D101" s="352"/>
      <c r="K101" s="1161"/>
      <c r="L101" s="1637"/>
      <c r="M101" s="1637"/>
      <c r="N101" s="1161"/>
      <c r="O101" s="1161"/>
      <c r="P101" s="1161"/>
      <c r="Q101" s="1161"/>
      <c r="R101" s="1637"/>
      <c r="S101" s="1161"/>
      <c r="T101" s="1161"/>
      <c r="U101" s="545"/>
      <c r="V101" s="1161"/>
      <c r="W101" s="1161"/>
      <c r="X101" s="1161"/>
      <c r="Y101" s="1161"/>
      <c r="Z101" s="1161"/>
      <c r="AA101" s="1633"/>
      <c r="AB101" s="567"/>
      <c r="AC101" s="567"/>
      <c r="AD101" s="567"/>
      <c r="AE101" s="567"/>
      <c r="AF101" s="1642">
        <v>11</v>
      </c>
    </row>
    <row s="1642" customFormat="1" customHeight="1" ht="11.549999999999999">
      <c r="A102" s="988"/>
      <c r="B102" s="1637"/>
      <c r="C102" s="1637"/>
      <c r="D102" s="352"/>
      <c r="K102" s="1161"/>
      <c r="L102" s="1637"/>
      <c r="M102" s="1637"/>
      <c r="N102" s="1161"/>
      <c r="O102" s="1161"/>
      <c r="P102" s="1161"/>
      <c r="Q102" s="1161"/>
      <c r="R102" s="1637"/>
      <c r="S102" s="1161"/>
      <c r="T102" s="1161"/>
      <c r="U102" s="545"/>
      <c r="V102" s="1161"/>
      <c r="W102" s="1161"/>
      <c r="X102" s="1161"/>
      <c r="Y102" s="1161"/>
      <c r="Z102" s="1161"/>
      <c r="AA102" s="1633"/>
      <c r="AB102" s="567"/>
      <c r="AC102" s="567"/>
      <c r="AD102" s="567"/>
      <c r="AE102" s="567"/>
      <c r="AF102" s="1642">
        <v>11</v>
      </c>
    </row>
    <row s="1642" customFormat="1" customHeight="1" ht="11.549999999999999">
      <c r="A103" s="988"/>
      <c r="B103" s="1637"/>
      <c r="C103" s="1637"/>
      <c r="D103" s="352"/>
      <c r="K103" s="1161"/>
      <c r="L103" s="1637"/>
      <c r="M103" s="1637"/>
      <c r="N103" s="1161"/>
      <c r="O103" s="1161"/>
      <c r="P103" s="1161"/>
      <c r="Q103" s="1161"/>
      <c r="R103" s="1637"/>
      <c r="S103" s="1161"/>
      <c r="T103" s="1161"/>
      <c r="U103" s="545"/>
      <c r="V103" s="1161"/>
      <c r="W103" s="1161"/>
      <c r="X103" s="1161"/>
      <c r="Y103" s="1161"/>
      <c r="Z103" s="1161"/>
      <c r="AA103" s="1633"/>
      <c r="AB103" s="567"/>
      <c r="AC103" s="567"/>
      <c r="AD103" s="567"/>
      <c r="AE103" s="567"/>
      <c r="AF103" s="1642">
        <v>11</v>
      </c>
    </row>
    <row s="1642" customFormat="1" customHeight="1" ht="11.549999999999999">
      <c r="A104" s="988"/>
      <c r="B104" s="1637"/>
      <c r="C104" s="1637"/>
      <c r="D104" s="352"/>
      <c r="K104" s="1161"/>
      <c r="L104" s="1637"/>
      <c r="M104" s="1637"/>
      <c r="N104" s="1161"/>
      <c r="O104" s="1161"/>
      <c r="P104" s="1161"/>
      <c r="Q104" s="1161"/>
      <c r="R104" s="1637"/>
      <c r="S104" s="1161"/>
      <c r="T104" s="1161"/>
      <c r="U104" s="545"/>
      <c r="V104" s="1161"/>
      <c r="W104" s="1161"/>
      <c r="X104" s="1161"/>
      <c r="Y104" s="1161"/>
      <c r="Z104" s="1161"/>
      <c r="AA104" s="1633"/>
      <c r="AB104" s="567"/>
      <c r="AC104" s="567"/>
      <c r="AD104" s="567"/>
      <c r="AE104" s="567"/>
      <c r="AF104" s="1642">
        <v>11</v>
      </c>
    </row>
    <row s="1642" customFormat="1" customHeight="1" ht="11.549999999999999">
      <c r="A105" s="988"/>
      <c r="B105" s="1637"/>
      <c r="C105" s="1637"/>
      <c r="D105" s="352"/>
      <c r="K105" s="1161"/>
      <c r="L105" s="1637"/>
      <c r="M105" s="1637"/>
      <c r="N105" s="1161"/>
      <c r="O105" s="1161"/>
      <c r="P105" s="1161"/>
      <c r="Q105" s="1161"/>
      <c r="R105" s="1637"/>
      <c r="S105" s="1161"/>
      <c r="T105" s="1161"/>
      <c r="U105" s="545"/>
      <c r="V105" s="1161"/>
      <c r="W105" s="1161"/>
      <c r="X105" s="1161"/>
      <c r="Y105" s="1161"/>
      <c r="Z105" s="1161"/>
      <c r="AA105" s="1633"/>
      <c r="AB105" s="567"/>
      <c r="AC105" s="567"/>
      <c r="AD105" s="567"/>
      <c r="AE105" s="567"/>
      <c r="AF105" s="1642">
        <v>11</v>
      </c>
    </row>
    <row s="1642" customFormat="1" customHeight="1" ht="11.549999999999999">
      <c r="A106" s="988"/>
      <c r="B106" s="1637"/>
      <c r="C106" s="1637"/>
      <c r="D106" s="352"/>
      <c r="K106" s="1161"/>
      <c r="L106" s="1637"/>
      <c r="M106" s="1637"/>
      <c r="N106" s="1161"/>
      <c r="O106" s="1161"/>
      <c r="P106" s="1161"/>
      <c r="Q106" s="1161"/>
      <c r="R106" s="1637"/>
      <c r="S106" s="1161"/>
      <c r="T106" s="1161"/>
      <c r="U106" s="545"/>
      <c r="V106" s="1161"/>
      <c r="W106" s="1161"/>
      <c r="X106" s="1161"/>
      <c r="Y106" s="1161"/>
      <c r="Z106" s="1161"/>
      <c r="AA106" s="1633"/>
      <c r="AB106" s="567"/>
      <c r="AC106" s="567"/>
      <c r="AD106" s="567"/>
      <c r="AE106" s="567"/>
      <c r="AF106" s="1642">
        <v>11</v>
      </c>
    </row>
    <row s="1642" customFormat="1" customHeight="1" ht="11.549999999999999">
      <c r="A107" s="988"/>
      <c r="B107" s="1637"/>
      <c r="C107" s="1637"/>
      <c r="D107" s="352"/>
      <c r="K107" s="1161"/>
      <c r="L107" s="1637"/>
      <c r="M107" s="1637"/>
      <c r="N107" s="1161"/>
      <c r="O107" s="1161"/>
      <c r="P107" s="1161"/>
      <c r="Q107" s="1161"/>
      <c r="R107" s="1637"/>
      <c r="S107" s="1161"/>
      <c r="T107" s="1161"/>
      <c r="U107" s="545"/>
      <c r="V107" s="1161"/>
      <c r="W107" s="1161"/>
      <c r="X107" s="1161"/>
      <c r="Y107" s="1161"/>
      <c r="Z107" s="1161"/>
      <c r="AA107" s="1633"/>
      <c r="AB107" s="567"/>
      <c r="AC107" s="567"/>
      <c r="AD107" s="567"/>
      <c r="AE107" s="567"/>
      <c r="AF107" s="1642">
        <v>11</v>
      </c>
    </row>
    <row s="1642" customFormat="1" customHeight="1" ht="11.549999999999999">
      <c r="A108" s="988"/>
      <c r="B108" s="1637"/>
      <c r="C108" s="1637"/>
      <c r="D108" s="352"/>
      <c r="K108" s="1161"/>
      <c r="L108" s="1637"/>
      <c r="M108" s="1637"/>
      <c r="N108" s="1161"/>
      <c r="O108" s="1161"/>
      <c r="P108" s="1161"/>
      <c r="Q108" s="1161"/>
      <c r="R108" s="1637"/>
      <c r="S108" s="1161"/>
      <c r="T108" s="1161"/>
      <c r="U108" s="545"/>
      <c r="V108" s="1161"/>
      <c r="W108" s="1161"/>
      <c r="X108" s="1161"/>
      <c r="Y108" s="1161"/>
      <c r="Z108" s="1161"/>
      <c r="AA108" s="1633"/>
      <c r="AB108" s="567"/>
      <c r="AC108" s="567"/>
      <c r="AD108" s="567"/>
      <c r="AE108" s="567"/>
      <c r="AF108" s="1642">
        <v>11</v>
      </c>
    </row>
    <row s="1642" customFormat="1" customHeight="1" ht="11.549999999999999">
      <c r="A109" s="988"/>
      <c r="B109" s="1637"/>
      <c r="C109" s="1637"/>
      <c r="D109" s="352"/>
      <c r="K109" s="1161"/>
      <c r="L109" s="1637"/>
      <c r="M109" s="1637"/>
      <c r="N109" s="1161"/>
      <c r="O109" s="1161"/>
      <c r="P109" s="1161"/>
      <c r="Q109" s="1161"/>
      <c r="R109" s="1637"/>
      <c r="S109" s="1161"/>
      <c r="T109" s="1161"/>
      <c r="U109" s="545"/>
      <c r="V109" s="1161"/>
      <c r="W109" s="1161"/>
      <c r="X109" s="1161"/>
      <c r="Y109" s="1161"/>
      <c r="Z109" s="1161"/>
      <c r="AA109" s="1633"/>
      <c r="AB109" s="567"/>
      <c r="AC109" s="567"/>
      <c r="AD109" s="567"/>
      <c r="AE109" s="567"/>
      <c r="AF109" s="1642">
        <v>11</v>
      </c>
    </row>
    <row s="1642" customFormat="1" customHeight="1" ht="11.549999999999999">
      <c r="A110" s="988"/>
      <c r="B110" s="1637"/>
      <c r="C110" s="1637"/>
      <c r="D110" s="352"/>
      <c r="K110" s="1161"/>
      <c r="L110" s="1637"/>
      <c r="M110" s="1637"/>
      <c r="N110" s="1161"/>
      <c r="O110" s="1161"/>
      <c r="P110" s="1161"/>
      <c r="Q110" s="1161"/>
      <c r="R110" s="1637"/>
      <c r="S110" s="1161"/>
      <c r="T110" s="1161"/>
      <c r="U110" s="545"/>
      <c r="V110" s="1161"/>
      <c r="W110" s="1161"/>
      <c r="X110" s="1161"/>
      <c r="Y110" s="1161"/>
      <c r="Z110" s="1161"/>
      <c r="AA110" s="1633"/>
      <c r="AB110" s="567"/>
      <c r="AC110" s="567"/>
      <c r="AD110" s="567"/>
      <c r="AE110" s="567"/>
      <c r="AF110" s="1642">
        <v>11</v>
      </c>
    </row>
    <row s="1642" customFormat="1" customHeight="1" ht="11.549999999999999">
      <c r="A111" s="988"/>
      <c r="B111" s="1637"/>
      <c r="C111" s="1637"/>
      <c r="D111" s="352"/>
      <c r="K111" s="1161"/>
      <c r="L111" s="1637"/>
      <c r="M111" s="1637"/>
      <c r="N111" s="1161"/>
      <c r="O111" s="1161"/>
      <c r="P111" s="1161"/>
      <c r="Q111" s="1161"/>
      <c r="R111" s="1637"/>
      <c r="S111" s="1161"/>
      <c r="T111" s="1161"/>
      <c r="U111" s="545"/>
      <c r="V111" s="1161"/>
      <c r="W111" s="1161"/>
      <c r="X111" s="1161"/>
      <c r="Y111" s="1161"/>
      <c r="Z111" s="1161"/>
      <c r="AA111" s="1633"/>
      <c r="AB111" s="567"/>
      <c r="AC111" s="567"/>
      <c r="AD111" s="567"/>
      <c r="AE111" s="567"/>
      <c r="AF111" s="1642">
        <v>11</v>
      </c>
    </row>
    <row s="1642" customFormat="1" customHeight="1" ht="11.549999999999999">
      <c r="A112" s="988"/>
      <c r="B112" s="1637"/>
      <c r="C112" s="1637"/>
      <c r="D112" s="352"/>
      <c r="K112" s="1161"/>
      <c r="L112" s="1637"/>
      <c r="M112" s="1637"/>
      <c r="N112" s="1161"/>
      <c r="O112" s="1161"/>
      <c r="P112" s="1161"/>
      <c r="Q112" s="1161"/>
      <c r="R112" s="1637"/>
      <c r="S112" s="1161"/>
      <c r="T112" s="1161"/>
      <c r="U112" s="545"/>
      <c r="V112" s="1161"/>
      <c r="W112" s="1161"/>
      <c r="X112" s="1161"/>
      <c r="Y112" s="1161"/>
      <c r="Z112" s="1161"/>
      <c r="AA112" s="1633"/>
      <c r="AB112" s="567"/>
      <c r="AC112" s="567"/>
      <c r="AD112" s="567"/>
      <c r="AE112" s="567"/>
      <c r="AF112" s="1642">
        <v>11</v>
      </c>
    </row>
    <row s="1642" customFormat="1" customHeight="1" ht="11.549999999999999">
      <c r="A113" s="988"/>
      <c r="B113" s="1637"/>
      <c r="C113" s="1637"/>
      <c r="D113" s="352"/>
      <c r="K113" s="1161"/>
      <c r="L113" s="1637"/>
      <c r="M113" s="1637"/>
      <c r="N113" s="1161"/>
      <c r="O113" s="1161"/>
      <c r="P113" s="1161"/>
      <c r="Q113" s="1161"/>
      <c r="R113" s="1637"/>
      <c r="S113" s="1161"/>
      <c r="T113" s="1161"/>
      <c r="U113" s="545"/>
      <c r="V113" s="1161"/>
      <c r="W113" s="1161"/>
      <c r="X113" s="1161"/>
      <c r="Y113" s="1161"/>
      <c r="Z113" s="1161"/>
      <c r="AA113" s="1633"/>
      <c r="AB113" s="567"/>
      <c r="AC113" s="567"/>
      <c r="AD113" s="567"/>
      <c r="AE113" s="567"/>
      <c r="AF113" s="1642">
        <v>11</v>
      </c>
    </row>
    <row s="1642" customFormat="1" customHeight="1" ht="11.549999999999999">
      <c r="A114" s="988"/>
      <c r="B114" s="1637"/>
      <c r="C114" s="1637"/>
      <c r="D114" s="352"/>
      <c r="K114" s="1161"/>
      <c r="L114" s="1637"/>
      <c r="M114" s="1637"/>
      <c r="N114" s="1161"/>
      <c r="O114" s="1161"/>
      <c r="P114" s="1161"/>
      <c r="Q114" s="1161"/>
      <c r="R114" s="1637"/>
      <c r="S114" s="1161"/>
      <c r="T114" s="1161"/>
      <c r="U114" s="545"/>
      <c r="V114" s="1161"/>
      <c r="W114" s="1161"/>
      <c r="X114" s="1161"/>
      <c r="Y114" s="1161"/>
      <c r="Z114" s="1161"/>
      <c r="AA114" s="1633"/>
      <c r="AB114" s="567"/>
      <c r="AC114" s="567"/>
      <c r="AD114" s="567"/>
      <c r="AE114" s="567"/>
      <c r="AF114" s="1642">
        <v>11</v>
      </c>
    </row>
    <row s="1642" customFormat="1" customHeight="1" ht="11.549999999999999">
      <c r="A115" s="988"/>
      <c r="B115" s="1637"/>
      <c r="C115" s="1637"/>
      <c r="D115" s="352"/>
      <c r="K115" s="1161"/>
      <c r="L115" s="1637"/>
      <c r="M115" s="1637"/>
      <c r="N115" s="1161"/>
      <c r="O115" s="1161"/>
      <c r="P115" s="1161"/>
      <c r="Q115" s="1161"/>
      <c r="R115" s="1637"/>
      <c r="S115" s="1161"/>
      <c r="T115" s="1161"/>
      <c r="U115" s="545"/>
      <c r="V115" s="1161"/>
      <c r="W115" s="1161"/>
      <c r="X115" s="1161"/>
      <c r="Y115" s="1161"/>
      <c r="Z115" s="1161"/>
      <c r="AA115" s="1633"/>
      <c r="AB115" s="567"/>
      <c r="AC115" s="567"/>
      <c r="AD115" s="567"/>
      <c r="AE115" s="567"/>
      <c r="AF115" s="1642">
        <v>11</v>
      </c>
    </row>
    <row s="1642" customFormat="1" customHeight="1" ht="11.549999999999999">
      <c r="A116" s="988"/>
      <c r="B116" s="1637"/>
      <c r="C116" s="1637"/>
      <c r="D116" s="352"/>
      <c r="K116" s="1161"/>
      <c r="L116" s="1637"/>
      <c r="M116" s="1637"/>
      <c r="N116" s="1161"/>
      <c r="O116" s="1161"/>
      <c r="P116" s="1161"/>
      <c r="Q116" s="1161"/>
      <c r="R116" s="1637"/>
      <c r="S116" s="1161"/>
      <c r="T116" s="1161"/>
      <c r="U116" s="545"/>
      <c r="V116" s="1161"/>
      <c r="W116" s="1161"/>
      <c r="X116" s="1161"/>
      <c r="Y116" s="1161"/>
      <c r="Z116" s="1161"/>
      <c r="AA116" s="1633"/>
      <c r="AB116" s="567"/>
      <c r="AC116" s="567"/>
      <c r="AD116" s="567"/>
      <c r="AE116" s="567"/>
      <c r="AF116" s="1642">
        <v>11</v>
      </c>
    </row>
    <row s="1642" customFormat="1" customHeight="1" ht="11.549999999999999">
      <c r="A117" s="988"/>
      <c r="B117" s="1637"/>
      <c r="C117" s="1637"/>
      <c r="D117" s="352"/>
      <c r="K117" s="1161"/>
      <c r="L117" s="1637"/>
      <c r="M117" s="1637"/>
      <c r="N117" s="1161"/>
      <c r="O117" s="1161"/>
      <c r="P117" s="1161"/>
      <c r="Q117" s="1161"/>
      <c r="R117" s="1637"/>
      <c r="S117" s="1161"/>
      <c r="T117" s="1161"/>
      <c r="U117" s="545"/>
      <c r="V117" s="1161"/>
      <c r="W117" s="1161"/>
      <c r="X117" s="1161"/>
      <c r="Y117" s="1161"/>
      <c r="Z117" s="1161"/>
      <c r="AA117" s="1633"/>
      <c r="AB117" s="567"/>
      <c r="AC117" s="567"/>
      <c r="AD117" s="567"/>
      <c r="AE117" s="567"/>
      <c r="AF117" s="1642">
        <v>11</v>
      </c>
    </row>
    <row s="1642" customFormat="1" customHeight="1" ht="11.549999999999999">
      <c r="A118" s="988"/>
      <c r="B118" s="1637"/>
      <c r="C118" s="1637"/>
      <c r="D118" s="352"/>
      <c r="K118" s="1161"/>
      <c r="L118" s="1637"/>
      <c r="M118" s="1637"/>
      <c r="N118" s="1161"/>
      <c r="O118" s="1161"/>
      <c r="P118" s="1161"/>
      <c r="Q118" s="1161"/>
      <c r="R118" s="1637"/>
      <c r="S118" s="1161"/>
      <c r="T118" s="1161"/>
      <c r="U118" s="545"/>
      <c r="V118" s="1161"/>
      <c r="W118" s="1161"/>
      <c r="X118" s="1161"/>
      <c r="Y118" s="1161"/>
      <c r="Z118" s="1161"/>
      <c r="AA118" s="1633"/>
      <c r="AB118" s="567"/>
      <c r="AC118" s="567"/>
      <c r="AD118" s="567"/>
      <c r="AE118" s="567"/>
      <c r="AF118" s="1642">
        <v>11</v>
      </c>
    </row>
    <row s="1642" customFormat="1" customHeight="1" ht="11.549999999999999">
      <c r="A119" s="988"/>
      <c r="B119" s="1637"/>
      <c r="C119" s="1637"/>
      <c r="D119" s="352"/>
      <c r="K119" s="1161"/>
      <c r="L119" s="1637"/>
      <c r="M119" s="1637"/>
      <c r="N119" s="1161"/>
      <c r="O119" s="1161"/>
      <c r="P119" s="1161"/>
      <c r="Q119" s="1161"/>
      <c r="R119" s="1637"/>
      <c r="S119" s="1161"/>
      <c r="T119" s="1161"/>
      <c r="U119" s="545"/>
      <c r="V119" s="1161"/>
      <c r="W119" s="1161"/>
      <c r="X119" s="1161"/>
      <c r="Y119" s="1161"/>
      <c r="Z119" s="1161"/>
      <c r="AA119" s="1633"/>
      <c r="AB119" s="567"/>
      <c r="AC119" s="567"/>
      <c r="AD119" s="567"/>
      <c r="AE119" s="567"/>
      <c r="AF119" s="1642">
        <v>11</v>
      </c>
    </row>
    <row s="1642" customFormat="1" customHeight="1" ht="11.549999999999999">
      <c r="A120" s="988"/>
      <c r="B120" s="1637"/>
      <c r="C120" s="1637"/>
      <c r="D120" s="352"/>
      <c r="K120" s="1161"/>
      <c r="L120" s="1637"/>
      <c r="M120" s="1637"/>
      <c r="N120" s="1161"/>
      <c r="O120" s="1161"/>
      <c r="P120" s="1161"/>
      <c r="Q120" s="1161"/>
      <c r="R120" s="1637"/>
      <c r="S120" s="1161"/>
      <c r="T120" s="1161"/>
      <c r="U120" s="545"/>
      <c r="V120" s="1161"/>
      <c r="W120" s="1161"/>
      <c r="X120" s="1161"/>
      <c r="Y120" s="1161"/>
      <c r="Z120" s="1161"/>
      <c r="AA120" s="1633"/>
      <c r="AB120" s="567"/>
      <c r="AC120" s="567"/>
      <c r="AD120" s="567"/>
      <c r="AE120" s="567"/>
      <c r="AF120" s="1642">
        <v>11</v>
      </c>
    </row>
    <row s="1642" customFormat="1" customHeight="1" ht="11.549999999999999">
      <c r="A121" s="988"/>
      <c r="B121" s="1637"/>
      <c r="C121" s="1637"/>
      <c r="D121" s="352"/>
      <c r="K121" s="1161"/>
      <c r="L121" s="1637"/>
      <c r="M121" s="1637"/>
      <c r="N121" s="1161"/>
      <c r="O121" s="1161"/>
      <c r="P121" s="1161"/>
      <c r="Q121" s="1161"/>
      <c r="R121" s="1637"/>
      <c r="S121" s="1161"/>
      <c r="T121" s="1161"/>
      <c r="U121" s="545"/>
      <c r="V121" s="1161"/>
      <c r="W121" s="1161"/>
      <c r="X121" s="1161"/>
      <c r="Y121" s="1161"/>
      <c r="Z121" s="1161"/>
      <c r="AA121" s="1633"/>
      <c r="AB121" s="567"/>
      <c r="AC121" s="567"/>
      <c r="AD121" s="567"/>
      <c r="AE121" s="567"/>
      <c r="AF121" s="1642">
        <v>11</v>
      </c>
    </row>
    <row s="1642" customFormat="1" customHeight="1" ht="11.549999999999999">
      <c r="A122" s="988"/>
      <c r="B122" s="1637"/>
      <c r="C122" s="1637"/>
      <c r="D122" s="352"/>
      <c r="K122" s="1161"/>
      <c r="L122" s="1637"/>
      <c r="M122" s="1637"/>
      <c r="N122" s="1161"/>
      <c r="O122" s="1161"/>
      <c r="P122" s="1161"/>
      <c r="Q122" s="1161"/>
      <c r="R122" s="1637"/>
      <c r="S122" s="1161"/>
      <c r="T122" s="1161"/>
      <c r="U122" s="545"/>
      <c r="V122" s="1161"/>
      <c r="W122" s="1161"/>
      <c r="X122" s="1161"/>
      <c r="Y122" s="1161"/>
      <c r="Z122" s="1161"/>
      <c r="AA122" s="1633"/>
      <c r="AB122" s="567"/>
      <c r="AC122" s="567"/>
      <c r="AD122" s="567"/>
      <c r="AE122" s="567"/>
      <c r="AF122" s="1642">
        <v>11</v>
      </c>
    </row>
    <row s="1642" customFormat="1" customHeight="1" ht="11.549999999999999">
      <c r="A123" s="988"/>
      <c r="B123" s="1637"/>
      <c r="C123" s="1637"/>
      <c r="D123" s="352"/>
      <c r="K123" s="1161"/>
      <c r="L123" s="1637"/>
      <c r="M123" s="1637"/>
      <c r="N123" s="1161"/>
      <c r="O123" s="1161"/>
      <c r="P123" s="1161"/>
      <c r="Q123" s="1161"/>
      <c r="R123" s="1637"/>
      <c r="S123" s="1161"/>
      <c r="T123" s="1161"/>
      <c r="U123" s="545"/>
      <c r="V123" s="1161"/>
      <c r="W123" s="1161"/>
      <c r="X123" s="1161"/>
      <c r="Y123" s="1161"/>
      <c r="Z123" s="1161"/>
      <c r="AA123" s="1633"/>
      <c r="AB123" s="567"/>
      <c r="AC123" s="567"/>
      <c r="AD123" s="567"/>
      <c r="AE123" s="567"/>
      <c r="AF123" s="1642">
        <v>11</v>
      </c>
    </row>
    <row s="1642" customFormat="1" customHeight="1" ht="11.549999999999999">
      <c r="A124" s="988"/>
      <c r="B124" s="1637"/>
      <c r="C124" s="1637"/>
      <c r="D124" s="352"/>
      <c r="K124" s="1161"/>
      <c r="L124" s="1637"/>
      <c r="M124" s="1637"/>
      <c r="N124" s="1161"/>
      <c r="O124" s="1161"/>
      <c r="P124" s="1161"/>
      <c r="Q124" s="1161"/>
      <c r="R124" s="1637"/>
      <c r="S124" s="1161"/>
      <c r="T124" s="1161"/>
      <c r="U124" s="545"/>
      <c r="V124" s="1161"/>
      <c r="W124" s="1161"/>
      <c r="X124" s="1161"/>
      <c r="Y124" s="1161"/>
      <c r="Z124" s="1161"/>
      <c r="AA124" s="1633"/>
      <c r="AB124" s="567"/>
      <c r="AC124" s="567"/>
      <c r="AD124" s="567"/>
      <c r="AE124" s="567"/>
      <c r="AF124" s="1642">
        <v>11</v>
      </c>
    </row>
    <row s="1642" customFormat="1" customHeight="1" ht="11.549999999999999">
      <c r="A125" s="988"/>
      <c r="B125" s="1637"/>
      <c r="C125" s="1637"/>
      <c r="D125" s="352"/>
      <c r="K125" s="1161"/>
      <c r="L125" s="1637"/>
      <c r="M125" s="1637"/>
      <c r="N125" s="1161"/>
      <c r="O125" s="1161"/>
      <c r="P125" s="1161"/>
      <c r="Q125" s="1161"/>
      <c r="R125" s="1637"/>
      <c r="S125" s="1161"/>
      <c r="T125" s="1161"/>
      <c r="U125" s="545"/>
      <c r="V125" s="1161"/>
      <c r="W125" s="1161"/>
      <c r="X125" s="1161"/>
      <c r="Y125" s="1161"/>
      <c r="Z125" s="1161"/>
      <c r="AA125" s="1633"/>
      <c r="AB125" s="567"/>
      <c r="AC125" s="567"/>
      <c r="AD125" s="567"/>
      <c r="AE125" s="567"/>
      <c r="AF125" s="1642">
        <v>11</v>
      </c>
    </row>
    <row s="1642" customFormat="1" customHeight="1" ht="11.549999999999999">
      <c r="A126" s="988"/>
      <c r="B126" s="1637"/>
      <c r="C126" s="1637"/>
      <c r="D126" s="352"/>
      <c r="K126" s="1161"/>
      <c r="L126" s="1637"/>
      <c r="M126" s="1637"/>
      <c r="N126" s="1161"/>
      <c r="O126" s="1161"/>
      <c r="P126" s="1161"/>
      <c r="Q126" s="1161"/>
      <c r="R126" s="1637"/>
      <c r="S126" s="1161"/>
      <c r="T126" s="1161"/>
      <c r="U126" s="545"/>
      <c r="V126" s="1161"/>
      <c r="W126" s="1161"/>
      <c r="X126" s="1161"/>
      <c r="Y126" s="1161"/>
      <c r="Z126" s="1161"/>
      <c r="AA126" s="1633"/>
      <c r="AB126" s="567"/>
      <c r="AC126" s="567"/>
      <c r="AD126" s="567"/>
      <c r="AE126" s="567"/>
      <c r="AF126" s="1642">
        <v>11</v>
      </c>
    </row>
    <row s="1642" customFormat="1" customHeight="1" ht="11.549999999999999">
      <c r="A127" s="988"/>
      <c r="B127" s="1637"/>
      <c r="C127" s="1637"/>
      <c r="D127" s="352"/>
      <c r="K127" s="1161"/>
      <c r="L127" s="1637"/>
      <c r="M127" s="1637"/>
      <c r="N127" s="1161"/>
      <c r="O127" s="1161"/>
      <c r="P127" s="1161"/>
      <c r="Q127" s="1161"/>
      <c r="R127" s="1637"/>
      <c r="S127" s="1161"/>
      <c r="T127" s="1161"/>
      <c r="U127" s="545"/>
      <c r="V127" s="1161"/>
      <c r="W127" s="1161"/>
      <c r="X127" s="1161"/>
      <c r="Y127" s="1161"/>
      <c r="Z127" s="1161"/>
      <c r="AA127" s="1633"/>
      <c r="AB127" s="567"/>
      <c r="AC127" s="567"/>
      <c r="AD127" s="567"/>
      <c r="AE127" s="567"/>
      <c r="AF127" s="1642">
        <v>11</v>
      </c>
    </row>
    <row s="1642" customFormat="1" customHeight="1" ht="11.549999999999999">
      <c r="A128" s="988"/>
      <c r="B128" s="1637"/>
      <c r="C128" s="1637"/>
      <c r="D128" s="352"/>
      <c r="K128" s="1161"/>
      <c r="L128" s="1637"/>
      <c r="M128" s="1637"/>
      <c r="N128" s="1161"/>
      <c r="O128" s="1161"/>
      <c r="P128" s="1161"/>
      <c r="Q128" s="1161"/>
      <c r="R128" s="1637"/>
      <c r="S128" s="1161"/>
      <c r="T128" s="1161"/>
      <c r="U128" s="545"/>
      <c r="V128" s="1161"/>
      <c r="W128" s="1161"/>
      <c r="X128" s="1161"/>
      <c r="Y128" s="1161"/>
      <c r="Z128" s="1161"/>
      <c r="AA128" s="1633"/>
      <c r="AB128" s="567"/>
      <c r="AC128" s="567"/>
      <c r="AD128" s="567"/>
      <c r="AE128" s="567"/>
      <c r="AF128" s="1642">
        <v>11</v>
      </c>
    </row>
    <row s="1642" customFormat="1" customHeight="1" ht="11.549999999999999">
      <c r="A129" s="988"/>
      <c r="B129" s="1637"/>
      <c r="C129" s="1637"/>
      <c r="D129" s="352"/>
      <c r="K129" s="1161"/>
      <c r="L129" s="1637"/>
      <c r="M129" s="1637"/>
      <c r="N129" s="1161"/>
      <c r="O129" s="1161"/>
      <c r="P129" s="1161"/>
      <c r="Q129" s="1161"/>
      <c r="R129" s="1637"/>
      <c r="S129" s="1161"/>
      <c r="T129" s="1161"/>
      <c r="U129" s="545"/>
      <c r="V129" s="1161"/>
      <c r="W129" s="1161"/>
      <c r="X129" s="1161"/>
      <c r="Y129" s="1161"/>
      <c r="Z129" s="1161"/>
      <c r="AA129" s="1633"/>
      <c r="AB129" s="567"/>
      <c r="AC129" s="567"/>
      <c r="AD129" s="567"/>
      <c r="AE129" s="567"/>
      <c r="AF129" s="1642">
        <v>11</v>
      </c>
    </row>
    <row s="1642" customFormat="1" customHeight="1" ht="11.549999999999999">
      <c r="A130" s="988"/>
      <c r="B130" s="1637"/>
      <c r="C130" s="1637"/>
      <c r="D130" s="352"/>
      <c r="K130" s="1161"/>
      <c r="L130" s="1637"/>
      <c r="M130" s="1637"/>
      <c r="N130" s="1161"/>
      <c r="O130" s="1161"/>
      <c r="P130" s="1161"/>
      <c r="Q130" s="1161"/>
      <c r="R130" s="1637"/>
      <c r="S130" s="1161"/>
      <c r="T130" s="1161"/>
      <c r="U130" s="545"/>
      <c r="V130" s="1161"/>
      <c r="W130" s="1161"/>
      <c r="X130" s="1161"/>
      <c r="Y130" s="1161"/>
      <c r="Z130" s="1161"/>
      <c r="AA130" s="1633"/>
      <c r="AB130" s="567"/>
      <c r="AC130" s="567"/>
      <c r="AD130" s="567"/>
      <c r="AE130" s="567"/>
      <c r="AF130" s="1642">
        <v>11</v>
      </c>
    </row>
    <row s="1642" customFormat="1" customHeight="1" ht="11.549999999999999">
      <c r="A131" s="988"/>
      <c r="B131" s="1637"/>
      <c r="C131" s="1637"/>
      <c r="D131" s="352"/>
      <c r="K131" s="1161"/>
      <c r="L131" s="1637"/>
      <c r="M131" s="1637"/>
      <c r="N131" s="1161"/>
      <c r="O131" s="1161"/>
      <c r="P131" s="1161"/>
      <c r="Q131" s="1161"/>
      <c r="R131" s="1637"/>
      <c r="S131" s="1161"/>
      <c r="T131" s="1161"/>
      <c r="U131" s="545"/>
      <c r="V131" s="1161"/>
      <c r="W131" s="1161"/>
      <c r="X131" s="1161"/>
      <c r="Y131" s="1161"/>
      <c r="Z131" s="1161"/>
      <c r="AA131" s="1633"/>
      <c r="AB131" s="567"/>
      <c r="AC131" s="567"/>
      <c r="AD131" s="567"/>
      <c r="AE131" s="567"/>
      <c r="AF131" s="1642">
        <v>11</v>
      </c>
    </row>
    <row s="1642" customFormat="1" customHeight="1" ht="11.549999999999999">
      <c r="A132" s="988"/>
      <c r="B132" s="1637"/>
      <c r="C132" s="1637"/>
      <c r="D132" s="352"/>
      <c r="K132" s="1161"/>
      <c r="L132" s="1637"/>
      <c r="M132" s="1637"/>
      <c r="N132" s="1161"/>
      <c r="O132" s="1161"/>
      <c r="P132" s="1161"/>
      <c r="Q132" s="1161"/>
      <c r="R132" s="1637"/>
      <c r="S132" s="1161"/>
      <c r="T132" s="1161"/>
      <c r="U132" s="545"/>
      <c r="V132" s="1161"/>
      <c r="W132" s="1161"/>
      <c r="X132" s="1161"/>
      <c r="Y132" s="1161"/>
      <c r="Z132" s="1161"/>
      <c r="AA132" s="1633"/>
      <c r="AB132" s="567"/>
      <c r="AC132" s="567"/>
      <c r="AD132" s="567"/>
      <c r="AE132" s="567"/>
      <c r="AF132" s="1642">
        <v>11</v>
      </c>
    </row>
    <row s="1642" customFormat="1" customHeight="1" ht="11.549999999999999">
      <c r="A133" s="988"/>
      <c r="B133" s="1637"/>
      <c r="C133" s="1637"/>
      <c r="D133" s="352"/>
      <c r="K133" s="1161"/>
      <c r="L133" s="1637"/>
      <c r="M133" s="1637"/>
      <c r="N133" s="1161"/>
      <c r="O133" s="1161"/>
      <c r="P133" s="1161"/>
      <c r="Q133" s="1161"/>
      <c r="R133" s="1637"/>
      <c r="S133" s="1161"/>
      <c r="T133" s="1161"/>
      <c r="U133" s="545"/>
      <c r="V133" s="1161"/>
      <c r="W133" s="1161"/>
      <c r="X133" s="1161"/>
      <c r="Y133" s="1161"/>
      <c r="Z133" s="1161"/>
      <c r="AA133" s="1633"/>
      <c r="AB133" s="567"/>
      <c r="AC133" s="567"/>
      <c r="AD133" s="567"/>
      <c r="AE133" s="567"/>
      <c r="AF133" s="1642">
        <v>11</v>
      </c>
    </row>
    <row s="1642" customFormat="1" customHeight="1" ht="11.549999999999999">
      <c r="A134" s="988"/>
      <c r="B134" s="1637"/>
      <c r="C134" s="1637"/>
      <c r="D134" s="352"/>
      <c r="K134" s="1161"/>
      <c r="L134" s="1637"/>
      <c r="M134" s="1637"/>
      <c r="N134" s="1161"/>
      <c r="O134" s="1161"/>
      <c r="P134" s="1161"/>
      <c r="Q134" s="1161"/>
      <c r="R134" s="1637"/>
      <c r="S134" s="1161"/>
      <c r="T134" s="1161"/>
      <c r="U134" s="545"/>
      <c r="V134" s="1161"/>
      <c r="W134" s="1161"/>
      <c r="X134" s="1161"/>
      <c r="Y134" s="1161"/>
      <c r="Z134" s="1161"/>
      <c r="AA134" s="1633"/>
      <c r="AB134" s="567"/>
      <c r="AC134" s="567"/>
      <c r="AD134" s="567"/>
      <c r="AE134" s="567"/>
      <c r="AF134" s="1642">
        <v>11</v>
      </c>
    </row>
    <row s="1642" customFormat="1" customHeight="1" ht="11.549999999999999">
      <c r="A135" s="988"/>
      <c r="B135" s="1637"/>
      <c r="C135" s="1637"/>
      <c r="D135" s="352"/>
      <c r="K135" s="1161"/>
      <c r="L135" s="1637"/>
      <c r="M135" s="1637"/>
      <c r="N135" s="1161"/>
      <c r="O135" s="1161"/>
      <c r="P135" s="1161"/>
      <c r="Q135" s="1161"/>
      <c r="R135" s="1637"/>
      <c r="S135" s="1161"/>
      <c r="T135" s="1161"/>
      <c r="U135" s="545"/>
      <c r="V135" s="1161"/>
      <c r="W135" s="1161"/>
      <c r="X135" s="1161"/>
      <c r="Y135" s="1161"/>
      <c r="Z135" s="1161"/>
      <c r="AA135" s="1633"/>
      <c r="AB135" s="567"/>
      <c r="AC135" s="567"/>
      <c r="AD135" s="567"/>
      <c r="AE135" s="567"/>
      <c r="AF135" s="1642">
        <v>11</v>
      </c>
    </row>
    <row s="1642" customFormat="1" customHeight="1" ht="11.549999999999999">
      <c r="A136" s="988"/>
      <c r="B136" s="1637"/>
      <c r="C136" s="1637"/>
      <c r="D136" s="352"/>
      <c r="K136" s="1161"/>
      <c r="L136" s="1637"/>
      <c r="M136" s="1637"/>
      <c r="N136" s="1161"/>
      <c r="O136" s="1161"/>
      <c r="P136" s="1161"/>
      <c r="Q136" s="1161"/>
      <c r="R136" s="1637"/>
      <c r="S136" s="1161"/>
      <c r="T136" s="1161"/>
      <c r="U136" s="545"/>
      <c r="V136" s="1161"/>
      <c r="W136" s="1161"/>
      <c r="X136" s="1161"/>
      <c r="Y136" s="1161"/>
      <c r="Z136" s="1161"/>
      <c r="AA136" s="1633"/>
      <c r="AB136" s="567"/>
      <c r="AC136" s="567"/>
      <c r="AD136" s="567"/>
      <c r="AE136" s="567"/>
      <c r="AF136" s="1642">
        <v>11</v>
      </c>
    </row>
    <row s="1642" customFormat="1" customHeight="1" ht="11.549999999999999">
      <c r="A137" s="988"/>
      <c r="B137" s="1637"/>
      <c r="C137" s="1637"/>
      <c r="D137" s="352"/>
      <c r="K137" s="1161"/>
      <c r="L137" s="1637"/>
      <c r="M137" s="1637"/>
      <c r="N137" s="1161"/>
      <c r="O137" s="1161"/>
      <c r="P137" s="1161"/>
      <c r="Q137" s="1161"/>
      <c r="R137" s="1637"/>
      <c r="S137" s="1161"/>
      <c r="T137" s="1161"/>
      <c r="U137" s="545"/>
      <c r="V137" s="1161"/>
      <c r="W137" s="1161"/>
      <c r="X137" s="1161"/>
      <c r="Y137" s="1161"/>
      <c r="Z137" s="1161"/>
      <c r="AA137" s="1633"/>
      <c r="AB137" s="567"/>
      <c r="AC137" s="567"/>
      <c r="AD137" s="567"/>
      <c r="AE137" s="567"/>
      <c r="AF137" s="1642">
        <v>11</v>
      </c>
    </row>
    <row s="1642" customFormat="1" customHeight="1" ht="11.549999999999999">
      <c r="A138" s="988"/>
      <c r="B138" s="1637"/>
      <c r="C138" s="1637"/>
      <c r="D138" s="352"/>
      <c r="K138" s="1161"/>
      <c r="L138" s="1637"/>
      <c r="M138" s="1637"/>
      <c r="N138" s="1161"/>
      <c r="O138" s="1161"/>
      <c r="P138" s="1161"/>
      <c r="Q138" s="1161"/>
      <c r="R138" s="1637"/>
      <c r="S138" s="1161"/>
      <c r="T138" s="1161"/>
      <c r="U138" s="545"/>
      <c r="V138" s="1161"/>
      <c r="W138" s="1161"/>
      <c r="X138" s="1161"/>
      <c r="Y138" s="1161"/>
      <c r="Z138" s="1161"/>
      <c r="AA138" s="1633"/>
      <c r="AB138" s="567"/>
      <c r="AC138" s="567"/>
      <c r="AD138" s="567"/>
      <c r="AE138" s="567"/>
      <c r="AF138" s="1642">
        <v>11</v>
      </c>
    </row>
    <row s="1642" customFormat="1" customHeight="1" ht="11.549999999999999">
      <c r="A139" s="988"/>
      <c r="B139" s="1637"/>
      <c r="C139" s="1637"/>
      <c r="D139" s="352"/>
      <c r="K139" s="1161"/>
      <c r="L139" s="1637"/>
      <c r="M139" s="1637"/>
      <c r="N139" s="1161"/>
      <c r="O139" s="1161"/>
      <c r="P139" s="1161"/>
      <c r="Q139" s="1161"/>
      <c r="R139" s="1637"/>
      <c r="S139" s="1161"/>
      <c r="T139" s="1161"/>
      <c r="U139" s="545"/>
      <c r="V139" s="1161"/>
      <c r="W139" s="1161"/>
      <c r="X139" s="1161"/>
      <c r="Y139" s="1161"/>
      <c r="Z139" s="1161"/>
      <c r="AA139" s="1633"/>
      <c r="AB139" s="567"/>
      <c r="AC139" s="567"/>
      <c r="AD139" s="567"/>
      <c r="AE139" s="567"/>
      <c r="AF139" s="1642">
        <v>11</v>
      </c>
    </row>
    <row s="1642" customFormat="1" customHeight="1" ht="11.549999999999999">
      <c r="A140" s="988"/>
      <c r="B140" s="1637"/>
      <c r="C140" s="1637"/>
      <c r="D140" s="352"/>
      <c r="K140" s="1161"/>
      <c r="L140" s="1637"/>
      <c r="M140" s="1637"/>
      <c r="N140" s="1161"/>
      <c r="O140" s="1161"/>
      <c r="P140" s="1161"/>
      <c r="Q140" s="1161"/>
      <c r="R140" s="1637"/>
      <c r="S140" s="1161"/>
      <c r="T140" s="1161"/>
      <c r="U140" s="545"/>
      <c r="V140" s="1161"/>
      <c r="W140" s="1161"/>
      <c r="X140" s="1161"/>
      <c r="Y140" s="1161"/>
      <c r="Z140" s="1161"/>
      <c r="AA140" s="1633"/>
      <c r="AB140" s="567"/>
      <c r="AC140" s="567"/>
      <c r="AD140" s="567"/>
      <c r="AE140" s="567"/>
      <c r="AF140" s="1642">
        <v>11</v>
      </c>
    </row>
    <row s="1642" customFormat="1" customHeight="1" ht="11.549999999999999">
      <c r="A141" s="988"/>
      <c r="B141" s="1637"/>
      <c r="C141" s="1637"/>
      <c r="D141" s="352"/>
      <c r="K141" s="1161"/>
      <c r="L141" s="1637"/>
      <c r="M141" s="1637"/>
      <c r="N141" s="1161"/>
      <c r="O141" s="1161"/>
      <c r="P141" s="1161"/>
      <c r="Q141" s="1161"/>
      <c r="R141" s="1637"/>
      <c r="S141" s="1161"/>
      <c r="T141" s="1161"/>
      <c r="U141" s="545"/>
      <c r="V141" s="1161"/>
      <c r="W141" s="1161"/>
      <c r="X141" s="1161"/>
      <c r="Y141" s="1161"/>
      <c r="Z141" s="1161"/>
      <c r="AA141" s="1633"/>
      <c r="AB141" s="567"/>
      <c r="AC141" s="567"/>
      <c r="AD141" s="567"/>
      <c r="AE141" s="567"/>
      <c r="AF141" s="1642">
        <v>11</v>
      </c>
    </row>
    <row s="1642" customFormat="1" customHeight="1" ht="11.549999999999999">
      <c r="A142" s="988"/>
      <c r="B142" s="1637"/>
      <c r="C142" s="1637"/>
      <c r="D142" s="352"/>
      <c r="K142" s="1161"/>
      <c r="L142" s="1637"/>
      <c r="M142" s="1637"/>
      <c r="N142" s="1161"/>
      <c r="O142" s="1161"/>
      <c r="P142" s="1161"/>
      <c r="Q142" s="1161"/>
      <c r="R142" s="1637"/>
      <c r="S142" s="1161"/>
      <c r="T142" s="1161"/>
      <c r="U142" s="545"/>
      <c r="V142" s="1161"/>
      <c r="W142" s="1161"/>
      <c r="X142" s="1161"/>
      <c r="Y142" s="1161"/>
      <c r="Z142" s="1161"/>
      <c r="AA142" s="1633"/>
      <c r="AB142" s="567"/>
      <c r="AC142" s="567"/>
      <c r="AD142" s="567"/>
      <c r="AE142" s="567"/>
      <c r="AF142" s="1642">
        <v>11</v>
      </c>
    </row>
    <row s="1642" customFormat="1" customHeight="1" ht="11.549999999999999">
      <c r="A143" s="988"/>
      <c r="B143" s="1637"/>
      <c r="C143" s="1637"/>
      <c r="D143" s="352"/>
      <c r="K143" s="1161"/>
      <c r="L143" s="1637"/>
      <c r="M143" s="1637"/>
      <c r="N143" s="1161"/>
      <c r="O143" s="1161"/>
      <c r="P143" s="1161"/>
      <c r="Q143" s="1161"/>
      <c r="R143" s="1637"/>
      <c r="S143" s="1161"/>
      <c r="T143" s="1161"/>
      <c r="U143" s="545"/>
      <c r="V143" s="1161"/>
      <c r="W143" s="1161"/>
      <c r="X143" s="1161"/>
      <c r="Y143" s="1161"/>
      <c r="Z143" s="1161"/>
      <c r="AA143" s="1633"/>
      <c r="AB143" s="567"/>
      <c r="AC143" s="567"/>
      <c r="AD143" s="567"/>
      <c r="AE143" s="567"/>
      <c r="AF143" s="1642">
        <v>11</v>
      </c>
    </row>
    <row s="1642" customFormat="1" customHeight="1" ht="11.549999999999999">
      <c r="A144" s="988"/>
      <c r="B144" s="1637"/>
      <c r="C144" s="1637"/>
      <c r="D144" s="352"/>
      <c r="K144" s="1161"/>
      <c r="L144" s="1637"/>
      <c r="M144" s="1637"/>
      <c r="N144" s="1161"/>
      <c r="O144" s="1161"/>
      <c r="P144" s="1161"/>
      <c r="Q144" s="1161"/>
      <c r="R144" s="1637"/>
      <c r="S144" s="1161"/>
      <c r="T144" s="1161"/>
      <c r="U144" s="545"/>
      <c r="V144" s="1161"/>
      <c r="W144" s="1161"/>
      <c r="X144" s="1161"/>
      <c r="Y144" s="1161"/>
      <c r="Z144" s="1161"/>
      <c r="AA144" s="1633"/>
      <c r="AB144" s="567"/>
      <c r="AC144" s="567"/>
      <c r="AD144" s="567"/>
      <c r="AE144" s="567"/>
      <c r="AF144" s="1642">
        <v>11</v>
      </c>
    </row>
    <row s="1642" customFormat="1" customHeight="1" ht="11.549999999999999">
      <c r="A145" s="988"/>
      <c r="B145" s="1637"/>
      <c r="C145" s="1637"/>
      <c r="D145" s="352"/>
      <c r="K145" s="1161"/>
      <c r="L145" s="1637"/>
      <c r="M145" s="1637"/>
      <c r="N145" s="1161"/>
      <c r="O145" s="1161"/>
      <c r="P145" s="1161"/>
      <c r="Q145" s="1161"/>
      <c r="R145" s="1637"/>
      <c r="S145" s="1161"/>
      <c r="T145" s="1161"/>
      <c r="U145" s="545"/>
      <c r="V145" s="1161"/>
      <c r="W145" s="1161"/>
      <c r="X145" s="1161"/>
      <c r="Y145" s="1161"/>
      <c r="Z145" s="1161"/>
      <c r="AA145" s="1633"/>
      <c r="AB145" s="567"/>
      <c r="AC145" s="567"/>
      <c r="AD145" s="567"/>
      <c r="AE145" s="567"/>
      <c r="AF145" s="1642">
        <v>11</v>
      </c>
    </row>
    <row s="1642" customFormat="1" customHeight="1" ht="11.549999999999999">
      <c r="A146" s="988"/>
      <c r="B146" s="1637"/>
      <c r="C146" s="1637"/>
      <c r="D146" s="352"/>
      <c r="K146" s="1161"/>
      <c r="L146" s="1637"/>
      <c r="M146" s="1637"/>
      <c r="N146" s="1161"/>
      <c r="O146" s="1161"/>
      <c r="P146" s="1161"/>
      <c r="Q146" s="1161"/>
      <c r="R146" s="1637"/>
      <c r="S146" s="1161"/>
      <c r="T146" s="1161"/>
      <c r="U146" s="545"/>
      <c r="V146" s="1161"/>
      <c r="W146" s="1161"/>
      <c r="X146" s="1161"/>
      <c r="Y146" s="1161"/>
      <c r="Z146" s="1161"/>
      <c r="AA146" s="1633"/>
      <c r="AB146" s="567"/>
      <c r="AC146" s="567"/>
      <c r="AD146" s="567"/>
      <c r="AE146" s="567"/>
      <c r="AF146" s="1642">
        <v>11</v>
      </c>
    </row>
    <row s="1642" customFormat="1" customHeight="1" ht="11.549999999999999">
      <c r="A147" s="988"/>
      <c r="B147" s="1637"/>
      <c r="C147" s="1637"/>
      <c r="D147" s="352"/>
      <c r="K147" s="1161"/>
      <c r="L147" s="1637"/>
      <c r="M147" s="1637"/>
      <c r="N147" s="1161"/>
      <c r="O147" s="1161"/>
      <c r="P147" s="1161"/>
      <c r="Q147" s="1161"/>
      <c r="R147" s="1637"/>
      <c r="S147" s="1161"/>
      <c r="T147" s="1161"/>
      <c r="U147" s="545"/>
      <c r="V147" s="1161"/>
      <c r="W147" s="1161"/>
      <c r="X147" s="1161"/>
      <c r="Y147" s="1161"/>
      <c r="Z147" s="1161"/>
      <c r="AA147" s="1633"/>
      <c r="AB147" s="567"/>
      <c r="AC147" s="567"/>
      <c r="AD147" s="567"/>
      <c r="AE147" s="567"/>
      <c r="AF147" s="1642">
        <v>11</v>
      </c>
    </row>
    <row s="1642" customFormat="1" customHeight="1" ht="11.549999999999999">
      <c r="A148" s="988"/>
      <c r="B148" s="1637"/>
      <c r="C148" s="1637"/>
      <c r="D148" s="352"/>
      <c r="K148" s="1161"/>
      <c r="L148" s="1637"/>
      <c r="M148" s="1637"/>
      <c r="N148" s="1161"/>
      <c r="O148" s="1161"/>
      <c r="P148" s="1161"/>
      <c r="Q148" s="1161"/>
      <c r="R148" s="1637"/>
      <c r="S148" s="1161"/>
      <c r="T148" s="1161"/>
      <c r="U148" s="545"/>
      <c r="V148" s="1161"/>
      <c r="W148" s="1161"/>
      <c r="X148" s="1161"/>
      <c r="Y148" s="1161"/>
      <c r="Z148" s="1161"/>
      <c r="AA148" s="1633"/>
      <c r="AB148" s="567"/>
      <c r="AC148" s="567"/>
      <c r="AD148" s="567"/>
      <c r="AE148" s="567"/>
      <c r="AF148" s="1642">
        <v>11</v>
      </c>
    </row>
    <row s="1642" customFormat="1" customHeight="1" ht="11.549999999999999">
      <c r="A149" s="988"/>
      <c r="B149" s="1637"/>
      <c r="C149" s="1637"/>
      <c r="D149" s="352"/>
      <c r="K149" s="1161"/>
      <c r="L149" s="1637"/>
      <c r="M149" s="1637"/>
      <c r="N149" s="1161"/>
      <c r="O149" s="1161"/>
      <c r="P149" s="1161"/>
      <c r="Q149" s="1161"/>
      <c r="R149" s="1637"/>
      <c r="S149" s="1161"/>
      <c r="T149" s="1161"/>
      <c r="U149" s="545"/>
      <c r="V149" s="1161"/>
      <c r="W149" s="1161"/>
      <c r="X149" s="1161"/>
      <c r="Y149" s="1161"/>
      <c r="Z149" s="1161"/>
      <c r="AA149" s="1633"/>
      <c r="AB149" s="567"/>
      <c r="AC149" s="567"/>
      <c r="AD149" s="567"/>
      <c r="AE149" s="567"/>
      <c r="AF149" s="1642">
        <v>11</v>
      </c>
    </row>
    <row s="1642" customFormat="1" customHeight="1" ht="11.549999999999999">
      <c r="A150" s="988"/>
      <c r="B150" s="1637"/>
      <c r="C150" s="1637"/>
      <c r="D150" s="352"/>
      <c r="K150" s="1161"/>
      <c r="L150" s="1637"/>
      <c r="M150" s="1637"/>
      <c r="N150" s="1161"/>
      <c r="O150" s="1161"/>
      <c r="P150" s="1161"/>
      <c r="Q150" s="1161"/>
      <c r="R150" s="1637"/>
      <c r="S150" s="1161"/>
      <c r="T150" s="1161"/>
      <c r="U150" s="545"/>
      <c r="V150" s="1161"/>
      <c r="W150" s="1161"/>
      <c r="X150" s="1161"/>
      <c r="Y150" s="1161"/>
      <c r="Z150" s="1161"/>
      <c r="AA150" s="1633"/>
      <c r="AB150" s="567"/>
      <c r="AC150" s="567"/>
      <c r="AD150" s="567"/>
      <c r="AE150" s="567"/>
      <c r="AF150" s="1642">
        <v>11</v>
      </c>
    </row>
    <row s="1642" customFormat="1" customHeight="1" ht="11.549999999999999">
      <c r="A151" s="988"/>
      <c r="B151" s="1637"/>
      <c r="C151" s="1637"/>
      <c r="D151" s="352"/>
      <c r="K151" s="1161"/>
      <c r="L151" s="1637"/>
      <c r="M151" s="1637"/>
      <c r="N151" s="1161"/>
      <c r="O151" s="1161"/>
      <c r="P151" s="1161"/>
      <c r="Q151" s="1161"/>
      <c r="R151" s="1637"/>
      <c r="S151" s="1161"/>
      <c r="T151" s="1161"/>
      <c r="U151" s="545"/>
      <c r="V151" s="1161"/>
      <c r="W151" s="1161"/>
      <c r="X151" s="1161"/>
      <c r="Y151" s="1161"/>
      <c r="Z151" s="1161"/>
      <c r="AA151" s="1633"/>
      <c r="AB151" s="567"/>
      <c r="AC151" s="567"/>
      <c r="AD151" s="567"/>
      <c r="AE151" s="567"/>
      <c r="AF151" s="1642">
        <v>11</v>
      </c>
    </row>
    <row s="1642" customFormat="1" customHeight="1" ht="11.549999999999999">
      <c r="A152" s="988"/>
      <c r="B152" s="1637"/>
      <c r="C152" s="1637"/>
      <c r="D152" s="352"/>
      <c r="K152" s="1161"/>
      <c r="L152" s="1637"/>
      <c r="M152" s="1637"/>
      <c r="N152" s="1161"/>
      <c r="O152" s="1161"/>
      <c r="P152" s="1161"/>
      <c r="Q152" s="1161"/>
      <c r="R152" s="1637"/>
      <c r="S152" s="1161"/>
      <c r="T152" s="1161"/>
      <c r="U152" s="545"/>
      <c r="V152" s="1161"/>
      <c r="W152" s="1161"/>
      <c r="X152" s="1161"/>
      <c r="Y152" s="1161"/>
      <c r="Z152" s="1161"/>
      <c r="AA152" s="1633"/>
      <c r="AB152" s="567"/>
      <c r="AC152" s="567"/>
      <c r="AD152" s="567"/>
      <c r="AE152" s="567"/>
      <c r="AF152" s="1642">
        <v>11</v>
      </c>
    </row>
    <row s="1642" customFormat="1" customHeight="1" ht="11.549999999999999">
      <c r="A153" s="988"/>
      <c r="B153" s="1637"/>
      <c r="C153" s="1637"/>
      <c r="D153" s="352"/>
      <c r="K153" s="1161"/>
      <c r="L153" s="1637"/>
      <c r="M153" s="1637"/>
      <c r="N153" s="1161"/>
      <c r="O153" s="1161"/>
      <c r="P153" s="1161"/>
      <c r="Q153" s="1161"/>
      <c r="R153" s="1637"/>
      <c r="S153" s="1161"/>
      <c r="T153" s="1161"/>
      <c r="U153" s="545"/>
      <c r="V153" s="1161"/>
      <c r="W153" s="1161"/>
      <c r="X153" s="1161"/>
      <c r="Y153" s="1161"/>
      <c r="Z153" s="1161"/>
      <c r="AA153" s="1633"/>
      <c r="AB153" s="567"/>
      <c r="AC153" s="567"/>
      <c r="AD153" s="567"/>
      <c r="AE153" s="567"/>
      <c r="AF153" s="1642">
        <v>11</v>
      </c>
    </row>
    <row s="1642" customFormat="1" customHeight="1" ht="11.549999999999999">
      <c r="A154" s="988"/>
      <c r="B154" s="1637"/>
      <c r="C154" s="1637"/>
      <c r="D154" s="352"/>
      <c r="K154" s="1161"/>
      <c r="L154" s="1637"/>
      <c r="M154" s="1637"/>
      <c r="N154" s="1161"/>
      <c r="O154" s="1161"/>
      <c r="P154" s="1161"/>
      <c r="Q154" s="1161"/>
      <c r="R154" s="1637"/>
      <c r="S154" s="1161"/>
      <c r="T154" s="1161"/>
      <c r="U154" s="545"/>
      <c r="V154" s="1161"/>
      <c r="W154" s="1161"/>
      <c r="X154" s="1161"/>
      <c r="Y154" s="1161"/>
      <c r="Z154" s="1161"/>
      <c r="AA154" s="1633"/>
      <c r="AB154" s="567"/>
      <c r="AC154" s="567"/>
      <c r="AD154" s="567"/>
      <c r="AE154" s="567"/>
      <c r="AF154" s="1642">
        <v>11</v>
      </c>
    </row>
    <row s="1642" customFormat="1" customHeight="1" ht="11.549999999999999">
      <c r="A155" s="988"/>
      <c r="B155" s="1637"/>
      <c r="C155" s="1637"/>
      <c r="D155" s="352"/>
      <c r="K155" s="1161"/>
      <c r="L155" s="1637"/>
      <c r="M155" s="1637"/>
      <c r="N155" s="1161"/>
      <c r="O155" s="1161"/>
      <c r="P155" s="1161"/>
      <c r="Q155" s="1161"/>
      <c r="R155" s="1637"/>
      <c r="S155" s="1161"/>
      <c r="T155" s="1161"/>
      <c r="U155" s="545"/>
      <c r="V155" s="1161"/>
      <c r="W155" s="1161"/>
      <c r="X155" s="1161"/>
      <c r="Y155" s="1161"/>
      <c r="Z155" s="1161"/>
      <c r="AA155" s="1633"/>
      <c r="AB155" s="567"/>
      <c r="AC155" s="567"/>
      <c r="AD155" s="567"/>
      <c r="AE155" s="567"/>
      <c r="AF155" s="1642">
        <v>11</v>
      </c>
    </row>
    <row s="1642" customFormat="1" customHeight="1" ht="11.549999999999999">
      <c r="A156" s="988"/>
      <c r="B156" s="1637"/>
      <c r="C156" s="1637"/>
      <c r="D156" s="352"/>
      <c r="K156" s="1161"/>
      <c r="L156" s="1637"/>
      <c r="M156" s="1637"/>
      <c r="N156" s="1161"/>
      <c r="O156" s="1161"/>
      <c r="P156" s="1161"/>
      <c r="Q156" s="1161"/>
      <c r="R156" s="1637"/>
      <c r="S156" s="1161"/>
      <c r="T156" s="1161"/>
      <c r="U156" s="545"/>
      <c r="V156" s="1161"/>
      <c r="W156" s="1161"/>
      <c r="X156" s="1161"/>
      <c r="Y156" s="1161"/>
      <c r="Z156" s="1161"/>
      <c r="AA156" s="1633"/>
      <c r="AB156" s="567"/>
      <c r="AC156" s="567"/>
      <c r="AD156" s="567"/>
      <c r="AE156" s="567"/>
      <c r="AF156" s="1642">
        <v>11</v>
      </c>
    </row>
    <row s="1642" customFormat="1" customHeight="1" ht="11.549999999999999">
      <c r="A157" s="988"/>
      <c r="B157" s="1637"/>
      <c r="C157" s="1637"/>
      <c r="D157" s="352"/>
      <c r="K157" s="1161"/>
      <c r="L157" s="1637"/>
      <c r="M157" s="1637"/>
      <c r="N157" s="1161"/>
      <c r="O157" s="1161"/>
      <c r="P157" s="1161"/>
      <c r="Q157" s="1161"/>
      <c r="R157" s="1637"/>
      <c r="S157" s="1161"/>
      <c r="T157" s="1161"/>
      <c r="U157" s="545"/>
      <c r="V157" s="1161"/>
      <c r="W157" s="1161"/>
      <c r="X157" s="1161"/>
      <c r="Y157" s="1161"/>
      <c r="Z157" s="1161"/>
      <c r="AA157" s="1633"/>
      <c r="AB157" s="567"/>
      <c r="AC157" s="567"/>
      <c r="AD157" s="567"/>
      <c r="AE157" s="567"/>
      <c r="AF157" s="1642">
        <v>11</v>
      </c>
    </row>
    <row s="1642" customFormat="1" customHeight="1" ht="11.549999999999999">
      <c r="A158" s="988"/>
      <c r="B158" s="1637"/>
      <c r="C158" s="1637"/>
      <c r="D158" s="352"/>
      <c r="K158" s="1161"/>
      <c r="L158" s="1637"/>
      <c r="M158" s="1637"/>
      <c r="N158" s="1161"/>
      <c r="O158" s="1161"/>
      <c r="P158" s="1161"/>
      <c r="Q158" s="1161"/>
      <c r="R158" s="1637"/>
      <c r="S158" s="1161"/>
      <c r="T158" s="1161"/>
      <c r="U158" s="545"/>
      <c r="V158" s="1161"/>
      <c r="W158" s="1161"/>
      <c r="X158" s="1161"/>
      <c r="Y158" s="1161"/>
      <c r="Z158" s="1161"/>
      <c r="AA158" s="1633"/>
      <c r="AB158" s="567"/>
      <c r="AC158" s="567"/>
      <c r="AD158" s="567"/>
      <c r="AE158" s="567"/>
      <c r="AF158" s="1642">
        <v>11</v>
      </c>
    </row>
    <row s="1642" customFormat="1" customHeight="1" ht="11.549999999999999">
      <c r="A159" s="988"/>
      <c r="B159" s="1637"/>
      <c r="C159" s="1637"/>
      <c r="D159" s="352"/>
      <c r="K159" s="1161"/>
      <c r="L159" s="1637"/>
      <c r="M159" s="1637"/>
      <c r="N159" s="1161"/>
      <c r="O159" s="1161"/>
      <c r="P159" s="1161"/>
      <c r="Q159" s="1161"/>
      <c r="R159" s="1637"/>
      <c r="S159" s="1161"/>
      <c r="T159" s="1161"/>
      <c r="U159" s="545"/>
      <c r="V159" s="1161"/>
      <c r="W159" s="1161"/>
      <c r="X159" s="1161"/>
      <c r="Y159" s="1161"/>
      <c r="Z159" s="1161"/>
      <c r="AA159" s="1633"/>
      <c r="AB159" s="567"/>
      <c r="AC159" s="567"/>
      <c r="AD159" s="567"/>
      <c r="AE159" s="567"/>
      <c r="AF159" s="1642">
        <v>11</v>
      </c>
    </row>
    <row s="1642" customFormat="1" customHeight="1" ht="11.549999999999999">
      <c r="A160" s="988"/>
      <c r="B160" s="1637"/>
      <c r="C160" s="1637"/>
      <c r="D160" s="352"/>
      <c r="K160" s="1161"/>
      <c r="L160" s="1637"/>
      <c r="M160" s="1637"/>
      <c r="N160" s="1161"/>
      <c r="O160" s="1161"/>
      <c r="P160" s="1161"/>
      <c r="Q160" s="1161"/>
      <c r="R160" s="1637"/>
      <c r="S160" s="1161"/>
      <c r="T160" s="1161"/>
      <c r="U160" s="545"/>
      <c r="V160" s="1161"/>
      <c r="W160" s="1161"/>
      <c r="X160" s="1161"/>
      <c r="Y160" s="1161"/>
      <c r="Z160" s="1161"/>
      <c r="AA160" s="1633"/>
      <c r="AB160" s="567"/>
      <c r="AC160" s="567"/>
      <c r="AD160" s="567"/>
      <c r="AE160" s="567"/>
      <c r="AF160" s="1642">
        <v>11</v>
      </c>
    </row>
    <row s="1642" customFormat="1" customHeight="1" ht="11.549999999999999">
      <c r="A161" s="988"/>
      <c r="B161" s="1637"/>
      <c r="C161" s="1637"/>
      <c r="D161" s="352"/>
      <c r="K161" s="1161"/>
      <c r="L161" s="1637"/>
      <c r="M161" s="1637"/>
      <c r="N161" s="1161"/>
      <c r="O161" s="1161"/>
      <c r="P161" s="1161"/>
      <c r="Q161" s="1161"/>
      <c r="R161" s="1637"/>
      <c r="S161" s="1161"/>
      <c r="T161" s="1161"/>
      <c r="U161" s="545"/>
      <c r="V161" s="1161"/>
      <c r="W161" s="1161"/>
      <c r="X161" s="1161"/>
      <c r="Y161" s="1161"/>
      <c r="Z161" s="1161"/>
      <c r="AA161" s="1633"/>
      <c r="AB161" s="567"/>
      <c r="AC161" s="567"/>
      <c r="AD161" s="567"/>
      <c r="AE161" s="567"/>
      <c r="AF161" s="1642">
        <v>11</v>
      </c>
    </row>
    <row s="1642" customFormat="1" customHeight="1" ht="11.549999999999999">
      <c r="A162" s="988"/>
      <c r="B162" s="1637"/>
      <c r="C162" s="1637"/>
      <c r="D162" s="352"/>
      <c r="K162" s="1161"/>
      <c r="L162" s="1637"/>
      <c r="M162" s="1637"/>
      <c r="N162" s="1161"/>
      <c r="O162" s="1161"/>
      <c r="P162" s="1161"/>
      <c r="Q162" s="1161"/>
      <c r="R162" s="1637"/>
      <c r="S162" s="1161"/>
      <c r="T162" s="1161"/>
      <c r="U162" s="545"/>
      <c r="V162" s="1161"/>
      <c r="W162" s="1161"/>
      <c r="X162" s="1161"/>
      <c r="Y162" s="1161"/>
      <c r="Z162" s="1161"/>
      <c r="AA162" s="1633"/>
      <c r="AB162" s="567"/>
      <c r="AC162" s="567"/>
      <c r="AD162" s="567"/>
      <c r="AE162" s="567"/>
      <c r="AF162" s="1642">
        <v>11</v>
      </c>
    </row>
    <row s="1642" customFormat="1" customHeight="1" ht="11.549999999999999">
      <c r="A163" s="988"/>
      <c r="B163" s="1637"/>
      <c r="C163" s="1637"/>
      <c r="D163" s="352"/>
      <c r="K163" s="1161"/>
      <c r="L163" s="1637"/>
      <c r="M163" s="1637"/>
      <c r="N163" s="1161"/>
      <c r="O163" s="1161"/>
      <c r="P163" s="1161"/>
      <c r="Q163" s="1161"/>
      <c r="R163" s="1637"/>
      <c r="S163" s="1161"/>
      <c r="T163" s="1161"/>
      <c r="U163" s="545"/>
      <c r="V163" s="1161"/>
      <c r="W163" s="1161"/>
      <c r="X163" s="1161"/>
      <c r="Y163" s="1161"/>
      <c r="Z163" s="1161"/>
      <c r="AA163" s="1633"/>
      <c r="AB163" s="567"/>
      <c r="AC163" s="567"/>
      <c r="AD163" s="567"/>
      <c r="AE163" s="567"/>
      <c r="AF163" s="1642">
        <v>11</v>
      </c>
    </row>
    <row s="1642" customFormat="1" customHeight="1" ht="11.549999999999999">
      <c r="A164" s="988"/>
      <c r="B164" s="1637"/>
      <c r="C164" s="1637"/>
      <c r="D164" s="352"/>
      <c r="K164" s="1161"/>
      <c r="L164" s="1637"/>
      <c r="M164" s="1637"/>
      <c r="N164" s="1161"/>
      <c r="O164" s="1161"/>
      <c r="P164" s="1161"/>
      <c r="Q164" s="1161"/>
      <c r="R164" s="1637"/>
      <c r="S164" s="1161"/>
      <c r="T164" s="1161"/>
      <c r="U164" s="545"/>
      <c r="V164" s="1161"/>
      <c r="W164" s="1161"/>
      <c r="X164" s="1161"/>
      <c r="Y164" s="1161"/>
      <c r="Z164" s="1161"/>
      <c r="AA164" s="1633"/>
      <c r="AB164" s="567"/>
      <c r="AC164" s="567"/>
      <c r="AD164" s="567"/>
      <c r="AE164" s="567"/>
      <c r="AF164" s="1642">
        <v>11</v>
      </c>
    </row>
    <row s="1642" customFormat="1" customHeight="1" ht="11.549999999999999">
      <c r="A165" s="988"/>
      <c r="B165" s="1637"/>
      <c r="C165" s="1637"/>
      <c r="D165" s="352"/>
      <c r="K165" s="1161"/>
      <c r="L165" s="1637"/>
      <c r="M165" s="1637"/>
      <c r="N165" s="1161"/>
      <c r="O165" s="1161"/>
      <c r="P165" s="1161"/>
      <c r="Q165" s="1161"/>
      <c r="R165" s="1637"/>
      <c r="S165" s="1161"/>
      <c r="T165" s="1161"/>
      <c r="U165" s="545"/>
      <c r="V165" s="1161"/>
      <c r="W165" s="1161"/>
      <c r="X165" s="1161"/>
      <c r="Y165" s="1161"/>
      <c r="Z165" s="1161"/>
      <c r="AA165" s="1633"/>
      <c r="AB165" s="567"/>
      <c r="AC165" s="567"/>
      <c r="AD165" s="567"/>
      <c r="AE165" s="567"/>
      <c r="AF165" s="1642">
        <v>11</v>
      </c>
    </row>
    <row s="1642" customFormat="1" customHeight="1" ht="11.549999999999999">
      <c r="A166" s="988"/>
      <c r="B166" s="1637"/>
      <c r="C166" s="1637"/>
      <c r="D166" s="352"/>
      <c r="K166" s="1161"/>
      <c r="L166" s="1637"/>
      <c r="M166" s="1637"/>
      <c r="N166" s="1161"/>
      <c r="O166" s="1161"/>
      <c r="P166" s="1161"/>
      <c r="Q166" s="1161"/>
      <c r="R166" s="1637"/>
      <c r="S166" s="1161"/>
      <c r="T166" s="1161"/>
      <c r="U166" s="545"/>
      <c r="V166" s="1161"/>
      <c r="W166" s="1161"/>
      <c r="X166" s="1161"/>
      <c r="Y166" s="1161"/>
      <c r="Z166" s="1161"/>
      <c r="AA166" s="1633"/>
      <c r="AB166" s="567"/>
      <c r="AC166" s="567"/>
      <c r="AD166" s="567"/>
      <c r="AE166" s="567"/>
      <c r="AF166" s="1642">
        <v>11</v>
      </c>
    </row>
    <row s="1642" customFormat="1" customHeight="1" ht="11.549999999999999">
      <c r="A167" s="988"/>
      <c r="B167" s="1637"/>
      <c r="C167" s="1637"/>
      <c r="D167" s="352"/>
      <c r="K167" s="1161"/>
      <c r="L167" s="1637"/>
      <c r="M167" s="1637"/>
      <c r="N167" s="1161"/>
      <c r="O167" s="1161"/>
      <c r="P167" s="1161"/>
      <c r="Q167" s="1161"/>
      <c r="R167" s="1637"/>
      <c r="S167" s="1161"/>
      <c r="T167" s="1161"/>
      <c r="U167" s="545"/>
      <c r="V167" s="1161"/>
      <c r="W167" s="1161"/>
      <c r="X167" s="1161"/>
      <c r="Y167" s="1161"/>
      <c r="Z167" s="1161"/>
      <c r="AA167" s="1633"/>
      <c r="AB167" s="567"/>
      <c r="AC167" s="567"/>
      <c r="AD167" s="567"/>
      <c r="AE167" s="567"/>
      <c r="AF167" s="1642">
        <v>11</v>
      </c>
    </row>
    <row s="1642" customFormat="1" customHeight="1" ht="11.549999999999999">
      <c r="A168" s="988"/>
      <c r="B168" s="1637"/>
      <c r="C168" s="1637"/>
      <c r="D168" s="352"/>
      <c r="K168" s="1161"/>
      <c r="L168" s="1637"/>
      <c r="M168" s="1637"/>
      <c r="N168" s="1161"/>
      <c r="O168" s="1161"/>
      <c r="P168" s="1161"/>
      <c r="Q168" s="1161"/>
      <c r="R168" s="1637"/>
      <c r="S168" s="1161"/>
      <c r="T168" s="1161"/>
      <c r="U168" s="545"/>
      <c r="V168" s="1161"/>
      <c r="W168" s="1161"/>
      <c r="X168" s="1161"/>
      <c r="Y168" s="1161"/>
      <c r="Z168" s="1161"/>
      <c r="AA168" s="1633"/>
      <c r="AB168" s="567"/>
      <c r="AC168" s="567"/>
      <c r="AD168" s="567"/>
      <c r="AE168" s="567"/>
      <c r="AF168" s="1642">
        <v>11</v>
      </c>
    </row>
    <row s="1642" customFormat="1" customHeight="1" ht="11.549999999999999">
      <c r="A169" s="988"/>
      <c r="B169" s="1637"/>
      <c r="C169" s="1637"/>
      <c r="D169" s="352"/>
      <c r="K169" s="1161"/>
      <c r="L169" s="1637"/>
      <c r="M169" s="1637"/>
      <c r="N169" s="1161"/>
      <c r="O169" s="1161"/>
      <c r="P169" s="1161"/>
      <c r="Q169" s="1161"/>
      <c r="R169" s="1637"/>
      <c r="S169" s="1161"/>
      <c r="T169" s="1161"/>
      <c r="U169" s="545"/>
      <c r="V169" s="1161"/>
      <c r="W169" s="1161"/>
      <c r="X169" s="1161"/>
      <c r="Y169" s="1161"/>
      <c r="Z169" s="1161"/>
      <c r="AA169" s="1633"/>
      <c r="AB169" s="567"/>
      <c r="AC169" s="567"/>
      <c r="AD169" s="567"/>
      <c r="AE169" s="567"/>
      <c r="AF169" s="1642">
        <v>11</v>
      </c>
    </row>
    <row s="1642" customFormat="1" customHeight="1" ht="11.549999999999999">
      <c r="A170" s="988"/>
      <c r="B170" s="1637"/>
      <c r="C170" s="1637"/>
      <c r="D170" s="352"/>
      <c r="K170" s="1161"/>
      <c r="L170" s="1637"/>
      <c r="M170" s="1637"/>
      <c r="N170" s="1161"/>
      <c r="O170" s="1161"/>
      <c r="P170" s="1161"/>
      <c r="Q170" s="1161"/>
      <c r="R170" s="1637"/>
      <c r="S170" s="1161"/>
      <c r="T170" s="1161"/>
      <c r="U170" s="545"/>
      <c r="V170" s="1161"/>
      <c r="W170" s="1161"/>
      <c r="X170" s="1161"/>
      <c r="Y170" s="1161"/>
      <c r="Z170" s="1161"/>
      <c r="AA170" s="1633"/>
      <c r="AB170" s="567"/>
      <c r="AC170" s="567"/>
      <c r="AD170" s="567"/>
      <c r="AE170" s="567"/>
      <c r="AF170" s="1642">
        <v>11</v>
      </c>
    </row>
    <row s="1642" customFormat="1" customHeight="1" ht="11.549999999999999">
      <c r="A171" s="988"/>
      <c r="B171" s="1637"/>
      <c r="C171" s="1637"/>
      <c r="D171" s="352"/>
      <c r="K171" s="1161"/>
      <c r="L171" s="1637"/>
      <c r="M171" s="1637"/>
      <c r="N171" s="1161"/>
      <c r="O171" s="1161"/>
      <c r="P171" s="1161"/>
      <c r="Q171" s="1161"/>
      <c r="R171" s="1637"/>
      <c r="S171" s="1161"/>
      <c r="T171" s="1161"/>
      <c r="U171" s="545"/>
      <c r="V171" s="1161"/>
      <c r="W171" s="1161"/>
      <c r="X171" s="1161"/>
      <c r="Y171" s="1161"/>
      <c r="Z171" s="1161"/>
      <c r="AA171" s="1633"/>
      <c r="AB171" s="567"/>
      <c r="AC171" s="567"/>
      <c r="AD171" s="567"/>
      <c r="AE171" s="567"/>
      <c r="AF171" s="1642">
        <v>11</v>
      </c>
    </row>
    <row s="1642" customFormat="1" customHeight="1" ht="11.549999999999999">
      <c r="A172" s="988"/>
      <c r="B172" s="1637"/>
      <c r="C172" s="1637"/>
      <c r="D172" s="352"/>
      <c r="K172" s="1161"/>
      <c r="L172" s="1637"/>
      <c r="M172" s="1637"/>
      <c r="N172" s="1161"/>
      <c r="O172" s="1161"/>
      <c r="P172" s="1161"/>
      <c r="Q172" s="1161"/>
      <c r="R172" s="1637"/>
      <c r="S172" s="1161"/>
      <c r="T172" s="1161"/>
      <c r="U172" s="545"/>
      <c r="V172" s="1161"/>
      <c r="W172" s="1161"/>
      <c r="X172" s="1161"/>
      <c r="Y172" s="1161"/>
      <c r="Z172" s="1161"/>
      <c r="AA172" s="1633"/>
      <c r="AB172" s="567"/>
      <c r="AC172" s="567"/>
      <c r="AD172" s="567"/>
      <c r="AE172" s="567"/>
      <c r="AF172" s="1642">
        <v>11</v>
      </c>
    </row>
    <row s="1642" customFormat="1" customHeight="1" ht="11.549999999999999">
      <c r="A173" s="988"/>
      <c r="B173" s="1637"/>
      <c r="C173" s="1637"/>
      <c r="D173" s="352"/>
      <c r="K173" s="1161"/>
      <c r="L173" s="1637"/>
      <c r="M173" s="1637"/>
      <c r="N173" s="1161"/>
      <c r="O173" s="1161"/>
      <c r="P173" s="1161"/>
      <c r="Q173" s="1161"/>
      <c r="R173" s="1637"/>
      <c r="S173" s="1161"/>
      <c r="T173" s="1161"/>
      <c r="U173" s="545"/>
      <c r="V173" s="1161"/>
      <c r="W173" s="1161"/>
      <c r="X173" s="1161"/>
      <c r="Y173" s="1161"/>
      <c r="Z173" s="1161"/>
      <c r="AA173" s="1633"/>
      <c r="AB173" s="567"/>
      <c r="AC173" s="567"/>
      <c r="AD173" s="567"/>
      <c r="AE173" s="567"/>
      <c r="AF173" s="1642">
        <v>11</v>
      </c>
    </row>
    <row s="1642" customFormat="1" customHeight="1" ht="11.549999999999999">
      <c r="A174" s="988"/>
      <c r="B174" s="1637"/>
      <c r="C174" s="1637"/>
      <c r="D174" s="352"/>
      <c r="K174" s="1161"/>
      <c r="L174" s="1637"/>
      <c r="M174" s="1637"/>
      <c r="N174" s="1161"/>
      <c r="O174" s="1161"/>
      <c r="P174" s="1161"/>
      <c r="Q174" s="1161"/>
      <c r="R174" s="1637"/>
      <c r="S174" s="1161"/>
      <c r="T174" s="1161"/>
      <c r="U174" s="545"/>
      <c r="V174" s="1161"/>
      <c r="W174" s="1161"/>
      <c r="X174" s="1161"/>
      <c r="Y174" s="1161"/>
      <c r="Z174" s="1161"/>
      <c r="AA174" s="1633"/>
      <c r="AB174" s="567"/>
      <c r="AC174" s="567"/>
      <c r="AD174" s="567"/>
      <c r="AE174" s="567"/>
      <c r="AF174" s="1642">
        <v>11</v>
      </c>
    </row>
    <row s="1642" customFormat="1" customHeight="1" ht="11.549999999999999">
      <c r="A175" s="988"/>
      <c r="B175" s="1637"/>
      <c r="C175" s="1637"/>
      <c r="D175" s="352"/>
      <c r="K175" s="1161"/>
      <c r="L175" s="1637"/>
      <c r="M175" s="1637"/>
      <c r="N175" s="1161"/>
      <c r="O175" s="1161"/>
      <c r="P175" s="1161"/>
      <c r="Q175" s="1161"/>
      <c r="R175" s="1637"/>
      <c r="S175" s="1161"/>
      <c r="T175" s="1161"/>
      <c r="U175" s="545"/>
      <c r="V175" s="1161"/>
      <c r="W175" s="1161"/>
      <c r="X175" s="1161"/>
      <c r="Y175" s="1161"/>
      <c r="Z175" s="1161"/>
      <c r="AA175" s="1633"/>
      <c r="AB175" s="567"/>
      <c r="AC175" s="567"/>
      <c r="AD175" s="567"/>
      <c r="AE175" s="567"/>
      <c r="AF175" s="1642">
        <v>11</v>
      </c>
    </row>
    <row s="1642" customFormat="1" customHeight="1" ht="11.549999999999999">
      <c r="A176" s="988"/>
      <c r="B176" s="1637"/>
      <c r="C176" s="1637"/>
      <c r="D176" s="352"/>
      <c r="K176" s="1161"/>
      <c r="L176" s="1637"/>
      <c r="M176" s="1637"/>
      <c r="N176" s="1161"/>
      <c r="O176" s="1161"/>
      <c r="P176" s="1161"/>
      <c r="Q176" s="1161"/>
      <c r="R176" s="1637"/>
      <c r="S176" s="1161"/>
      <c r="T176" s="1161"/>
      <c r="U176" s="545"/>
      <c r="V176" s="1161"/>
      <c r="W176" s="1161"/>
      <c r="X176" s="1161"/>
      <c r="Y176" s="1161"/>
      <c r="Z176" s="1161"/>
      <c r="AA176" s="1633"/>
      <c r="AB176" s="567"/>
      <c r="AC176" s="567"/>
      <c r="AD176" s="567"/>
      <c r="AE176" s="567"/>
      <c r="AF176" s="1642">
        <v>11</v>
      </c>
    </row>
    <row s="1642" customFormat="1" customHeight="1" ht="11.549999999999999">
      <c r="A177" s="988"/>
      <c r="B177" s="1637"/>
      <c r="C177" s="1637"/>
      <c r="D177" s="352"/>
      <c r="K177" s="1161"/>
      <c r="L177" s="1637"/>
      <c r="M177" s="1637"/>
      <c r="N177" s="1161"/>
      <c r="O177" s="1161"/>
      <c r="P177" s="1161"/>
      <c r="Q177" s="1161"/>
      <c r="R177" s="1637"/>
      <c r="S177" s="1161"/>
      <c r="T177" s="1161"/>
      <c r="U177" s="545"/>
      <c r="V177" s="1161"/>
      <c r="W177" s="1161"/>
      <c r="X177" s="1161"/>
      <c r="Y177" s="1161"/>
      <c r="Z177" s="1161"/>
      <c r="AA177" s="1633"/>
      <c r="AB177" s="567"/>
      <c r="AC177" s="567"/>
      <c r="AD177" s="567"/>
      <c r="AE177" s="567"/>
      <c r="AF177" s="1642">
        <v>11</v>
      </c>
    </row>
    <row s="1642" customFormat="1" customHeight="1" ht="11.549999999999999">
      <c r="A178" s="988"/>
      <c r="B178" s="1637"/>
      <c r="C178" s="1637"/>
      <c r="D178" s="352"/>
      <c r="K178" s="1161"/>
      <c r="L178" s="1637"/>
      <c r="M178" s="1637"/>
      <c r="N178" s="1161"/>
      <c r="O178" s="1161"/>
      <c r="P178" s="1161"/>
      <c r="Q178" s="1161"/>
      <c r="R178" s="1637"/>
      <c r="S178" s="1161"/>
      <c r="T178" s="1161"/>
      <c r="U178" s="545"/>
      <c r="V178" s="1161"/>
      <c r="W178" s="1161"/>
      <c r="X178" s="1161"/>
      <c r="Y178" s="1161"/>
      <c r="Z178" s="1161"/>
      <c r="AA178" s="1633"/>
      <c r="AB178" s="567"/>
      <c r="AC178" s="567"/>
      <c r="AD178" s="567"/>
      <c r="AE178" s="567"/>
      <c r="AF178" s="1642">
        <v>11</v>
      </c>
    </row>
    <row s="1642" customFormat="1" customHeight="1" ht="11.549999999999999">
      <c r="A179" s="988"/>
      <c r="B179" s="1637"/>
      <c r="C179" s="1637"/>
      <c r="D179" s="352"/>
      <c r="K179" s="1161"/>
      <c r="L179" s="1637"/>
      <c r="M179" s="1637"/>
      <c r="N179" s="1161"/>
      <c r="O179" s="1161"/>
      <c r="P179" s="1161"/>
      <c r="Q179" s="1161"/>
      <c r="R179" s="1637"/>
      <c r="S179" s="1161"/>
      <c r="T179" s="1161"/>
      <c r="U179" s="545"/>
      <c r="V179" s="1161"/>
      <c r="W179" s="1161"/>
      <c r="X179" s="1161"/>
      <c r="Y179" s="1161"/>
      <c r="Z179" s="1161"/>
      <c r="AA179" s="1633"/>
      <c r="AB179" s="567"/>
      <c r="AC179" s="567"/>
      <c r="AD179" s="567"/>
      <c r="AE179" s="567"/>
      <c r="AF179" s="1642">
        <v>11</v>
      </c>
    </row>
    <row s="1642" customFormat="1" customHeight="1" ht="11.549999999999999">
      <c r="A180" s="988"/>
      <c r="B180" s="1637"/>
      <c r="C180" s="1637"/>
      <c r="D180" s="352"/>
      <c r="K180" s="1161"/>
      <c r="L180" s="1637"/>
      <c r="M180" s="1637"/>
      <c r="N180" s="1161"/>
      <c r="O180" s="1161"/>
      <c r="P180" s="1161"/>
      <c r="Q180" s="1161"/>
      <c r="R180" s="1637"/>
      <c r="S180" s="1161"/>
      <c r="T180" s="1161"/>
      <c r="U180" s="545"/>
      <c r="V180" s="1161"/>
      <c r="W180" s="1161"/>
      <c r="X180" s="1161"/>
      <c r="Y180" s="1161"/>
      <c r="Z180" s="1161"/>
      <c r="AA180" s="1633"/>
      <c r="AB180" s="567"/>
      <c r="AC180" s="567"/>
      <c r="AD180" s="567"/>
      <c r="AE180" s="567"/>
      <c r="AF180" s="1642">
        <v>11</v>
      </c>
    </row>
    <row s="1642" customFormat="1" customHeight="1" ht="11.549999999999999">
      <c r="A181" s="988"/>
      <c r="B181" s="1637"/>
      <c r="C181" s="1637"/>
      <c r="D181" s="352"/>
      <c r="K181" s="1161"/>
      <c r="L181" s="1637"/>
      <c r="M181" s="1637"/>
      <c r="N181" s="1161"/>
      <c r="O181" s="1161"/>
      <c r="P181" s="1161"/>
      <c r="Q181" s="1161"/>
      <c r="R181" s="1637"/>
      <c r="S181" s="1161"/>
      <c r="T181" s="1161"/>
      <c r="U181" s="545"/>
      <c r="V181" s="1161"/>
      <c r="W181" s="1161"/>
      <c r="X181" s="1161"/>
      <c r="Y181" s="1161"/>
      <c r="Z181" s="1161"/>
      <c r="AA181" s="1633"/>
      <c r="AB181" s="567"/>
      <c r="AC181" s="567"/>
      <c r="AD181" s="567"/>
      <c r="AE181" s="567"/>
      <c r="AF181" s="1642">
        <v>11</v>
      </c>
    </row>
    <row s="1642" customFormat="1" customHeight="1" ht="11.549999999999999">
      <c r="A182" s="988"/>
      <c r="B182" s="1637"/>
      <c r="C182" s="1637"/>
      <c r="D182" s="352"/>
      <c r="K182" s="1161"/>
      <c r="L182" s="1637"/>
      <c r="M182" s="1637"/>
      <c r="N182" s="1161"/>
      <c r="O182" s="1161"/>
      <c r="P182" s="1161"/>
      <c r="Q182" s="1161"/>
      <c r="R182" s="1637"/>
      <c r="S182" s="1161"/>
      <c r="T182" s="1161"/>
      <c r="U182" s="545"/>
      <c r="V182" s="1161"/>
      <c r="W182" s="1161"/>
      <c r="X182" s="1161"/>
      <c r="Y182" s="1161"/>
      <c r="Z182" s="1161"/>
      <c r="AA182" s="1633"/>
      <c r="AB182" s="567"/>
      <c r="AC182" s="567"/>
      <c r="AD182" s="567"/>
      <c r="AE182" s="567"/>
      <c r="AF182" s="1642">
        <v>11</v>
      </c>
    </row>
    <row s="1642" customFormat="1" customHeight="1" ht="11.549999999999999">
      <c r="A183" s="988"/>
      <c r="B183" s="1637"/>
      <c r="C183" s="1637"/>
      <c r="D183" s="352"/>
      <c r="K183" s="1161"/>
      <c r="L183" s="1637"/>
      <c r="M183" s="1637"/>
      <c r="N183" s="1161"/>
      <c r="O183" s="1161"/>
      <c r="P183" s="1161"/>
      <c r="Q183" s="1161"/>
      <c r="R183" s="1637"/>
      <c r="S183" s="1161"/>
      <c r="T183" s="1161"/>
      <c r="U183" s="545"/>
      <c r="V183" s="1161"/>
      <c r="W183" s="1161"/>
      <c r="X183" s="1161"/>
      <c r="Y183" s="1161"/>
      <c r="Z183" s="1161"/>
      <c r="AA183" s="1633"/>
      <c r="AB183" s="567"/>
      <c r="AC183" s="567"/>
      <c r="AD183" s="567"/>
      <c r="AE183" s="567"/>
      <c r="AF183" s="1642">
        <v>11</v>
      </c>
    </row>
    <row s="1642" customFormat="1" customHeight="1" ht="11.549999999999999">
      <c r="A184" s="988"/>
      <c r="B184" s="1637"/>
      <c r="C184" s="1637"/>
      <c r="D184" s="352"/>
      <c r="K184" s="1161"/>
      <c r="L184" s="1637"/>
      <c r="M184" s="1637"/>
      <c r="N184" s="1161"/>
      <c r="O184" s="1161"/>
      <c r="P184" s="1161"/>
      <c r="Q184" s="1161"/>
      <c r="R184" s="1637"/>
      <c r="S184" s="1161"/>
      <c r="T184" s="1161"/>
      <c r="U184" s="545"/>
      <c r="V184" s="1161"/>
      <c r="W184" s="1161"/>
      <c r="X184" s="1161"/>
      <c r="Y184" s="1161"/>
      <c r="Z184" s="1161"/>
      <c r="AA184" s="1633"/>
      <c r="AB184" s="567"/>
      <c r="AC184" s="567"/>
      <c r="AD184" s="567"/>
      <c r="AE184" s="567"/>
      <c r="AF184" s="1642">
        <v>11</v>
      </c>
    </row>
    <row s="1642" customFormat="1" customHeight="1" ht="11.549999999999999">
      <c r="A185" s="988"/>
      <c r="B185" s="1637"/>
      <c r="C185" s="1637"/>
      <c r="D185" s="352"/>
      <c r="K185" s="1161"/>
      <c r="L185" s="1637"/>
      <c r="M185" s="1637"/>
      <c r="N185" s="1161"/>
      <c r="O185" s="1161"/>
      <c r="P185" s="1161"/>
      <c r="Q185" s="1161"/>
      <c r="R185" s="1637"/>
      <c r="S185" s="1161"/>
      <c r="T185" s="1161"/>
      <c r="U185" s="545"/>
      <c r="V185" s="1161"/>
      <c r="W185" s="1161"/>
      <c r="X185" s="1161"/>
      <c r="Y185" s="1161"/>
      <c r="Z185" s="1161"/>
      <c r="AA185" s="1633"/>
      <c r="AB185" s="567"/>
      <c r="AC185" s="567"/>
      <c r="AD185" s="567"/>
      <c r="AE185" s="567"/>
      <c r="AF185" s="1642">
        <v>11</v>
      </c>
    </row>
    <row s="1642" customFormat="1" customHeight="1" ht="11.549999999999999">
      <c r="A186" s="988"/>
      <c r="B186" s="1637"/>
      <c r="C186" s="1637"/>
      <c r="D186" s="352"/>
      <c r="K186" s="1161"/>
      <c r="L186" s="1637"/>
      <c r="M186" s="1637"/>
      <c r="N186" s="1161"/>
      <c r="O186" s="1161"/>
      <c r="P186" s="1161"/>
      <c r="Q186" s="1161"/>
      <c r="R186" s="1637"/>
      <c r="S186" s="1161"/>
      <c r="T186" s="1161"/>
      <c r="U186" s="545"/>
      <c r="V186" s="1161"/>
      <c r="W186" s="1161"/>
      <c r="X186" s="1161"/>
      <c r="Y186" s="1161"/>
      <c r="Z186" s="1161"/>
      <c r="AA186" s="1633"/>
      <c r="AB186" s="567"/>
      <c r="AC186" s="567"/>
      <c r="AD186" s="567"/>
      <c r="AE186" s="567"/>
      <c r="AF186" s="1642">
        <v>11</v>
      </c>
    </row>
    <row s="1642" customFormat="1" customHeight="1" ht="11.549999999999999">
      <c r="A187" s="988"/>
      <c r="B187" s="1637"/>
      <c r="C187" s="1637"/>
      <c r="D187" s="352"/>
      <c r="K187" s="1161"/>
      <c r="L187" s="1637"/>
      <c r="M187" s="1637"/>
      <c r="N187" s="1161"/>
      <c r="O187" s="1161"/>
      <c r="P187" s="1161"/>
      <c r="Q187" s="1161"/>
      <c r="R187" s="1637"/>
      <c r="S187" s="1161"/>
      <c r="T187" s="1161"/>
      <c r="U187" s="545"/>
      <c r="V187" s="1161"/>
      <c r="W187" s="1161"/>
      <c r="X187" s="1161"/>
      <c r="Y187" s="1161"/>
      <c r="Z187" s="1161"/>
      <c r="AA187" s="1633"/>
      <c r="AB187" s="567"/>
      <c r="AC187" s="567"/>
      <c r="AD187" s="567"/>
      <c r="AE187" s="567"/>
      <c r="AF187" s="1642">
        <v>11</v>
      </c>
    </row>
    <row s="1642" customFormat="1" customHeight="1" ht="11.549999999999999">
      <c r="A188" s="988"/>
      <c r="B188" s="1637"/>
      <c r="C188" s="1637"/>
      <c r="D188" s="352"/>
      <c r="K188" s="1161"/>
      <c r="L188" s="1637"/>
      <c r="M188" s="1637"/>
      <c r="N188" s="1161"/>
      <c r="O188" s="1161"/>
      <c r="P188" s="1161"/>
      <c r="Q188" s="1161"/>
      <c r="R188" s="1637"/>
      <c r="S188" s="1161"/>
      <c r="T188" s="1161"/>
      <c r="U188" s="545"/>
      <c r="V188" s="1161"/>
      <c r="W188" s="1161"/>
      <c r="X188" s="1161"/>
      <c r="Y188" s="1161"/>
      <c r="Z188" s="1161"/>
      <c r="AA188" s="1633"/>
      <c r="AB188" s="567"/>
      <c r="AC188" s="567"/>
      <c r="AD188" s="567"/>
      <c r="AE188" s="567"/>
      <c r="AF188" s="1642">
        <v>11</v>
      </c>
    </row>
    <row s="1642" customFormat="1" customHeight="1" ht="11.549999999999999">
      <c r="A189" s="988"/>
      <c r="B189" s="1637"/>
      <c r="C189" s="1637"/>
      <c r="D189" s="352"/>
      <c r="K189" s="1161"/>
      <c r="L189" s="1637"/>
      <c r="M189" s="1637"/>
      <c r="N189" s="1161"/>
      <c r="O189" s="1161"/>
      <c r="P189" s="1161"/>
      <c r="Q189" s="1161"/>
      <c r="R189" s="1637"/>
      <c r="S189" s="1161"/>
      <c r="T189" s="1161"/>
      <c r="U189" s="545"/>
      <c r="V189" s="1161"/>
      <c r="W189" s="1161"/>
      <c r="X189" s="1161"/>
      <c r="Y189" s="1161"/>
      <c r="Z189" s="1161"/>
      <c r="AA189" s="1633"/>
      <c r="AB189" s="567"/>
      <c r="AC189" s="567"/>
      <c r="AD189" s="567"/>
      <c r="AE189" s="567"/>
      <c r="AF189" s="1642">
        <v>11</v>
      </c>
    </row>
    <row s="1642" customFormat="1" customHeight="1" ht="11.549999999999999">
      <c r="A190" s="988"/>
      <c r="B190" s="1637"/>
      <c r="C190" s="1637"/>
      <c r="D190" s="352"/>
      <c r="K190" s="1161"/>
      <c r="L190" s="1637"/>
      <c r="M190" s="1637"/>
      <c r="N190" s="1161"/>
      <c r="O190" s="1161"/>
      <c r="P190" s="1161"/>
      <c r="Q190" s="1161"/>
      <c r="R190" s="1637"/>
      <c r="S190" s="1161"/>
      <c r="T190" s="1161"/>
      <c r="U190" s="545"/>
      <c r="V190" s="1161"/>
      <c r="W190" s="1161"/>
      <c r="X190" s="1161"/>
      <c r="Y190" s="1161"/>
      <c r="Z190" s="1161"/>
      <c r="AA190" s="1633"/>
      <c r="AB190" s="567"/>
      <c r="AC190" s="567"/>
      <c r="AD190" s="567"/>
      <c r="AE190" s="567"/>
      <c r="AF190" s="1642">
        <v>11</v>
      </c>
    </row>
    <row s="1642" customFormat="1" customHeight="1" ht="11.549999999999999">
      <c r="A191" s="988"/>
      <c r="B191" s="1637"/>
      <c r="C191" s="1637"/>
      <c r="D191" s="352"/>
      <c r="K191" s="1161"/>
      <c r="L191" s="1637"/>
      <c r="M191" s="1637"/>
      <c r="N191" s="1161"/>
      <c r="O191" s="1161"/>
      <c r="P191" s="1161"/>
      <c r="Q191" s="1161"/>
      <c r="R191" s="1637"/>
      <c r="S191" s="1161"/>
      <c r="T191" s="1161"/>
      <c r="U191" s="545"/>
      <c r="V191" s="1161"/>
      <c r="W191" s="1161"/>
      <c r="X191" s="1161"/>
      <c r="Y191" s="1161"/>
      <c r="Z191" s="1161"/>
      <c r="AA191" s="1633"/>
      <c r="AB191" s="567"/>
      <c r="AC191" s="567"/>
      <c r="AD191" s="567"/>
      <c r="AE191" s="567"/>
      <c r="AF191" s="1642">
        <v>11</v>
      </c>
    </row>
    <row s="1642" customFormat="1" customHeight="1" ht="11.549999999999999">
      <c r="A192" s="988"/>
      <c r="B192" s="1637"/>
      <c r="C192" s="1637"/>
      <c r="D192" s="352"/>
      <c r="K192" s="1161"/>
      <c r="L192" s="1637"/>
      <c r="M192" s="1637"/>
      <c r="N192" s="1161"/>
      <c r="O192" s="1161"/>
      <c r="P192" s="1161"/>
      <c r="Q192" s="1161"/>
      <c r="R192" s="1637"/>
      <c r="S192" s="1161"/>
      <c r="T192" s="1161"/>
      <c r="U192" s="545"/>
      <c r="V192" s="1161"/>
      <c r="W192" s="1161"/>
      <c r="X192" s="1161"/>
      <c r="Y192" s="1161"/>
      <c r="Z192" s="1161"/>
      <c r="AA192" s="1633"/>
      <c r="AB192" s="567"/>
      <c r="AC192" s="567"/>
      <c r="AD192" s="567"/>
      <c r="AE192" s="567"/>
      <c r="AF192" s="1642">
        <v>11</v>
      </c>
    </row>
    <row s="1642" customFormat="1" customHeight="1" ht="11.549999999999999">
      <c r="A193" s="988"/>
      <c r="B193" s="1637"/>
      <c r="C193" s="1637"/>
      <c r="D193" s="352"/>
      <c r="K193" s="1161"/>
      <c r="L193" s="1637"/>
      <c r="M193" s="1637"/>
      <c r="N193" s="1161"/>
      <c r="O193" s="1161"/>
      <c r="P193" s="1161"/>
      <c r="Q193" s="1161"/>
      <c r="R193" s="1637"/>
      <c r="S193" s="1161"/>
      <c r="T193" s="1161"/>
      <c r="U193" s="545"/>
      <c r="V193" s="1161"/>
      <c r="W193" s="1161"/>
      <c r="X193" s="1161"/>
      <c r="Y193" s="1161"/>
      <c r="Z193" s="1161"/>
      <c r="AA193" s="1633"/>
      <c r="AB193" s="567"/>
      <c r="AC193" s="567"/>
      <c r="AD193" s="567"/>
      <c r="AE193" s="567"/>
      <c r="AF193" s="1642">
        <v>11</v>
      </c>
    </row>
    <row s="1642" customFormat="1" customHeight="1" ht="11.549999999999999">
      <c r="A194" s="988"/>
      <c r="B194" s="1637"/>
      <c r="C194" s="1637"/>
      <c r="D194" s="352"/>
      <c r="K194" s="1161"/>
      <c r="L194" s="1637"/>
      <c r="M194" s="1637"/>
      <c r="N194" s="1161"/>
      <c r="O194" s="1161"/>
      <c r="P194" s="1161"/>
      <c r="Q194" s="1161"/>
      <c r="R194" s="1637"/>
      <c r="S194" s="1161"/>
      <c r="T194" s="1161"/>
      <c r="U194" s="545"/>
      <c r="V194" s="1161"/>
      <c r="W194" s="1161"/>
      <c r="X194" s="1161"/>
      <c r="Y194" s="1161"/>
      <c r="Z194" s="1161"/>
      <c r="AA194" s="1633"/>
      <c r="AB194" s="567"/>
      <c r="AC194" s="567"/>
      <c r="AD194" s="567"/>
      <c r="AE194" s="567"/>
      <c r="AF194" s="1642">
        <v>11</v>
      </c>
    </row>
    <row s="1642" customFormat="1" customHeight="1" ht="11.549999999999999">
      <c r="A195" s="988"/>
      <c r="B195" s="1637"/>
      <c r="C195" s="1637"/>
      <c r="D195" s="352"/>
      <c r="K195" s="1161"/>
      <c r="L195" s="1637"/>
      <c r="M195" s="1637"/>
      <c r="N195" s="1161"/>
      <c r="O195" s="1161"/>
      <c r="P195" s="1161"/>
      <c r="Q195" s="1161"/>
      <c r="R195" s="1637"/>
      <c r="S195" s="1161"/>
      <c r="T195" s="1161"/>
      <c r="U195" s="545"/>
      <c r="V195" s="1161"/>
      <c r="W195" s="1161"/>
      <c r="X195" s="1161"/>
      <c r="Y195" s="1161"/>
      <c r="Z195" s="1161"/>
      <c r="AA195" s="1633"/>
      <c r="AB195" s="567"/>
      <c r="AC195" s="567"/>
      <c r="AD195" s="567"/>
      <c r="AE195" s="567"/>
      <c r="AF195" s="1642">
        <v>11</v>
      </c>
    </row>
    <row s="1642" customFormat="1" customHeight="1" ht="11.549999999999999">
      <c r="A196" s="988"/>
      <c r="B196" s="1637"/>
      <c r="C196" s="1637"/>
      <c r="D196" s="352"/>
      <c r="K196" s="1161"/>
      <c r="L196" s="1637"/>
      <c r="M196" s="1637"/>
      <c r="N196" s="1161"/>
      <c r="O196" s="1161"/>
      <c r="P196" s="1161"/>
      <c r="Q196" s="1161"/>
      <c r="R196" s="1637"/>
      <c r="S196" s="1161"/>
      <c r="T196" s="1161"/>
      <c r="U196" s="545"/>
      <c r="V196" s="1161"/>
      <c r="W196" s="1161"/>
      <c r="X196" s="1161"/>
      <c r="Y196" s="1161"/>
      <c r="Z196" s="1161"/>
      <c r="AA196" s="1633"/>
      <c r="AB196" s="567"/>
      <c r="AC196" s="567"/>
      <c r="AD196" s="567"/>
      <c r="AE196" s="567"/>
      <c r="AF196" s="1642">
        <v>11</v>
      </c>
    </row>
    <row s="1642" customFormat="1" customHeight="1" ht="11.549999999999999">
      <c r="A197" s="988"/>
      <c r="B197" s="1637"/>
      <c r="C197" s="1637"/>
      <c r="D197" s="352"/>
      <c r="K197" s="1161"/>
      <c r="L197" s="1637"/>
      <c r="M197" s="1637"/>
      <c r="N197" s="1161"/>
      <c r="O197" s="1161"/>
      <c r="P197" s="1161"/>
      <c r="Q197" s="1161"/>
      <c r="R197" s="1637"/>
      <c r="S197" s="1161"/>
      <c r="T197" s="1161"/>
      <c r="U197" s="545"/>
      <c r="V197" s="1161"/>
      <c r="W197" s="1161"/>
      <c r="X197" s="1161"/>
      <c r="Y197" s="1161"/>
      <c r="Z197" s="1161"/>
      <c r="AA197" s="1633"/>
      <c r="AB197" s="567"/>
      <c r="AC197" s="567"/>
      <c r="AD197" s="567"/>
      <c r="AE197" s="567"/>
      <c r="AF197" s="1642">
        <v>11</v>
      </c>
    </row>
    <row s="1642" customFormat="1" customHeight="1" ht="11.549999999999999">
      <c r="A198" s="988"/>
      <c r="B198" s="1637"/>
      <c r="C198" s="1637"/>
      <c r="D198" s="352"/>
      <c r="K198" s="1161"/>
      <c r="L198" s="1637"/>
      <c r="M198" s="1637"/>
      <c r="N198" s="1161"/>
      <c r="O198" s="1161"/>
      <c r="P198" s="1161"/>
      <c r="Q198" s="1161"/>
      <c r="R198" s="1637"/>
      <c r="S198" s="1161"/>
      <c r="T198" s="1161"/>
      <c r="U198" s="545"/>
      <c r="V198" s="1161"/>
      <c r="W198" s="1161"/>
      <c r="X198" s="1161"/>
      <c r="Y198" s="1161"/>
      <c r="Z198" s="1161"/>
      <c r="AA198" s="1633"/>
      <c r="AB198" s="567"/>
      <c r="AC198" s="567"/>
      <c r="AD198" s="567"/>
      <c r="AE198" s="567"/>
      <c r="AF198" s="1642">
        <v>11</v>
      </c>
    </row>
    <row s="1642" customFormat="1" customHeight="1" ht="11.549999999999999">
      <c r="A199" s="988"/>
      <c r="B199" s="1637"/>
      <c r="C199" s="1637"/>
      <c r="D199" s="352"/>
      <c r="K199" s="1161"/>
      <c r="L199" s="1637"/>
      <c r="M199" s="1637"/>
      <c r="N199" s="1161"/>
      <c r="O199" s="1161"/>
      <c r="P199" s="1161"/>
      <c r="Q199" s="1161"/>
      <c r="R199" s="1637"/>
      <c r="S199" s="1161"/>
      <c r="T199" s="1161"/>
      <c r="U199" s="545"/>
      <c r="V199" s="1161"/>
      <c r="W199" s="1161"/>
      <c r="X199" s="1161"/>
      <c r="Y199" s="1161"/>
      <c r="Z199" s="1161"/>
      <c r="AA199" s="1633"/>
      <c r="AB199" s="567"/>
      <c r="AC199" s="567"/>
      <c r="AD199" s="567"/>
      <c r="AE199" s="567"/>
      <c r="AF199" s="1642">
        <v>11</v>
      </c>
    </row>
    <row s="1642" customFormat="1" customHeight="1" ht="11.549999999999999">
      <c r="A200" s="988"/>
      <c r="B200" s="1637"/>
      <c r="C200" s="1637"/>
      <c r="D200" s="352"/>
      <c r="K200" s="1161"/>
      <c r="L200" s="1637"/>
      <c r="M200" s="1637"/>
      <c r="N200" s="1161"/>
      <c r="O200" s="1161"/>
      <c r="P200" s="1161"/>
      <c r="Q200" s="1161"/>
      <c r="R200" s="1637"/>
      <c r="S200" s="1161"/>
      <c r="T200" s="1161"/>
      <c r="U200" s="545"/>
      <c r="V200" s="1161"/>
      <c r="W200" s="1161"/>
      <c r="X200" s="1161"/>
      <c r="Y200" s="1161"/>
      <c r="Z200" s="1161"/>
      <c r="AA200" s="1633"/>
      <c r="AB200" s="567"/>
      <c r="AC200" s="567"/>
      <c r="AD200" s="567"/>
      <c r="AE200" s="567"/>
      <c r="AF200" s="1642">
        <v>11</v>
      </c>
    </row>
    <row s="1642" customFormat="1" customHeight="1" ht="11.549999999999999">
      <c r="A201" s="988"/>
      <c r="B201" s="1637"/>
      <c r="C201" s="1637"/>
      <c r="D201" s="352"/>
      <c r="K201" s="1161"/>
      <c r="L201" s="1637"/>
      <c r="M201" s="1637"/>
      <c r="N201" s="1161"/>
      <c r="O201" s="1161"/>
      <c r="P201" s="1161"/>
      <c r="Q201" s="1161"/>
      <c r="R201" s="1637"/>
      <c r="S201" s="1161"/>
      <c r="T201" s="1161"/>
      <c r="U201" s="545"/>
      <c r="V201" s="1161"/>
      <c r="W201" s="1161"/>
      <c r="X201" s="1161"/>
      <c r="Y201" s="1161"/>
      <c r="Z201" s="1161"/>
      <c r="AA201" s="1633"/>
      <c r="AB201" s="567"/>
      <c r="AC201" s="567"/>
      <c r="AD201" s="567"/>
      <c r="AE201" s="567"/>
      <c r="AF201" s="1642">
        <v>11</v>
      </c>
    </row>
    <row s="1642" customFormat="1" customHeight="1" ht="11.549999999999999">
      <c r="A202" s="988"/>
      <c r="B202" s="1637"/>
      <c r="C202" s="1637"/>
      <c r="D202" s="352"/>
      <c r="K202" s="1161"/>
      <c r="L202" s="1637"/>
      <c r="M202" s="1637"/>
      <c r="N202" s="1161"/>
      <c r="O202" s="1161"/>
      <c r="P202" s="1161"/>
      <c r="Q202" s="1161"/>
      <c r="R202" s="1637"/>
      <c r="S202" s="1161"/>
      <c r="T202" s="1161"/>
      <c r="U202" s="545"/>
      <c r="V202" s="1161"/>
      <c r="W202" s="1161"/>
      <c r="X202" s="1161"/>
      <c r="Y202" s="1161"/>
      <c r="Z202" s="1161"/>
      <c r="AA202" s="1633"/>
      <c r="AB202" s="567"/>
      <c r="AC202" s="567"/>
      <c r="AD202" s="567"/>
      <c r="AE202" s="567"/>
      <c r="AF202" s="1642">
        <v>11</v>
      </c>
    </row>
    <row customHeight="1" ht="11.549999999999999">
      <c r="AF203" s="1632">
        <v>11</v>
      </c>
    </row>
    <row customHeight="1" ht="11.549999999999999">
      <c r="AF204" s="1632">
        <v>11</v>
      </c>
    </row>
    <row customHeight="1" ht="11.549999999999999">
      <c r="AF205" s="1632">
        <v>11</v>
      </c>
    </row>
    <row customHeight="1" ht="11.549999999999999">
      <c r="A206" s="991"/>
      <c r="B206" s="1632"/>
      <c r="D206" s="1632"/>
      <c r="K206" s="1632"/>
      <c r="N206" s="1632"/>
      <c r="O206" s="1632"/>
      <c r="P206" s="1632"/>
      <c r="Q206" s="1632"/>
      <c r="S206" s="1632"/>
      <c r="T206" s="1632"/>
      <c r="U206" s="1632"/>
      <c r="V206" s="1632"/>
      <c r="W206" s="1632"/>
      <c r="X206" s="1632"/>
      <c r="Y206" s="1632"/>
      <c r="Z206" s="1632"/>
      <c r="AA206" s="1632"/>
      <c r="AB206" s="1632"/>
      <c r="AC206" s="1632"/>
      <c r="AD206" s="1632"/>
      <c r="AE206" s="1632"/>
      <c r="AF206" s="1632">
        <v>11</v>
      </c>
    </row>
    <row customHeight="1" ht="11.549999999999999">
      <c r="A207" s="991"/>
      <c r="B207" s="1632"/>
      <c r="D207" s="1632"/>
      <c r="K207" s="1632"/>
      <c r="N207" s="1632"/>
      <c r="O207" s="1632"/>
      <c r="P207" s="1632"/>
      <c r="Q207" s="1632"/>
      <c r="S207" s="1632"/>
      <c r="T207" s="1632"/>
      <c r="U207" s="1632"/>
      <c r="V207" s="1632"/>
      <c r="W207" s="1632"/>
      <c r="X207" s="1632"/>
      <c r="Y207" s="1632"/>
      <c r="Z207" s="1632"/>
      <c r="AA207" s="1632"/>
      <c r="AB207" s="1632"/>
      <c r="AC207" s="1632"/>
      <c r="AD207" s="1632"/>
      <c r="AE207" s="1632"/>
      <c r="AF207" s="1632">
        <v>11</v>
      </c>
    </row>
    <row customHeight="1" ht="11.549999999999999">
      <c r="A208" s="991"/>
      <c r="B208" s="1632"/>
      <c r="D208" s="1632"/>
      <c r="K208" s="1632"/>
      <c r="N208" s="1632"/>
      <c r="O208" s="1632"/>
      <c r="P208" s="1632"/>
      <c r="Q208" s="1632"/>
      <c r="S208" s="1632"/>
      <c r="T208" s="1632"/>
      <c r="U208" s="1632"/>
      <c r="V208" s="1632"/>
      <c r="W208" s="1632"/>
      <c r="X208" s="1632"/>
      <c r="Y208" s="1632"/>
      <c r="Z208" s="1632"/>
      <c r="AA208" s="1632"/>
      <c r="AB208" s="1632"/>
      <c r="AC208" s="1632"/>
      <c r="AD208" s="1632"/>
      <c r="AE208" s="1632"/>
      <c r="AF208" s="1632">
        <v>11</v>
      </c>
    </row>
    <row customHeight="1" ht="11.549999999999999">
      <c r="A209" s="991"/>
      <c r="B209" s="1632"/>
      <c r="D209" s="1632"/>
      <c r="K209" s="1632"/>
      <c r="N209" s="1632"/>
      <c r="O209" s="1632"/>
      <c r="P209" s="1632"/>
      <c r="Q209" s="1632"/>
      <c r="S209" s="1632"/>
      <c r="T209" s="1632"/>
      <c r="U209" s="1632"/>
      <c r="V209" s="1632"/>
      <c r="W209" s="1632"/>
      <c r="X209" s="1632"/>
      <c r="Y209" s="1632"/>
      <c r="Z209" s="1632"/>
      <c r="AA209" s="1632"/>
      <c r="AB209" s="1632"/>
      <c r="AC209" s="1632"/>
      <c r="AD209" s="1632"/>
      <c r="AE209" s="1632"/>
      <c r="AF209" s="1632">
        <v>11</v>
      </c>
    </row>
    <row customHeight="1" ht="11.549999999999999">
      <c r="A210" s="991"/>
      <c r="B210" s="1632"/>
      <c r="D210" s="1632"/>
      <c r="K210" s="1632"/>
      <c r="N210" s="1632"/>
      <c r="O210" s="1632"/>
      <c r="P210" s="1632"/>
      <c r="Q210" s="1632"/>
      <c r="S210" s="1632"/>
      <c r="T210" s="1632"/>
      <c r="U210" s="1632"/>
      <c r="V210" s="1632"/>
      <c r="W210" s="1632"/>
      <c r="X210" s="1632"/>
      <c r="Y210" s="1632"/>
      <c r="Z210" s="1632"/>
      <c r="AA210" s="1632"/>
      <c r="AB210" s="1632"/>
      <c r="AC210" s="1632"/>
      <c r="AD210" s="1632"/>
      <c r="AE210" s="1632"/>
      <c r="AF210" s="1632">
        <v>11</v>
      </c>
    </row>
    <row customHeight="1" ht="11.549999999999999">
      <c r="A211" s="991"/>
      <c r="B211" s="1632"/>
      <c r="D211" s="1632"/>
      <c r="K211" s="1632"/>
      <c r="N211" s="1632"/>
      <c r="O211" s="1632"/>
      <c r="P211" s="1632"/>
      <c r="Q211" s="1632"/>
      <c r="S211" s="1632"/>
      <c r="T211" s="1632"/>
      <c r="U211" s="1632"/>
      <c r="V211" s="1632"/>
      <c r="W211" s="1632"/>
      <c r="X211" s="1632"/>
      <c r="Y211" s="1632"/>
      <c r="Z211" s="1632"/>
      <c r="AA211" s="1632"/>
      <c r="AB211" s="1632"/>
      <c r="AC211" s="1632"/>
      <c r="AD211" s="1632"/>
      <c r="AE211" s="1632"/>
      <c r="AF211" s="1632">
        <v>11</v>
      </c>
    </row>
    <row customHeight="1" ht="11.549999999999999">
      <c r="A212" s="991"/>
      <c r="B212" s="1632"/>
      <c r="D212" s="1632"/>
      <c r="K212" s="1632"/>
      <c r="N212" s="1632"/>
      <c r="O212" s="1632"/>
      <c r="P212" s="1632"/>
      <c r="Q212" s="1632"/>
      <c r="S212" s="1632"/>
      <c r="T212" s="1632"/>
      <c r="U212" s="1632"/>
      <c r="V212" s="1632"/>
      <c r="W212" s="1632"/>
      <c r="X212" s="1632"/>
      <c r="Y212" s="1632"/>
      <c r="Z212" s="1632"/>
      <c r="AA212" s="1632"/>
      <c r="AB212" s="1632"/>
      <c r="AC212" s="1632"/>
      <c r="AD212" s="1632"/>
      <c r="AE212" s="1632"/>
      <c r="AF212" s="1632">
        <v>11</v>
      </c>
    </row>
    <row customHeight="1" ht="11.549999999999999">
      <c r="A213" s="991"/>
      <c r="B213" s="1632"/>
      <c r="D213" s="1632"/>
      <c r="K213" s="1632"/>
      <c r="N213" s="1632"/>
      <c r="O213" s="1632"/>
      <c r="P213" s="1632"/>
      <c r="Q213" s="1632"/>
      <c r="S213" s="1632"/>
      <c r="T213" s="1632"/>
      <c r="U213" s="1632"/>
      <c r="V213" s="1632"/>
      <c r="W213" s="1632"/>
      <c r="X213" s="1632"/>
      <c r="Y213" s="1632"/>
      <c r="Z213" s="1632"/>
      <c r="AA213" s="1632"/>
      <c r="AB213" s="1632"/>
      <c r="AC213" s="1632"/>
      <c r="AD213" s="1632"/>
      <c r="AE213" s="1632"/>
      <c r="AF213" s="1632">
        <v>11</v>
      </c>
    </row>
    <row customHeight="1" ht="11.549999999999999">
      <c r="A214" s="991"/>
      <c r="B214" s="1632"/>
      <c r="D214" s="1632"/>
      <c r="K214" s="1632"/>
      <c r="N214" s="1632"/>
      <c r="O214" s="1632"/>
      <c r="P214" s="1632"/>
      <c r="Q214" s="1632"/>
      <c r="S214" s="1632"/>
      <c r="T214" s="1632"/>
      <c r="U214" s="1632"/>
      <c r="V214" s="1632"/>
      <c r="W214" s="1632"/>
      <c r="X214" s="1632"/>
      <c r="Y214" s="1632"/>
      <c r="Z214" s="1632"/>
      <c r="AA214" s="1632"/>
      <c r="AB214" s="1632"/>
      <c r="AC214" s="1632"/>
      <c r="AD214" s="1632"/>
      <c r="AE214" s="1632"/>
      <c r="AF214" s="1632">
        <v>11</v>
      </c>
    </row>
    <row customHeight="1" ht="11.549999999999999">
      <c r="A215" s="991"/>
      <c r="B215" s="1632"/>
      <c r="D215" s="1632"/>
      <c r="K215" s="1632"/>
      <c r="N215" s="1632"/>
      <c r="O215" s="1632"/>
      <c r="P215" s="1632"/>
      <c r="Q215" s="1632"/>
      <c r="S215" s="1632"/>
      <c r="T215" s="1632"/>
      <c r="U215" s="1632"/>
      <c r="V215" s="1632"/>
      <c r="W215" s="1632"/>
      <c r="X215" s="1632"/>
      <c r="Y215" s="1632"/>
      <c r="Z215" s="1632"/>
      <c r="AA215" s="1632"/>
      <c r="AB215" s="1632"/>
      <c r="AC215" s="1632"/>
      <c r="AD215" s="1632"/>
      <c r="AE215" s="1632"/>
      <c r="AF215" s="1632">
        <v>11</v>
      </c>
    </row>
    <row customHeight="1" ht="11.549999999999999">
      <c r="A216" s="991"/>
      <c r="B216" s="1632"/>
      <c r="D216" s="1632"/>
      <c r="K216" s="1632"/>
      <c r="N216" s="1632"/>
      <c r="O216" s="1632"/>
      <c r="P216" s="1632"/>
      <c r="Q216" s="1632"/>
      <c r="S216" s="1632"/>
      <c r="T216" s="1632"/>
      <c r="U216" s="1632"/>
      <c r="V216" s="1632"/>
      <c r="W216" s="1632"/>
      <c r="X216" s="1632"/>
      <c r="Y216" s="1632"/>
      <c r="Z216" s="1632"/>
      <c r="AA216" s="1632"/>
      <c r="AB216" s="1632"/>
      <c r="AC216" s="1632"/>
      <c r="AD216" s="1632"/>
      <c r="AE216" s="1632"/>
      <c r="AF216" s="1632">
        <v>11</v>
      </c>
    </row>
    <row customHeight="1" ht="11.25" hidden="1">
      <c r="A217" s="988" t="s">
        <v>86</v>
      </c>
      <c r="B217" s="1161">
        <v>0</v>
      </c>
      <c r="C217" s="1637">
        <v>0</v>
      </c>
      <c r="D217" s="1636">
        <v>3</v>
      </c>
      <c r="E217" s="1632">
        <v>7</v>
      </c>
      <c r="F217" s="1632">
        <v>56</v>
      </c>
      <c r="G217" s="1632">
        <v>10</v>
      </c>
      <c r="H217" s="1632">
        <v>0</v>
      </c>
      <c r="I217" s="1632">
        <v>40</v>
      </c>
      <c r="J217" s="1632">
        <v>102</v>
      </c>
      <c r="K217" s="1161">
        <v>9</v>
      </c>
      <c r="L217" s="1637">
        <v>5</v>
      </c>
      <c r="M217" s="1637">
        <v>3</v>
      </c>
      <c r="N217" s="1161">
        <v>3</v>
      </c>
      <c r="O217" s="1161">
        <v>3</v>
      </c>
      <c r="P217" s="1161">
        <v>3</v>
      </c>
      <c r="Q217" s="1161">
        <v>3</v>
      </c>
      <c r="R217" s="1637">
        <v>10</v>
      </c>
      <c r="S217" s="1161">
        <v>34</v>
      </c>
      <c r="T217" s="1161">
        <v>9</v>
      </c>
      <c r="U217" s="545">
        <v>8</v>
      </c>
      <c r="V217" s="1161">
        <v>8</v>
      </c>
      <c r="W217" s="1161">
        <v>8</v>
      </c>
      <c r="X217" s="1161">
        <v>8</v>
      </c>
      <c r="Y217" s="1161">
        <v>8</v>
      </c>
      <c r="Z217" s="1161">
        <v>8</v>
      </c>
      <c r="AA217" s="1633">
        <v>8</v>
      </c>
      <c r="AB217" s="1633">
        <v>8</v>
      </c>
      <c r="AC217" s="1633">
        <v>8</v>
      </c>
      <c r="AD217" s="1633">
        <v>8</v>
      </c>
      <c r="AE217" s="1633">
        <v>8</v>
      </c>
      <c r="AF217" s="1632">
        <v>11</v>
      </c>
    </row>
  </sheetData>
  <sheetProtection formatColumns="0" formatRows="0" autoFilter="0" sort="0" insertRows="0" insertColumns="1" deleteRows="0" deleteColumns="0"/>
  <mergeCells count="7">
    <mergeCell ref="E6:I6"/>
    <mergeCell ref="E7:I7"/>
    <mergeCell ref="F10:G10"/>
    <mergeCell ref="J10:J14"/>
    <mergeCell ref="F11:G11"/>
    <mergeCell ref="F12:G12"/>
    <mergeCell ref="E13:G13"/>
  </mergeCells>
  <dataValidations count="5">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H33:I33">
      <formula1>900</formula1>
    </dataValidation>
    <dataValidation type="decimal" allowBlank="1" showErrorMessage="1" errorTitle="Ошибка" error="Допускается ввод только неотрицательных чисел!" sqref="H38:I39 H2:I2 H15:I15 H17:I32 H35:I35 H44:I46">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43:I43">
      <formula1>900</formula1>
    </dataValidation>
    <dataValidation type="decimal" allowBlank="1" showErrorMessage="1" errorTitle="Ошибка" error="Допускается ввод только действительных чисел!" sqref="H36:I37">
      <formula1>-9.99999999999999E+23</formula1>
      <formula2>9.99999999999999E+23</formula2>
    </dataValidation>
    <dataValidation type="decimal" allowBlank="1" showErrorMessage="1" errorTitle="Ошибка" error="Допускается ввод только действительных чисел!" sqref="H40:I42">
      <formula1>-9.99999999999999E+37</formula1>
      <formula2>9.99999999999999E+37</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3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424D323-67D8-63C8-F8A8-84601CEA4FEB}" mc:Ignorable="x14ac xr xr2 xr3">
  <sheetPr>
    <tabColor theme="9" tint="-0.25"/>
  </sheetPr>
  <dimension ref="A1:AF210"/>
  <sheetViews>
    <sheetView showGridLines="0" zoomScale="90" workbookViewId="0">
      <pane xSplit="8" ySplit="14" topLeftCell="I15" activePane="bottomRight" state="frozen"/>
      <selection pane="bottomLeft" activeCell="A15" sqref="A15"/>
      <selection pane="topRight" activeCell="I1" sqref="I1"/>
      <selection pane="bottomRight" activeCell="A1" sqref="A1"/>
    </sheetView>
  </sheetViews>
  <sheetFormatPr defaultColWidth="9.140625" customHeight="1" defaultRowHeight="11.25"/>
  <cols>
    <col min="1" max="1" style="988" width="10.7109375" hidden="1" customWidth="1"/>
    <col min="2" max="2" style="1367" width="16.8515625" hidden="1" customWidth="1"/>
    <col min="3" max="3" style="1643" width="5.57421875" hidden="1" customWidth="1"/>
    <col min="4" max="4" style="1636" width="3.00390625" customWidth="1"/>
    <col min="5" max="5" style="1636" width="7.00390625" customWidth="1"/>
    <col min="6" max="6" style="1636" width="54.00390625" customWidth="1"/>
    <col min="7" max="7" style="1636" width="10.00390625" customWidth="1"/>
    <col min="8" max="8" style="1636" width="40.7109375" hidden="1" customWidth="1"/>
    <col min="9" max="9" style="1636" width="40.00390625" customWidth="1"/>
    <col min="10" max="10" style="1636" width="102.00390625" customWidth="1"/>
    <col min="11" max="11" style="1367" width="9.00390625" customWidth="1"/>
    <col min="12" max="12" style="1643" width="5.00390625" customWidth="1"/>
    <col min="13" max="13" style="1643" width="3.00390625" customWidth="1"/>
    <col min="14" max="17" style="1367" width="3.00390625" customWidth="1"/>
    <col min="18" max="18" style="1643" width="10.00390625" customWidth="1"/>
    <col min="19" max="19" style="1367" width="34.00390625" customWidth="1"/>
    <col min="20" max="20" style="1367" width="9.00390625" customWidth="1"/>
    <col min="21" max="21" style="737" width="8.00390625" customWidth="1"/>
    <col min="22" max="26" style="1367" width="8.00390625" customWidth="1"/>
    <col min="27" max="31" style="1633" width="8.00390625" customWidth="1"/>
    <col min="32" max="32" style="1636" width="9.140625" hidden="1"/>
  </cols>
  <sheetData>
    <row s="1367" customFormat="1" customHeight="1" ht="22.5" hidden="1">
      <c r="A1" s="988"/>
      <c r="C1" s="1637"/>
      <c r="D1" s="538"/>
      <c r="H1" s="1161">
        <v>4</v>
      </c>
      <c r="I1" s="1161">
        <v>4</v>
      </c>
      <c r="L1" s="1637"/>
      <c r="M1" s="1637"/>
      <c r="R1" s="1637"/>
      <c r="AF1" s="1161" t="s">
        <v>14</v>
      </c>
    </row>
    <row s="1367" customFormat="1" customHeight="1" ht="22.5" hidden="1">
      <c r="A2" s="988"/>
      <c r="C2" s="1637"/>
      <c r="D2" s="539"/>
      <c r="E2" s="1659"/>
      <c r="F2" s="541"/>
      <c r="G2" s="1658" t="s">
        <v>683</v>
      </c>
      <c r="H2" s="542"/>
      <c r="I2" s="542"/>
      <c r="J2" s="543" t="s">
        <v>686</v>
      </c>
      <c r="K2" s="544"/>
      <c r="L2" s="1637"/>
      <c r="M2" s="1637"/>
      <c r="R2" s="1637"/>
      <c r="U2" s="545"/>
      <c r="AA2" s="1633"/>
      <c r="AB2" s="1633"/>
      <c r="AC2" s="1633"/>
      <c r="AD2" s="1633"/>
      <c r="AE2" s="1633"/>
      <c r="AF2" s="1161">
        <v>0</v>
      </c>
    </row>
    <row customHeight="1" ht="11.25" hidden="1">
      <c r="AF3" s="1632">
        <v>0</v>
      </c>
    </row>
    <row s="1633" customFormat="1" customHeight="1" ht="11.25" hidden="1">
      <c r="A4" s="988"/>
      <c r="B4" s="1161"/>
      <c r="C4" s="1637"/>
      <c r="D4" s="363"/>
      <c r="J4" s="1633">
        <v>4</v>
      </c>
      <c r="K4" s="1161"/>
      <c r="L4" s="1637"/>
      <c r="M4" s="1637"/>
      <c r="N4" s="1161"/>
      <c r="O4" s="1161"/>
      <c r="P4" s="1161"/>
      <c r="Q4" s="1161"/>
      <c r="R4" s="1637"/>
      <c r="S4" s="1161"/>
      <c r="T4" s="1161"/>
      <c r="U4" s="545"/>
      <c r="V4" s="1161"/>
      <c r="W4" s="1161"/>
      <c r="X4" s="1161"/>
      <c r="Y4" s="1161"/>
      <c r="Z4" s="1161"/>
      <c r="AF4" s="1633">
        <v>0</v>
      </c>
    </row>
    <row customHeight="1" ht="11.549999999999999">
      <c r="AF5" s="1632">
        <v>11</v>
      </c>
    </row>
    <row customHeight="1" ht="33.75">
      <c r="E6" s="2249" t="s">
        <v>905</v>
      </c>
      <c r="F6" s="2249"/>
      <c r="G6" s="2249"/>
      <c r="H6" s="2249"/>
      <c r="I6" s="2249"/>
      <c r="J6" s="557"/>
      <c r="AF6" s="1632">
        <v>32</v>
      </c>
    </row>
    <row customHeight="1" ht="25.2">
      <c r="E7" s="2250" t="str">
        <f>IF(org=0,"Не определено",org)</f>
        <v>ПАО "ТГК-1" (филиал "Кольский")</v>
      </c>
      <c r="F7" s="2250"/>
      <c r="G7" s="2250"/>
      <c r="H7" s="2250"/>
      <c r="I7" s="2250"/>
      <c r="AF7" s="1632">
        <v>24</v>
      </c>
    </row>
    <row customHeight="1" ht="11.549999999999999">
      <c r="E8" s="1136"/>
      <c r="F8" s="1136"/>
      <c r="G8" s="1136"/>
      <c r="H8" s="1136"/>
      <c r="I8" s="1136"/>
      <c r="AF8" s="1632">
        <v>11</v>
      </c>
    </row>
    <row s="1643" customFormat="1" customHeight="1" ht="1.05">
      <c r="A9" s="1168"/>
      <c r="D9" s="1643"/>
      <c r="H9" s="890"/>
      <c r="I9" s="890" t="s">
        <v>130</v>
      </c>
      <c r="AF9" s="1637">
        <v>1</v>
      </c>
    </row>
    <row customHeight="1" ht="11.549999999999999">
      <c r="E10" s="712"/>
      <c r="F10" s="2368" t="s">
        <v>119</v>
      </c>
      <c r="G10" s="2369"/>
      <c r="H10" s="1660" t="str">
        <f>IF(H9="","",INDEX(DIFFERENTIATION_UNMERGE_VD,MATCH(H9,DIFFERENTIATION_ID_DIFF,0)))</f>
        <v/>
      </c>
      <c r="I10" s="1660">
        <f>IF(I9="","",INDEX(DIFFERENTIATION_UNMERGE_VD,MATCH(I9,DIFFERENTIATION_ID_DIFF,0)))</f>
        <v>0</v>
      </c>
      <c r="J10" s="2128"/>
      <c r="AF10" s="1632">
        <v>11</v>
      </c>
    </row>
    <row customHeight="1" ht="11.549999999999999">
      <c r="E11" s="712"/>
      <c r="F11" s="2368" t="s">
        <v>695</v>
      </c>
      <c r="G11" s="2369"/>
      <c r="H11" s="1660" t="str">
        <f>IF(H9="","",INDEX(DIFFERENTIATION_UNMERGE_AREA,MATCH(H9,DIFFERENTIATION_ID_DIFF,0)))</f>
        <v/>
      </c>
      <c r="I11" s="1660" t="str">
        <f>IF(I9="","",INDEX(DIFFERENTIATION_UNMERGE_AREA,MATCH(I9,DIFFERENTIATION_ID_DIFF,0)))</f>
        <v/>
      </c>
      <c r="J11" s="2128"/>
      <c r="AF11" s="1632">
        <v>11</v>
      </c>
    </row>
    <row customHeight="1" ht="11.25" hidden="1">
      <c r="E12" s="1663"/>
      <c r="F12" s="2391" t="s">
        <v>696</v>
      </c>
      <c r="G12" s="2392"/>
      <c r="H12" s="1664" t="str">
        <f>IF(H9="","",INDEX(DIFFERENTIATION_UNMERGE_SYSTEM,MATCH(H9,DIFFERENTIATION_ID_DIFF,0)))</f>
        <v/>
      </c>
      <c r="I12" s="1664" t="str">
        <f>IF(I9="","",INDEX(DIFFERENTIATION_UNMERGE_SYSTEM,MATCH(I9,DIFFERENTIATION_ID_DIFF,0)))</f>
        <v>без дифференциации</v>
      </c>
      <c r="J12" s="2128"/>
      <c r="AF12" s="1632">
        <v>0</v>
      </c>
    </row>
    <row customHeight="1" ht="11.549999999999999">
      <c r="E13" s="2370" t="s">
        <v>430</v>
      </c>
      <c r="F13" s="2371"/>
      <c r="G13" s="2371"/>
      <c r="H13" s="1657"/>
      <c r="I13" s="1657"/>
      <c r="J13" s="2128"/>
      <c r="AF13" s="1632">
        <v>11</v>
      </c>
    </row>
    <row customHeight="1" ht="24">
      <c r="E14" s="1658" t="s">
        <v>92</v>
      </c>
      <c r="F14" s="1661" t="s">
        <v>432</v>
      </c>
      <c r="G14" s="1661" t="s">
        <v>697</v>
      </c>
      <c r="H14" s="1661" t="s">
        <v>433</v>
      </c>
      <c r="I14" s="1661" t="s">
        <v>433</v>
      </c>
      <c r="J14" s="2128"/>
      <c r="AF14" s="1632">
        <v>23</v>
      </c>
    </row>
    <row customHeight="1" ht="19.95">
      <c r="D15" s="1639"/>
      <c r="E15" s="1631" t="s">
        <v>123</v>
      </c>
      <c r="F15" s="708" t="s">
        <v>906</v>
      </c>
      <c r="G15" s="1658" t="s">
        <v>683</v>
      </c>
      <c r="H15" s="558"/>
      <c r="I15" s="558"/>
      <c r="J15" s="290" t="s">
        <v>907</v>
      </c>
      <c r="K15" s="544" t="s">
        <v>761</v>
      </c>
      <c r="AF15" s="1632">
        <v>19</v>
      </c>
    </row>
    <row customHeight="1" ht="24">
      <c r="D16" s="1639"/>
      <c r="E16" s="1631" t="s">
        <v>107</v>
      </c>
      <c r="F16" s="1666" t="s">
        <v>908</v>
      </c>
      <c r="G16" s="1658" t="s">
        <v>683</v>
      </c>
      <c r="H16" s="559">
        <f>SUM(H17,H20:H27)</f>
        <v>0</v>
      </c>
      <c r="I16" s="559">
        <f>SUM(I17,I20:I27)</f>
        <v>0</v>
      </c>
      <c r="J16" s="290" t="s">
        <v>909</v>
      </c>
      <c r="K16" s="544" t="s">
        <v>761</v>
      </c>
      <c r="AF16" s="1632">
        <v>23</v>
      </c>
    </row>
    <row customHeight="1" ht="35.699999999999996">
      <c r="D17" s="1639"/>
      <c r="E17" s="1665" t="s">
        <v>839</v>
      </c>
      <c r="F17" s="1668" t="s">
        <v>910</v>
      </c>
      <c r="G17" s="1655" t="s">
        <v>683</v>
      </c>
      <c r="H17" s="558"/>
      <c r="I17" s="558"/>
      <c r="J17" s="290" t="s">
        <v>911</v>
      </c>
      <c r="K17" s="544"/>
      <c r="AF17" s="1632">
        <v>34</v>
      </c>
    </row>
    <row customHeight="1" ht="19.95">
      <c r="D18" s="1639"/>
      <c r="E18" s="1665" t="s">
        <v>842</v>
      </c>
      <c r="F18" s="1669" t="s">
        <v>912</v>
      </c>
      <c r="G18" s="1655" t="s">
        <v>683</v>
      </c>
      <c r="H18" s="558"/>
      <c r="I18" s="558"/>
      <c r="J18" s="290"/>
      <c r="K18" s="544"/>
      <c r="AF18" s="1632">
        <v>19</v>
      </c>
    </row>
    <row customHeight="1" ht="24">
      <c r="D19" s="1639"/>
      <c r="E19" s="1665" t="s">
        <v>845</v>
      </c>
      <c r="F19" s="1669" t="s">
        <v>913</v>
      </c>
      <c r="G19" s="1655" t="s">
        <v>683</v>
      </c>
      <c r="H19" s="558"/>
      <c r="I19" s="558"/>
      <c r="J19" s="290"/>
      <c r="K19" s="544"/>
      <c r="AF19" s="1632">
        <v>23</v>
      </c>
    </row>
    <row customHeight="1" ht="35.699999999999996">
      <c r="D20" s="1639"/>
      <c r="E20" s="1665" t="s">
        <v>437</v>
      </c>
      <c r="F20" s="1668" t="s">
        <v>914</v>
      </c>
      <c r="G20" s="1655" t="s">
        <v>683</v>
      </c>
      <c r="H20" s="558"/>
      <c r="I20" s="558"/>
      <c r="J20" s="290"/>
      <c r="K20" s="544"/>
      <c r="AF20" s="1632">
        <v>34</v>
      </c>
    </row>
    <row customHeight="1" ht="48.29999999999999">
      <c r="D21" s="1639"/>
      <c r="E21" s="1665" t="s">
        <v>440</v>
      </c>
      <c r="F21" s="1668" t="s">
        <v>915</v>
      </c>
      <c r="G21" s="1655" t="s">
        <v>683</v>
      </c>
      <c r="H21" s="558"/>
      <c r="I21" s="558"/>
      <c r="J21" s="290"/>
      <c r="K21" s="544"/>
      <c r="AF21" s="1632">
        <v>46</v>
      </c>
    </row>
    <row customHeight="1" ht="60">
      <c r="D22" s="1639"/>
      <c r="E22" s="1665" t="s">
        <v>859</v>
      </c>
      <c r="F22" s="1668" t="s">
        <v>916</v>
      </c>
      <c r="G22" s="1655" t="s">
        <v>683</v>
      </c>
      <c r="H22" s="558"/>
      <c r="I22" s="558"/>
      <c r="J22" s="290"/>
      <c r="K22" s="544"/>
      <c r="AF22" s="1632">
        <v>57</v>
      </c>
    </row>
    <row customHeight="1" ht="35.699999999999996">
      <c r="D23" s="1639"/>
      <c r="E23" s="1665" t="s">
        <v>866</v>
      </c>
      <c r="F23" s="1668" t="s">
        <v>917</v>
      </c>
      <c r="G23" s="1655" t="s">
        <v>683</v>
      </c>
      <c r="H23" s="558"/>
      <c r="I23" s="558"/>
      <c r="J23" s="290"/>
      <c r="K23" s="544"/>
      <c r="AF23" s="1632">
        <v>34</v>
      </c>
    </row>
    <row customHeight="1" ht="35.699999999999996">
      <c r="D24" s="1639"/>
      <c r="E24" s="1665" t="s">
        <v>868</v>
      </c>
      <c r="F24" s="1668" t="s">
        <v>918</v>
      </c>
      <c r="G24" s="1655" t="s">
        <v>683</v>
      </c>
      <c r="H24" s="558"/>
      <c r="I24" s="558"/>
      <c r="J24" s="290"/>
      <c r="K24" s="544"/>
      <c r="AF24" s="1632">
        <v>34</v>
      </c>
    </row>
    <row customHeight="1" ht="24">
      <c r="D25" s="1639"/>
      <c r="E25" s="1665" t="s">
        <v>870</v>
      </c>
      <c r="F25" s="1668" t="s">
        <v>919</v>
      </c>
      <c r="G25" s="1655" t="s">
        <v>683</v>
      </c>
      <c r="H25" s="558"/>
      <c r="I25" s="558"/>
      <c r="J25" s="290"/>
      <c r="K25" s="544"/>
      <c r="AF25" s="1632">
        <v>23</v>
      </c>
    </row>
    <row customHeight="1" ht="76.5">
      <c r="D26" s="1639"/>
      <c r="E26" s="1665" t="s">
        <v>872</v>
      </c>
      <c r="F26" s="1668" t="s">
        <v>920</v>
      </c>
      <c r="G26" s="1655" t="s">
        <v>683</v>
      </c>
      <c r="H26" s="558"/>
      <c r="I26" s="558"/>
      <c r="J26" s="290"/>
      <c r="K26" s="544"/>
      <c r="AF26" s="1632">
        <v>73</v>
      </c>
    </row>
    <row s="1367" customFormat="1" customHeight="1" ht="35.699999999999996">
      <c r="A27" s="988"/>
      <c r="C27" s="1637"/>
      <c r="D27" s="1639"/>
      <c r="E27" s="1630" t="s">
        <v>876</v>
      </c>
      <c r="F27" s="1629" t="s">
        <v>921</v>
      </c>
      <c r="G27" s="1656" t="s">
        <v>683</v>
      </c>
      <c r="H27" s="580">
        <f>SUM(H28:H29)</f>
        <v>0</v>
      </c>
      <c r="I27" s="580">
        <f>SUM(I28:I29)</f>
        <v>0</v>
      </c>
      <c r="J27" s="290" t="s">
        <v>874</v>
      </c>
      <c r="K27" s="544"/>
      <c r="L27" s="1637"/>
      <c r="M27" s="1637"/>
      <c r="R27" s="1637"/>
      <c r="U27" s="545"/>
      <c r="AA27" s="1633"/>
      <c r="AB27" s="1633"/>
      <c r="AC27" s="1633"/>
      <c r="AD27" s="1633"/>
      <c r="AE27" s="1633"/>
      <c r="AF27" s="1161">
        <v>34</v>
      </c>
    </row>
    <row s="1643" customFormat="1" customHeight="1" ht="1.05">
      <c r="A28" s="1168"/>
      <c r="D28" s="549"/>
      <c r="E28" s="803" t="str">
        <f>E27&amp;".0"</f>
        <v>2.9.0</v>
      </c>
      <c r="F28" s="992"/>
      <c r="G28" s="552"/>
      <c r="H28" s="993"/>
      <c r="I28" s="993"/>
      <c r="J28" s="994"/>
      <c r="AF28" s="1637">
        <v>1</v>
      </c>
    </row>
    <row s="1367" customFormat="1" customHeight="1" ht="19.95">
      <c r="A29" s="988"/>
      <c r="C29" s="1637"/>
      <c r="D29" s="1634"/>
      <c r="E29" s="571"/>
      <c r="F29" s="1667" t="s">
        <v>708</v>
      </c>
      <c r="G29" s="573"/>
      <c r="H29" s="574"/>
      <c r="I29" s="574"/>
      <c r="J29" s="302" t="s">
        <v>875</v>
      </c>
      <c r="K29" s="544"/>
      <c r="L29" s="1637"/>
      <c r="M29" s="1637"/>
      <c r="R29" s="1637"/>
      <c r="U29" s="545"/>
      <c r="AA29" s="1633"/>
      <c r="AB29" s="1633"/>
      <c r="AC29" s="1633"/>
      <c r="AD29" s="1633"/>
      <c r="AE29" s="1633"/>
      <c r="AF29" s="1161">
        <v>19</v>
      </c>
    </row>
    <row s="1367" customFormat="1" customHeight="1" ht="24">
      <c r="A30" s="988"/>
      <c r="C30" s="1637"/>
      <c r="D30" s="1639"/>
      <c r="E30" s="1665" t="s">
        <v>94</v>
      </c>
      <c r="F30" s="1662" t="s">
        <v>922</v>
      </c>
      <c r="G30" s="1655" t="s">
        <v>683</v>
      </c>
      <c r="H30" s="558"/>
      <c r="I30" s="558"/>
      <c r="J30" s="290"/>
      <c r="K30" s="544"/>
      <c r="L30" s="1637"/>
      <c r="M30" s="1637"/>
      <c r="R30" s="1637"/>
      <c r="U30" s="545"/>
      <c r="AA30" s="1633"/>
      <c r="AB30" s="1633"/>
      <c r="AC30" s="1633"/>
      <c r="AD30" s="1633"/>
      <c r="AE30" s="1633"/>
      <c r="AF30" s="1161">
        <v>23</v>
      </c>
    </row>
    <row s="1367" customFormat="1" customHeight="1" ht="35.699999999999996">
      <c r="A31" s="988"/>
      <c r="C31" s="1637"/>
      <c r="D31" s="576"/>
      <c r="E31" s="1665" t="s">
        <v>95</v>
      </c>
      <c r="F31" s="1662" t="s">
        <v>923</v>
      </c>
      <c r="G31" s="1655" t="s">
        <v>683</v>
      </c>
      <c r="H31" s="558"/>
      <c r="I31" s="558"/>
      <c r="J31" s="290" t="s">
        <v>924</v>
      </c>
      <c r="K31" s="544"/>
      <c r="L31" s="1637"/>
      <c r="M31" s="1637"/>
      <c r="R31" s="1637"/>
      <c r="U31" s="545"/>
      <c r="AA31" s="1633"/>
      <c r="AB31" s="1633"/>
      <c r="AC31" s="1633"/>
      <c r="AD31" s="1633"/>
      <c r="AE31" s="1633"/>
      <c r="AF31" s="1161">
        <v>34</v>
      </c>
    </row>
    <row s="1367" customFormat="1" customHeight="1" ht="24">
      <c r="A32" s="988"/>
      <c r="C32" s="1637"/>
      <c r="D32" s="1639"/>
      <c r="E32" s="1665" t="s">
        <v>884</v>
      </c>
      <c r="F32" s="691" t="s">
        <v>888</v>
      </c>
      <c r="G32" s="1655" t="s">
        <v>683</v>
      </c>
      <c r="H32" s="558"/>
      <c r="I32" s="558"/>
      <c r="J32" s="290" t="s">
        <v>925</v>
      </c>
      <c r="K32" s="544"/>
      <c r="L32" s="1637"/>
      <c r="M32" s="1637"/>
      <c r="R32" s="1637"/>
      <c r="U32" s="545"/>
      <c r="AA32" s="1633"/>
      <c r="AB32" s="1633"/>
      <c r="AC32" s="1633"/>
      <c r="AD32" s="1633"/>
      <c r="AE32" s="1633"/>
      <c r="AF32" s="1161">
        <v>23</v>
      </c>
    </row>
    <row s="1367" customFormat="1" customHeight="1" ht="24">
      <c r="A33" s="988"/>
      <c r="C33" s="1637"/>
      <c r="D33" s="1639"/>
      <c r="E33" s="1665" t="s">
        <v>926</v>
      </c>
      <c r="F33" s="691" t="s">
        <v>927</v>
      </c>
      <c r="G33" s="1655" t="s">
        <v>683</v>
      </c>
      <c r="H33" s="558"/>
      <c r="I33" s="558"/>
      <c r="J33" s="290" t="s">
        <v>928</v>
      </c>
      <c r="K33" s="544"/>
      <c r="L33" s="1637"/>
      <c r="M33" s="1637"/>
      <c r="R33" s="1637"/>
      <c r="U33" s="545"/>
      <c r="AA33" s="1633"/>
      <c r="AB33" s="1633"/>
      <c r="AC33" s="1633"/>
      <c r="AD33" s="1633"/>
      <c r="AE33" s="1633"/>
      <c r="AF33" s="1161">
        <v>23</v>
      </c>
    </row>
    <row s="1367" customFormat="1" customHeight="1" ht="24">
      <c r="A34" s="988"/>
      <c r="C34" s="1637"/>
      <c r="D34" s="1639"/>
      <c r="E34" s="1665" t="s">
        <v>929</v>
      </c>
      <c r="F34" s="691" t="s">
        <v>894</v>
      </c>
      <c r="G34" s="1655" t="s">
        <v>683</v>
      </c>
      <c r="H34" s="558"/>
      <c r="I34" s="558"/>
      <c r="J34" s="290" t="s">
        <v>930</v>
      </c>
      <c r="K34" s="544"/>
      <c r="L34" s="1637"/>
      <c r="M34" s="1637"/>
      <c r="R34" s="1637"/>
      <c r="U34" s="545"/>
      <c r="AA34" s="1633"/>
      <c r="AB34" s="1633"/>
      <c r="AC34" s="1633"/>
      <c r="AD34" s="1633"/>
      <c r="AE34" s="1633"/>
      <c r="AF34" s="1161">
        <v>23</v>
      </c>
    </row>
    <row s="1367" customFormat="1" customHeight="1" ht="35.699999999999996">
      <c r="A35" s="988"/>
      <c r="C35" s="1637" t="s">
        <v>719</v>
      </c>
      <c r="D35" s="1639"/>
      <c r="E35" s="1665" t="s">
        <v>124</v>
      </c>
      <c r="F35" s="1662" t="s">
        <v>760</v>
      </c>
      <c r="G35" s="1658" t="s">
        <v>436</v>
      </c>
      <c r="H35" s="402"/>
      <c r="I35" s="402"/>
      <c r="J35" s="290" t="s">
        <v>931</v>
      </c>
      <c r="K35" s="544"/>
      <c r="L35" s="1637"/>
      <c r="M35" s="1637"/>
      <c r="R35" s="1637"/>
      <c r="U35" s="545"/>
      <c r="AA35" s="1633"/>
      <c r="AB35" s="1633"/>
      <c r="AC35" s="1633"/>
      <c r="AD35" s="1633"/>
      <c r="AE35" s="1633"/>
      <c r="AF35" s="1161">
        <v>34</v>
      </c>
    </row>
    <row s="1367" customFormat="1" customHeight="1" ht="35.699999999999996">
      <c r="A36" s="988"/>
      <c r="C36" s="1637"/>
      <c r="D36" s="1639"/>
      <c r="E36" s="1665" t="s">
        <v>96</v>
      </c>
      <c r="F36" s="1662" t="s">
        <v>932</v>
      </c>
      <c r="G36" s="1655" t="s">
        <v>899</v>
      </c>
      <c r="H36" s="546"/>
      <c r="I36" s="546"/>
      <c r="J36" s="290" t="s">
        <v>900</v>
      </c>
      <c r="K36" s="544"/>
      <c r="L36" s="1637"/>
      <c r="M36" s="1637"/>
      <c r="R36" s="1637"/>
      <c r="U36" s="545"/>
      <c r="AA36" s="1633"/>
      <c r="AB36" s="1633"/>
      <c r="AC36" s="1633"/>
      <c r="AD36" s="1633"/>
      <c r="AE36" s="1633"/>
      <c r="AF36" s="1161">
        <v>34</v>
      </c>
    </row>
    <row s="1367" customFormat="1" customHeight="1" ht="24">
      <c r="A37" s="988"/>
      <c r="C37" s="1637"/>
      <c r="D37" s="1639"/>
      <c r="E37" s="1665" t="s">
        <v>97</v>
      </c>
      <c r="F37" s="1662" t="s">
        <v>933</v>
      </c>
      <c r="G37" s="1655" t="s">
        <v>902</v>
      </c>
      <c r="H37" s="546"/>
      <c r="I37" s="546"/>
      <c r="J37" s="290" t="s">
        <v>903</v>
      </c>
      <c r="K37" s="544"/>
      <c r="L37" s="1637"/>
      <c r="M37" s="1637"/>
      <c r="R37" s="1637"/>
      <c r="U37" s="545"/>
      <c r="AA37" s="1633"/>
      <c r="AB37" s="1633"/>
      <c r="AC37" s="1633"/>
      <c r="AD37" s="1633"/>
      <c r="AE37" s="1633"/>
      <c r="AF37" s="1161">
        <v>23</v>
      </c>
    </row>
    <row customHeight="1" ht="11.549999999999999">
      <c r="D38" s="1639"/>
      <c r="AF38" s="1632">
        <v>11</v>
      </c>
    </row>
    <row customHeight="1" ht="27.299999999999997">
      <c r="D39" s="1639"/>
      <c r="E39" s="1254" t="s">
        <v>934</v>
      </c>
      <c r="F39" s="2286" t="s">
        <v>935</v>
      </c>
      <c r="G39" s="2286"/>
      <c r="H39" s="370"/>
      <c r="I39" s="370"/>
      <c r="J39" s="370"/>
      <c r="AF39" s="1632">
        <v>26</v>
      </c>
    </row>
    <row s="1642" customFormat="1" customHeight="1" ht="39.75">
      <c r="A40" s="988"/>
      <c r="B40" s="1637"/>
      <c r="C40" s="1637"/>
      <c r="D40" s="352"/>
      <c r="F40" s="2286" t="s">
        <v>936</v>
      </c>
      <c r="G40" s="2286"/>
      <c r="H40" s="370"/>
      <c r="I40" s="370"/>
      <c r="J40" s="370"/>
      <c r="K40" s="1161"/>
      <c r="L40" s="1637"/>
      <c r="M40" s="1637"/>
      <c r="N40" s="1161"/>
      <c r="O40" s="1161"/>
      <c r="P40" s="1161"/>
      <c r="Q40" s="1161"/>
      <c r="R40" s="1637"/>
      <c r="S40" s="1161"/>
      <c r="T40" s="1161"/>
      <c r="U40" s="545"/>
      <c r="V40" s="1161"/>
      <c r="W40" s="1161"/>
      <c r="X40" s="1161"/>
      <c r="Y40" s="1161"/>
      <c r="Z40" s="1161"/>
      <c r="AA40" s="1633"/>
      <c r="AB40" s="567"/>
      <c r="AC40" s="567"/>
      <c r="AD40" s="567"/>
      <c r="AE40" s="567"/>
      <c r="AF40" s="1642">
        <v>38</v>
      </c>
    </row>
    <row s="1642" customFormat="1" customHeight="1" ht="11.549999999999999">
      <c r="A41" s="988"/>
      <c r="B41" s="1637"/>
      <c r="C41" s="1637"/>
      <c r="D41" s="352"/>
      <c r="K41" s="1161"/>
      <c r="L41" s="1637"/>
      <c r="M41" s="1637"/>
      <c r="N41" s="1161"/>
      <c r="O41" s="1161"/>
      <c r="P41" s="1161"/>
      <c r="Q41" s="1161"/>
      <c r="R41" s="1637"/>
      <c r="S41" s="1161"/>
      <c r="T41" s="1161"/>
      <c r="U41" s="545"/>
      <c r="V41" s="1161"/>
      <c r="W41" s="1161"/>
      <c r="X41" s="1161"/>
      <c r="Y41" s="1161"/>
      <c r="Z41" s="1161"/>
      <c r="AA41" s="1633"/>
      <c r="AB41" s="567"/>
      <c r="AC41" s="567"/>
      <c r="AD41" s="567"/>
      <c r="AE41" s="567"/>
      <c r="AF41" s="1642">
        <v>11</v>
      </c>
    </row>
    <row s="1642" customFormat="1" customHeight="1" ht="11.549999999999999">
      <c r="A42" s="988"/>
      <c r="B42" s="1637"/>
      <c r="C42" s="1637"/>
      <c r="D42" s="352"/>
      <c r="K42" s="1161"/>
      <c r="L42" s="1637"/>
      <c r="M42" s="1637"/>
      <c r="N42" s="1161"/>
      <c r="O42" s="1161"/>
      <c r="P42" s="1161"/>
      <c r="Q42" s="1161"/>
      <c r="R42" s="1637"/>
      <c r="S42" s="1161"/>
      <c r="T42" s="1161"/>
      <c r="U42" s="545"/>
      <c r="V42" s="1161"/>
      <c r="W42" s="1161"/>
      <c r="X42" s="1161"/>
      <c r="Y42" s="1161"/>
      <c r="Z42" s="1161"/>
      <c r="AA42" s="1633"/>
      <c r="AB42" s="567"/>
      <c r="AC42" s="567"/>
      <c r="AD42" s="567"/>
      <c r="AE42" s="567"/>
      <c r="AF42" s="1642">
        <v>11</v>
      </c>
    </row>
    <row s="1642" customFormat="1" customHeight="1" ht="11.549999999999999">
      <c r="A43" s="988"/>
      <c r="B43" s="1637"/>
      <c r="C43" s="1637"/>
      <c r="D43" s="352"/>
      <c r="H43" s="567"/>
      <c r="I43" s="567"/>
      <c r="K43" s="1161"/>
      <c r="L43" s="1637"/>
      <c r="M43" s="1637"/>
      <c r="N43" s="1161"/>
      <c r="O43" s="1161"/>
      <c r="P43" s="1161"/>
      <c r="Q43" s="1161"/>
      <c r="R43" s="1637"/>
      <c r="S43" s="1161"/>
      <c r="T43" s="1161"/>
      <c r="U43" s="545"/>
      <c r="V43" s="1161"/>
      <c r="W43" s="1161"/>
      <c r="X43" s="1161"/>
      <c r="Y43" s="1161"/>
      <c r="Z43" s="1161"/>
      <c r="AA43" s="1633"/>
      <c r="AB43" s="567"/>
      <c r="AC43" s="567"/>
      <c r="AD43" s="567"/>
      <c r="AE43" s="567"/>
      <c r="AF43" s="1642">
        <v>11</v>
      </c>
    </row>
    <row s="1642" customFormat="1" customHeight="1" ht="11.549999999999999">
      <c r="A44" s="988"/>
      <c r="B44" s="1637"/>
      <c r="C44" s="1637"/>
      <c r="D44" s="352"/>
      <c r="K44" s="1161"/>
      <c r="L44" s="1637"/>
      <c r="M44" s="1637"/>
      <c r="N44" s="1161"/>
      <c r="O44" s="1161"/>
      <c r="P44" s="1161"/>
      <c r="Q44" s="1161"/>
      <c r="R44" s="1637"/>
      <c r="S44" s="1161"/>
      <c r="T44" s="1161"/>
      <c r="U44" s="545"/>
      <c r="V44" s="1161"/>
      <c r="W44" s="1161"/>
      <c r="X44" s="1161"/>
      <c r="Y44" s="1161"/>
      <c r="Z44" s="1161"/>
      <c r="AA44" s="1633"/>
      <c r="AB44" s="567"/>
      <c r="AC44" s="567"/>
      <c r="AD44" s="567"/>
      <c r="AE44" s="567"/>
      <c r="AF44" s="1642">
        <v>11</v>
      </c>
    </row>
    <row s="1642" customFormat="1" customHeight="1" ht="11.549999999999999">
      <c r="A45" s="988"/>
      <c r="B45" s="1637"/>
      <c r="C45" s="1637"/>
      <c r="D45" s="352"/>
      <c r="K45" s="1161"/>
      <c r="L45" s="1637"/>
      <c r="M45" s="1637"/>
      <c r="N45" s="1161"/>
      <c r="O45" s="1161"/>
      <c r="P45" s="1161"/>
      <c r="Q45" s="1161"/>
      <c r="R45" s="1637"/>
      <c r="S45" s="1161"/>
      <c r="T45" s="1161"/>
      <c r="U45" s="545"/>
      <c r="V45" s="1161"/>
      <c r="W45" s="1161"/>
      <c r="X45" s="1161"/>
      <c r="Y45" s="1161"/>
      <c r="Z45" s="1161"/>
      <c r="AA45" s="1633"/>
      <c r="AB45" s="567"/>
      <c r="AC45" s="567"/>
      <c r="AD45" s="567"/>
      <c r="AE45" s="567"/>
      <c r="AF45" s="1642">
        <v>11</v>
      </c>
    </row>
    <row s="1642" customFormat="1" customHeight="1" ht="11.549999999999999">
      <c r="A46" s="988"/>
      <c r="B46" s="1637"/>
      <c r="C46" s="1637"/>
      <c r="D46" s="352"/>
      <c r="K46" s="1161"/>
      <c r="L46" s="1637"/>
      <c r="M46" s="1637"/>
      <c r="N46" s="1161"/>
      <c r="O46" s="1161"/>
      <c r="P46" s="1161"/>
      <c r="Q46" s="1161"/>
      <c r="R46" s="1637"/>
      <c r="S46" s="1161"/>
      <c r="T46" s="1161"/>
      <c r="U46" s="545"/>
      <c r="V46" s="1161"/>
      <c r="W46" s="1161"/>
      <c r="X46" s="1161"/>
      <c r="Y46" s="1161"/>
      <c r="Z46" s="1161"/>
      <c r="AA46" s="1633"/>
      <c r="AB46" s="567"/>
      <c r="AC46" s="567"/>
      <c r="AD46" s="567"/>
      <c r="AE46" s="567"/>
      <c r="AF46" s="1642">
        <v>11</v>
      </c>
    </row>
    <row s="1642" customFormat="1" customHeight="1" ht="11.549999999999999">
      <c r="A47" s="988"/>
      <c r="B47" s="1637"/>
      <c r="C47" s="1637"/>
      <c r="D47" s="352"/>
      <c r="K47" s="1161"/>
      <c r="L47" s="1637"/>
      <c r="M47" s="1637"/>
      <c r="N47" s="1161"/>
      <c r="O47" s="1161"/>
      <c r="P47" s="1161"/>
      <c r="Q47" s="1161"/>
      <c r="R47" s="1637"/>
      <c r="S47" s="1161"/>
      <c r="T47" s="1161"/>
      <c r="U47" s="545"/>
      <c r="V47" s="1161"/>
      <c r="W47" s="1161"/>
      <c r="X47" s="1161"/>
      <c r="Y47" s="1161"/>
      <c r="Z47" s="1161"/>
      <c r="AA47" s="1633"/>
      <c r="AB47" s="567"/>
      <c r="AC47" s="567"/>
      <c r="AD47" s="567"/>
      <c r="AE47" s="567"/>
      <c r="AF47" s="1642">
        <v>11</v>
      </c>
    </row>
    <row s="1642" customFormat="1" customHeight="1" ht="11.549999999999999">
      <c r="A48" s="988"/>
      <c r="B48" s="1637"/>
      <c r="C48" s="1637"/>
      <c r="D48" s="352"/>
      <c r="K48" s="1161"/>
      <c r="L48" s="1637"/>
      <c r="M48" s="1637"/>
      <c r="N48" s="1161"/>
      <c r="O48" s="1161"/>
      <c r="P48" s="1161"/>
      <c r="Q48" s="1161"/>
      <c r="R48" s="1637"/>
      <c r="S48" s="1161"/>
      <c r="T48" s="1161"/>
      <c r="U48" s="545"/>
      <c r="V48" s="1161"/>
      <c r="W48" s="1161"/>
      <c r="X48" s="1161"/>
      <c r="Y48" s="1161"/>
      <c r="Z48" s="1161"/>
      <c r="AA48" s="1633"/>
      <c r="AB48" s="567"/>
      <c r="AC48" s="567"/>
      <c r="AD48" s="567"/>
      <c r="AE48" s="567"/>
      <c r="AF48" s="1642">
        <v>11</v>
      </c>
    </row>
    <row s="1642" customFormat="1" customHeight="1" ht="11.549999999999999">
      <c r="A49" s="988"/>
      <c r="B49" s="1637"/>
      <c r="C49" s="1637"/>
      <c r="D49" s="352"/>
      <c r="K49" s="1161"/>
      <c r="L49" s="1637"/>
      <c r="M49" s="1637"/>
      <c r="N49" s="1161"/>
      <c r="O49" s="1161"/>
      <c r="P49" s="1161"/>
      <c r="Q49" s="1161"/>
      <c r="R49" s="1637"/>
      <c r="S49" s="1161"/>
      <c r="T49" s="1161"/>
      <c r="U49" s="545"/>
      <c r="V49" s="1161"/>
      <c r="W49" s="1161"/>
      <c r="X49" s="1161"/>
      <c r="Y49" s="1161"/>
      <c r="Z49" s="1161"/>
      <c r="AA49" s="1633"/>
      <c r="AB49" s="567"/>
      <c r="AC49" s="567"/>
      <c r="AD49" s="567"/>
      <c r="AE49" s="567"/>
      <c r="AF49" s="1642">
        <v>11</v>
      </c>
    </row>
    <row s="1642" customFormat="1" customHeight="1" ht="11.549999999999999">
      <c r="A50" s="988"/>
      <c r="B50" s="1637"/>
      <c r="C50" s="1637"/>
      <c r="D50" s="352"/>
      <c r="K50" s="1161"/>
      <c r="L50" s="1637"/>
      <c r="M50" s="1637"/>
      <c r="N50" s="1161"/>
      <c r="O50" s="1161"/>
      <c r="P50" s="1161"/>
      <c r="Q50" s="1161"/>
      <c r="R50" s="1637"/>
      <c r="S50" s="1161"/>
      <c r="T50" s="1161"/>
      <c r="U50" s="545"/>
      <c r="V50" s="1161"/>
      <c r="W50" s="1161"/>
      <c r="X50" s="1161"/>
      <c r="Y50" s="1161"/>
      <c r="Z50" s="1161"/>
      <c r="AA50" s="1633"/>
      <c r="AB50" s="567"/>
      <c r="AC50" s="567"/>
      <c r="AD50" s="567"/>
      <c r="AE50" s="567"/>
      <c r="AF50" s="1642">
        <v>11</v>
      </c>
    </row>
    <row s="1642" customFormat="1" customHeight="1" ht="11.549999999999999">
      <c r="A51" s="988"/>
      <c r="B51" s="1637"/>
      <c r="C51" s="1637"/>
      <c r="D51" s="352"/>
      <c r="K51" s="1161"/>
      <c r="L51" s="1637"/>
      <c r="M51" s="1637"/>
      <c r="N51" s="1161"/>
      <c r="O51" s="1161"/>
      <c r="P51" s="1161"/>
      <c r="Q51" s="1161"/>
      <c r="R51" s="1637"/>
      <c r="S51" s="1161"/>
      <c r="T51" s="1161"/>
      <c r="U51" s="545"/>
      <c r="V51" s="1161"/>
      <c r="W51" s="1161"/>
      <c r="X51" s="1161"/>
      <c r="Y51" s="1161"/>
      <c r="Z51" s="1161"/>
      <c r="AA51" s="1633"/>
      <c r="AB51" s="567"/>
      <c r="AC51" s="567"/>
      <c r="AD51" s="567"/>
      <c r="AE51" s="567"/>
      <c r="AF51" s="1642">
        <v>11</v>
      </c>
    </row>
    <row s="1642" customFormat="1" customHeight="1" ht="11.549999999999999">
      <c r="A52" s="988"/>
      <c r="B52" s="1637"/>
      <c r="C52" s="1637"/>
      <c r="D52" s="352"/>
      <c r="K52" s="1161"/>
      <c r="L52" s="1637"/>
      <c r="M52" s="1637"/>
      <c r="N52" s="1161"/>
      <c r="O52" s="1161"/>
      <c r="P52" s="1161"/>
      <c r="Q52" s="1161"/>
      <c r="R52" s="1637"/>
      <c r="S52" s="1161"/>
      <c r="T52" s="1161"/>
      <c r="U52" s="545"/>
      <c r="V52" s="1161"/>
      <c r="W52" s="1161"/>
      <c r="X52" s="1161"/>
      <c r="Y52" s="1161"/>
      <c r="Z52" s="1161"/>
      <c r="AA52" s="1633"/>
      <c r="AB52" s="567"/>
      <c r="AC52" s="567"/>
      <c r="AD52" s="567"/>
      <c r="AE52" s="567"/>
      <c r="AF52" s="1642">
        <v>11</v>
      </c>
    </row>
    <row s="1642" customFormat="1" customHeight="1" ht="11.549999999999999">
      <c r="A53" s="988"/>
      <c r="B53" s="1637"/>
      <c r="C53" s="1637"/>
      <c r="D53" s="352"/>
      <c r="K53" s="1161"/>
      <c r="L53" s="1637"/>
      <c r="M53" s="1637"/>
      <c r="N53" s="1161"/>
      <c r="O53" s="1161"/>
      <c r="P53" s="1161"/>
      <c r="Q53" s="1161"/>
      <c r="R53" s="1637"/>
      <c r="S53" s="1161"/>
      <c r="T53" s="1161"/>
      <c r="U53" s="545"/>
      <c r="V53" s="1161"/>
      <c r="W53" s="1161"/>
      <c r="X53" s="1161"/>
      <c r="Y53" s="1161"/>
      <c r="Z53" s="1161"/>
      <c r="AA53" s="1633"/>
      <c r="AB53" s="567"/>
      <c r="AC53" s="567"/>
      <c r="AD53" s="567"/>
      <c r="AE53" s="567"/>
      <c r="AF53" s="1642">
        <v>11</v>
      </c>
    </row>
    <row s="1642" customFormat="1" customHeight="1" ht="11.549999999999999">
      <c r="A54" s="988"/>
      <c r="B54" s="1637"/>
      <c r="C54" s="1637"/>
      <c r="D54" s="352"/>
      <c r="K54" s="1161"/>
      <c r="L54" s="1637"/>
      <c r="M54" s="1637"/>
      <c r="N54" s="1161"/>
      <c r="O54" s="1161"/>
      <c r="P54" s="1161"/>
      <c r="Q54" s="1161"/>
      <c r="R54" s="1637"/>
      <c r="S54" s="1161"/>
      <c r="T54" s="1161"/>
      <c r="U54" s="545"/>
      <c r="V54" s="1161"/>
      <c r="W54" s="1161"/>
      <c r="X54" s="1161"/>
      <c r="Y54" s="1161"/>
      <c r="Z54" s="1161"/>
      <c r="AA54" s="1633"/>
      <c r="AB54" s="567"/>
      <c r="AC54" s="567"/>
      <c r="AD54" s="567"/>
      <c r="AE54" s="567"/>
      <c r="AF54" s="1642">
        <v>11</v>
      </c>
    </row>
    <row s="1642" customFormat="1" customHeight="1" ht="11.549999999999999">
      <c r="A55" s="988"/>
      <c r="B55" s="1637"/>
      <c r="C55" s="1637"/>
      <c r="D55" s="352"/>
      <c r="K55" s="1161"/>
      <c r="L55" s="1637"/>
      <c r="M55" s="1637"/>
      <c r="N55" s="1161"/>
      <c r="O55" s="1161"/>
      <c r="P55" s="1161"/>
      <c r="Q55" s="1161"/>
      <c r="R55" s="1637"/>
      <c r="S55" s="1161"/>
      <c r="T55" s="1161"/>
      <c r="U55" s="545"/>
      <c r="V55" s="1161"/>
      <c r="W55" s="1161"/>
      <c r="X55" s="1161"/>
      <c r="Y55" s="1161"/>
      <c r="Z55" s="1161"/>
      <c r="AA55" s="1633"/>
      <c r="AB55" s="567"/>
      <c r="AC55" s="567"/>
      <c r="AD55" s="567"/>
      <c r="AE55" s="567"/>
      <c r="AF55" s="1642">
        <v>11</v>
      </c>
    </row>
    <row s="1642" customFormat="1" customHeight="1" ht="11.549999999999999">
      <c r="A56" s="988"/>
      <c r="B56" s="1637"/>
      <c r="C56" s="1637"/>
      <c r="D56" s="352"/>
      <c r="K56" s="1161"/>
      <c r="L56" s="1637"/>
      <c r="M56" s="1637"/>
      <c r="N56" s="1161"/>
      <c r="O56" s="1161"/>
      <c r="P56" s="1161"/>
      <c r="Q56" s="1161"/>
      <c r="R56" s="1637"/>
      <c r="S56" s="1161"/>
      <c r="T56" s="1161"/>
      <c r="U56" s="545"/>
      <c r="V56" s="1161"/>
      <c r="W56" s="1161"/>
      <c r="X56" s="1161"/>
      <c r="Y56" s="1161"/>
      <c r="Z56" s="1161"/>
      <c r="AA56" s="1633"/>
      <c r="AB56" s="567"/>
      <c r="AC56" s="567"/>
      <c r="AD56" s="567"/>
      <c r="AE56" s="567"/>
      <c r="AF56" s="1642">
        <v>11</v>
      </c>
    </row>
    <row s="1642" customFormat="1" customHeight="1" ht="11.549999999999999">
      <c r="A57" s="988"/>
      <c r="B57" s="1637"/>
      <c r="C57" s="1637"/>
      <c r="D57" s="352"/>
      <c r="K57" s="1161"/>
      <c r="L57" s="1637"/>
      <c r="M57" s="1637"/>
      <c r="N57" s="1161"/>
      <c r="O57" s="1161"/>
      <c r="P57" s="1161"/>
      <c r="Q57" s="1161"/>
      <c r="R57" s="1637"/>
      <c r="S57" s="1161"/>
      <c r="T57" s="1161"/>
      <c r="U57" s="545"/>
      <c r="V57" s="1161"/>
      <c r="W57" s="1161"/>
      <c r="X57" s="1161"/>
      <c r="Y57" s="1161"/>
      <c r="Z57" s="1161"/>
      <c r="AA57" s="1633"/>
      <c r="AB57" s="567"/>
      <c r="AC57" s="567"/>
      <c r="AD57" s="567"/>
      <c r="AE57" s="567"/>
      <c r="AF57" s="1642">
        <v>11</v>
      </c>
    </row>
    <row s="1642" customFormat="1" customHeight="1" ht="11.549999999999999">
      <c r="A58" s="988"/>
      <c r="B58" s="1637"/>
      <c r="C58" s="1637"/>
      <c r="D58" s="352"/>
      <c r="K58" s="1161"/>
      <c r="L58" s="1637"/>
      <c r="M58" s="1637"/>
      <c r="N58" s="1161"/>
      <c r="O58" s="1161"/>
      <c r="P58" s="1161"/>
      <c r="Q58" s="1161"/>
      <c r="R58" s="1637"/>
      <c r="S58" s="1161"/>
      <c r="T58" s="1161"/>
      <c r="U58" s="545"/>
      <c r="V58" s="1161"/>
      <c r="W58" s="1161"/>
      <c r="X58" s="1161"/>
      <c r="Y58" s="1161"/>
      <c r="Z58" s="1161"/>
      <c r="AA58" s="1633"/>
      <c r="AB58" s="567"/>
      <c r="AC58" s="567"/>
      <c r="AD58" s="567"/>
      <c r="AE58" s="567"/>
      <c r="AF58" s="1642">
        <v>11</v>
      </c>
    </row>
    <row s="1642" customFormat="1" customHeight="1" ht="11.549999999999999">
      <c r="A59" s="988"/>
      <c r="B59" s="1637"/>
      <c r="C59" s="1637"/>
      <c r="D59" s="352"/>
      <c r="K59" s="1161"/>
      <c r="L59" s="1637"/>
      <c r="M59" s="1637"/>
      <c r="N59" s="1161"/>
      <c r="O59" s="1161"/>
      <c r="P59" s="1161"/>
      <c r="Q59" s="1161"/>
      <c r="R59" s="1637"/>
      <c r="S59" s="1161"/>
      <c r="T59" s="1161"/>
      <c r="U59" s="545"/>
      <c r="V59" s="1161"/>
      <c r="W59" s="1161"/>
      <c r="X59" s="1161"/>
      <c r="Y59" s="1161"/>
      <c r="Z59" s="1161"/>
      <c r="AA59" s="1633"/>
      <c r="AB59" s="567"/>
      <c r="AC59" s="567"/>
      <c r="AD59" s="567"/>
      <c r="AE59" s="567"/>
      <c r="AF59" s="1642">
        <v>11</v>
      </c>
    </row>
    <row s="1642" customFormat="1" customHeight="1" ht="11.549999999999999">
      <c r="A60" s="988"/>
      <c r="B60" s="1637"/>
      <c r="C60" s="1637"/>
      <c r="D60" s="352"/>
      <c r="K60" s="1161"/>
      <c r="L60" s="1637"/>
      <c r="M60" s="1637"/>
      <c r="N60" s="1161"/>
      <c r="O60" s="1161"/>
      <c r="P60" s="1161"/>
      <c r="Q60" s="1161"/>
      <c r="R60" s="1637"/>
      <c r="S60" s="1161"/>
      <c r="T60" s="1161"/>
      <c r="U60" s="545"/>
      <c r="V60" s="1161"/>
      <c r="W60" s="1161"/>
      <c r="X60" s="1161"/>
      <c r="Y60" s="1161"/>
      <c r="Z60" s="1161"/>
      <c r="AA60" s="1633"/>
      <c r="AB60" s="567"/>
      <c r="AC60" s="567"/>
      <c r="AD60" s="567"/>
      <c r="AE60" s="567"/>
      <c r="AF60" s="1642">
        <v>11</v>
      </c>
    </row>
    <row s="1642" customFormat="1" customHeight="1" ht="11.549999999999999">
      <c r="A61" s="988"/>
      <c r="B61" s="1637"/>
      <c r="C61" s="1637"/>
      <c r="D61" s="352"/>
      <c r="K61" s="1161"/>
      <c r="L61" s="1637"/>
      <c r="M61" s="1637"/>
      <c r="N61" s="1161"/>
      <c r="O61" s="1161"/>
      <c r="P61" s="1161"/>
      <c r="Q61" s="1161"/>
      <c r="R61" s="1637"/>
      <c r="S61" s="1161"/>
      <c r="T61" s="1161"/>
      <c r="U61" s="545"/>
      <c r="V61" s="1161"/>
      <c r="W61" s="1161"/>
      <c r="X61" s="1161"/>
      <c r="Y61" s="1161"/>
      <c r="Z61" s="1161"/>
      <c r="AA61" s="1633"/>
      <c r="AB61" s="567"/>
      <c r="AC61" s="567"/>
      <c r="AD61" s="567"/>
      <c r="AE61" s="567"/>
      <c r="AF61" s="1642">
        <v>11</v>
      </c>
    </row>
    <row s="1642" customFormat="1" customHeight="1" ht="11.549999999999999">
      <c r="A62" s="988"/>
      <c r="B62" s="1637"/>
      <c r="C62" s="1637"/>
      <c r="D62" s="352"/>
      <c r="K62" s="1161"/>
      <c r="L62" s="1637"/>
      <c r="M62" s="1637"/>
      <c r="N62" s="1161"/>
      <c r="O62" s="1161"/>
      <c r="P62" s="1161"/>
      <c r="Q62" s="1161"/>
      <c r="R62" s="1637"/>
      <c r="S62" s="1161"/>
      <c r="T62" s="1161"/>
      <c r="U62" s="545"/>
      <c r="V62" s="1161"/>
      <c r="W62" s="1161"/>
      <c r="X62" s="1161"/>
      <c r="Y62" s="1161"/>
      <c r="Z62" s="1161"/>
      <c r="AA62" s="1633"/>
      <c r="AB62" s="567"/>
      <c r="AC62" s="567"/>
      <c r="AD62" s="567"/>
      <c r="AE62" s="567"/>
      <c r="AF62" s="1642">
        <v>11</v>
      </c>
    </row>
    <row s="1642" customFormat="1" customHeight="1" ht="11.549999999999999">
      <c r="A63" s="988"/>
      <c r="B63" s="1637"/>
      <c r="C63" s="1637"/>
      <c r="D63" s="352"/>
      <c r="K63" s="1161"/>
      <c r="L63" s="1637"/>
      <c r="M63" s="1637"/>
      <c r="N63" s="1161"/>
      <c r="O63" s="1161"/>
      <c r="P63" s="1161"/>
      <c r="Q63" s="1161"/>
      <c r="R63" s="1637"/>
      <c r="S63" s="1161"/>
      <c r="T63" s="1161"/>
      <c r="U63" s="545"/>
      <c r="V63" s="1161"/>
      <c r="W63" s="1161"/>
      <c r="X63" s="1161"/>
      <c r="Y63" s="1161"/>
      <c r="Z63" s="1161"/>
      <c r="AA63" s="1633"/>
      <c r="AB63" s="567"/>
      <c r="AC63" s="567"/>
      <c r="AD63" s="567"/>
      <c r="AE63" s="567"/>
      <c r="AF63" s="1642">
        <v>11</v>
      </c>
    </row>
    <row s="1642" customFormat="1" customHeight="1" ht="11.549999999999999">
      <c r="A64" s="988"/>
      <c r="B64" s="1637"/>
      <c r="C64" s="1637"/>
      <c r="D64" s="352"/>
      <c r="K64" s="1161"/>
      <c r="L64" s="1637"/>
      <c r="M64" s="1637"/>
      <c r="N64" s="1161"/>
      <c r="O64" s="1161"/>
      <c r="P64" s="1161"/>
      <c r="Q64" s="1161"/>
      <c r="R64" s="1637"/>
      <c r="S64" s="1161"/>
      <c r="T64" s="1161"/>
      <c r="U64" s="545"/>
      <c r="V64" s="1161"/>
      <c r="W64" s="1161"/>
      <c r="X64" s="1161"/>
      <c r="Y64" s="1161"/>
      <c r="Z64" s="1161"/>
      <c r="AA64" s="1633"/>
      <c r="AB64" s="567"/>
      <c r="AC64" s="567"/>
      <c r="AD64" s="567"/>
      <c r="AE64" s="567"/>
      <c r="AF64" s="1642">
        <v>11</v>
      </c>
    </row>
    <row s="1642" customFormat="1" customHeight="1" ht="11.549999999999999">
      <c r="A65" s="988"/>
      <c r="B65" s="1637"/>
      <c r="C65" s="1637"/>
      <c r="D65" s="352"/>
      <c r="K65" s="1161"/>
      <c r="L65" s="1637"/>
      <c r="M65" s="1637"/>
      <c r="N65" s="1161"/>
      <c r="O65" s="1161"/>
      <c r="P65" s="1161"/>
      <c r="Q65" s="1161"/>
      <c r="R65" s="1637"/>
      <c r="S65" s="1161"/>
      <c r="T65" s="1161"/>
      <c r="U65" s="545"/>
      <c r="V65" s="1161"/>
      <c r="W65" s="1161"/>
      <c r="X65" s="1161"/>
      <c r="Y65" s="1161"/>
      <c r="Z65" s="1161"/>
      <c r="AA65" s="1633"/>
      <c r="AB65" s="567"/>
      <c r="AC65" s="567"/>
      <c r="AD65" s="567"/>
      <c r="AE65" s="567"/>
      <c r="AF65" s="1642">
        <v>11</v>
      </c>
    </row>
    <row s="1642" customFormat="1" customHeight="1" ht="11.549999999999999">
      <c r="A66" s="988"/>
      <c r="B66" s="1637"/>
      <c r="C66" s="1637"/>
      <c r="D66" s="352"/>
      <c r="K66" s="1161"/>
      <c r="L66" s="1637"/>
      <c r="M66" s="1637"/>
      <c r="N66" s="1161"/>
      <c r="O66" s="1161"/>
      <c r="P66" s="1161"/>
      <c r="Q66" s="1161"/>
      <c r="R66" s="1637"/>
      <c r="S66" s="1161"/>
      <c r="T66" s="1161"/>
      <c r="U66" s="545"/>
      <c r="V66" s="1161"/>
      <c r="W66" s="1161"/>
      <c r="X66" s="1161"/>
      <c r="Y66" s="1161"/>
      <c r="Z66" s="1161"/>
      <c r="AA66" s="1633"/>
      <c r="AB66" s="567"/>
      <c r="AC66" s="567"/>
      <c r="AD66" s="567"/>
      <c r="AE66" s="567"/>
      <c r="AF66" s="1642">
        <v>11</v>
      </c>
    </row>
    <row s="1642" customFormat="1" customHeight="1" ht="11.549999999999999">
      <c r="A67" s="988"/>
      <c r="B67" s="1637"/>
      <c r="C67" s="1637"/>
      <c r="D67" s="352"/>
      <c r="K67" s="1161"/>
      <c r="L67" s="1637"/>
      <c r="M67" s="1637"/>
      <c r="N67" s="1161"/>
      <c r="O67" s="1161"/>
      <c r="P67" s="1161"/>
      <c r="Q67" s="1161"/>
      <c r="R67" s="1637"/>
      <c r="S67" s="1161"/>
      <c r="T67" s="1161"/>
      <c r="U67" s="545"/>
      <c r="V67" s="1161"/>
      <c r="W67" s="1161"/>
      <c r="X67" s="1161"/>
      <c r="Y67" s="1161"/>
      <c r="Z67" s="1161"/>
      <c r="AA67" s="1633"/>
      <c r="AB67" s="567"/>
      <c r="AC67" s="567"/>
      <c r="AD67" s="567"/>
      <c r="AE67" s="567"/>
      <c r="AF67" s="1642">
        <v>11</v>
      </c>
    </row>
    <row s="1642" customFormat="1" customHeight="1" ht="11.549999999999999">
      <c r="A68" s="988"/>
      <c r="B68" s="1637"/>
      <c r="C68" s="1637"/>
      <c r="D68" s="352"/>
      <c r="K68" s="1161"/>
      <c r="L68" s="1637"/>
      <c r="M68" s="1637"/>
      <c r="N68" s="1161"/>
      <c r="O68" s="1161"/>
      <c r="P68" s="1161"/>
      <c r="Q68" s="1161"/>
      <c r="R68" s="1637"/>
      <c r="S68" s="1161"/>
      <c r="T68" s="1161"/>
      <c r="U68" s="545"/>
      <c r="V68" s="1161"/>
      <c r="W68" s="1161"/>
      <c r="X68" s="1161"/>
      <c r="Y68" s="1161"/>
      <c r="Z68" s="1161"/>
      <c r="AA68" s="1633"/>
      <c r="AB68" s="567"/>
      <c r="AC68" s="567"/>
      <c r="AD68" s="567"/>
      <c r="AE68" s="567"/>
      <c r="AF68" s="1642">
        <v>11</v>
      </c>
    </row>
    <row s="1642" customFormat="1" customHeight="1" ht="11.549999999999999">
      <c r="A69" s="988"/>
      <c r="B69" s="1637"/>
      <c r="C69" s="1637"/>
      <c r="D69" s="352"/>
      <c r="K69" s="1161"/>
      <c r="L69" s="1637"/>
      <c r="M69" s="1637"/>
      <c r="N69" s="1161"/>
      <c r="O69" s="1161"/>
      <c r="P69" s="1161"/>
      <c r="Q69" s="1161"/>
      <c r="R69" s="1637"/>
      <c r="S69" s="1161"/>
      <c r="T69" s="1161"/>
      <c r="U69" s="545"/>
      <c r="V69" s="1161"/>
      <c r="W69" s="1161"/>
      <c r="X69" s="1161"/>
      <c r="Y69" s="1161"/>
      <c r="Z69" s="1161"/>
      <c r="AA69" s="1633"/>
      <c r="AB69" s="567"/>
      <c r="AC69" s="567"/>
      <c r="AD69" s="567"/>
      <c r="AE69" s="567"/>
      <c r="AF69" s="1642">
        <v>11</v>
      </c>
    </row>
    <row s="1642" customFormat="1" customHeight="1" ht="11.549999999999999">
      <c r="A70" s="988"/>
      <c r="B70" s="1637"/>
      <c r="C70" s="1637"/>
      <c r="D70" s="352"/>
      <c r="K70" s="1161"/>
      <c r="L70" s="1637"/>
      <c r="M70" s="1637"/>
      <c r="N70" s="1161"/>
      <c r="O70" s="1161"/>
      <c r="P70" s="1161"/>
      <c r="Q70" s="1161"/>
      <c r="R70" s="1637"/>
      <c r="S70" s="1161"/>
      <c r="T70" s="1161"/>
      <c r="U70" s="545"/>
      <c r="V70" s="1161"/>
      <c r="W70" s="1161"/>
      <c r="X70" s="1161"/>
      <c r="Y70" s="1161"/>
      <c r="Z70" s="1161"/>
      <c r="AA70" s="1633"/>
      <c r="AB70" s="567"/>
      <c r="AC70" s="567"/>
      <c r="AD70" s="567"/>
      <c r="AE70" s="567"/>
      <c r="AF70" s="1642">
        <v>11</v>
      </c>
    </row>
    <row s="1642" customFormat="1" customHeight="1" ht="11.549999999999999">
      <c r="A71" s="988"/>
      <c r="B71" s="1637"/>
      <c r="C71" s="1637"/>
      <c r="D71" s="352"/>
      <c r="K71" s="1161"/>
      <c r="L71" s="1637"/>
      <c r="M71" s="1637"/>
      <c r="N71" s="1161"/>
      <c r="O71" s="1161"/>
      <c r="P71" s="1161"/>
      <c r="Q71" s="1161"/>
      <c r="R71" s="1637"/>
      <c r="S71" s="1161"/>
      <c r="T71" s="1161"/>
      <c r="U71" s="545"/>
      <c r="V71" s="1161"/>
      <c r="W71" s="1161"/>
      <c r="X71" s="1161"/>
      <c r="Y71" s="1161"/>
      <c r="Z71" s="1161"/>
      <c r="AA71" s="1633"/>
      <c r="AB71" s="567"/>
      <c r="AC71" s="567"/>
      <c r="AD71" s="567"/>
      <c r="AE71" s="567"/>
      <c r="AF71" s="1642">
        <v>11</v>
      </c>
    </row>
    <row s="1642" customFormat="1" customHeight="1" ht="11.549999999999999">
      <c r="A72" s="988"/>
      <c r="B72" s="1637"/>
      <c r="C72" s="1637"/>
      <c r="D72" s="352"/>
      <c r="K72" s="1161"/>
      <c r="L72" s="1637"/>
      <c r="M72" s="1637"/>
      <c r="N72" s="1161"/>
      <c r="O72" s="1161"/>
      <c r="P72" s="1161"/>
      <c r="Q72" s="1161"/>
      <c r="R72" s="1637"/>
      <c r="S72" s="1161"/>
      <c r="T72" s="1161"/>
      <c r="U72" s="545"/>
      <c r="V72" s="1161"/>
      <c r="W72" s="1161"/>
      <c r="X72" s="1161"/>
      <c r="Y72" s="1161"/>
      <c r="Z72" s="1161"/>
      <c r="AA72" s="1633"/>
      <c r="AB72" s="567"/>
      <c r="AC72" s="567"/>
      <c r="AD72" s="567"/>
      <c r="AE72" s="567"/>
      <c r="AF72" s="1642">
        <v>11</v>
      </c>
    </row>
    <row s="1642" customFormat="1" customHeight="1" ht="11.549999999999999">
      <c r="A73" s="988"/>
      <c r="B73" s="1637"/>
      <c r="C73" s="1637"/>
      <c r="D73" s="352"/>
      <c r="K73" s="1161"/>
      <c r="L73" s="1637"/>
      <c r="M73" s="1637"/>
      <c r="N73" s="1161"/>
      <c r="O73" s="1161"/>
      <c r="P73" s="1161"/>
      <c r="Q73" s="1161"/>
      <c r="R73" s="1637"/>
      <c r="S73" s="1161"/>
      <c r="T73" s="1161"/>
      <c r="U73" s="545"/>
      <c r="V73" s="1161"/>
      <c r="W73" s="1161"/>
      <c r="X73" s="1161"/>
      <c r="Y73" s="1161"/>
      <c r="Z73" s="1161"/>
      <c r="AA73" s="1633"/>
      <c r="AB73" s="567"/>
      <c r="AC73" s="567"/>
      <c r="AD73" s="567"/>
      <c r="AE73" s="567"/>
      <c r="AF73" s="1642">
        <v>11</v>
      </c>
    </row>
    <row s="1642" customFormat="1" customHeight="1" ht="11.549999999999999">
      <c r="A74" s="988"/>
      <c r="B74" s="1637"/>
      <c r="C74" s="1637"/>
      <c r="D74" s="352"/>
      <c r="K74" s="1161"/>
      <c r="L74" s="1637"/>
      <c r="M74" s="1637"/>
      <c r="N74" s="1161"/>
      <c r="O74" s="1161"/>
      <c r="P74" s="1161"/>
      <c r="Q74" s="1161"/>
      <c r="R74" s="1637"/>
      <c r="S74" s="1161"/>
      <c r="T74" s="1161"/>
      <c r="U74" s="545"/>
      <c r="V74" s="1161"/>
      <c r="W74" s="1161"/>
      <c r="X74" s="1161"/>
      <c r="Y74" s="1161"/>
      <c r="Z74" s="1161"/>
      <c r="AA74" s="1633"/>
      <c r="AB74" s="567"/>
      <c r="AC74" s="567"/>
      <c r="AD74" s="567"/>
      <c r="AE74" s="567"/>
      <c r="AF74" s="1642">
        <v>11</v>
      </c>
    </row>
    <row s="1642" customFormat="1" customHeight="1" ht="11.549999999999999">
      <c r="A75" s="988"/>
      <c r="B75" s="1637"/>
      <c r="C75" s="1637"/>
      <c r="D75" s="352"/>
      <c r="K75" s="1161"/>
      <c r="L75" s="1637"/>
      <c r="M75" s="1637"/>
      <c r="N75" s="1161"/>
      <c r="O75" s="1161"/>
      <c r="P75" s="1161"/>
      <c r="Q75" s="1161"/>
      <c r="R75" s="1637"/>
      <c r="S75" s="1161"/>
      <c r="T75" s="1161"/>
      <c r="U75" s="545"/>
      <c r="V75" s="1161"/>
      <c r="W75" s="1161"/>
      <c r="X75" s="1161"/>
      <c r="Y75" s="1161"/>
      <c r="Z75" s="1161"/>
      <c r="AA75" s="1633"/>
      <c r="AB75" s="567"/>
      <c r="AC75" s="567"/>
      <c r="AD75" s="567"/>
      <c r="AE75" s="567"/>
      <c r="AF75" s="1642">
        <v>11</v>
      </c>
    </row>
    <row s="1642" customFormat="1" customHeight="1" ht="11.549999999999999">
      <c r="A76" s="988"/>
      <c r="B76" s="1637"/>
      <c r="C76" s="1637"/>
      <c r="D76" s="352"/>
      <c r="K76" s="1161"/>
      <c r="L76" s="1637"/>
      <c r="M76" s="1637"/>
      <c r="N76" s="1161"/>
      <c r="O76" s="1161"/>
      <c r="P76" s="1161"/>
      <c r="Q76" s="1161"/>
      <c r="R76" s="1637"/>
      <c r="S76" s="1161"/>
      <c r="T76" s="1161"/>
      <c r="U76" s="545"/>
      <c r="V76" s="1161"/>
      <c r="W76" s="1161"/>
      <c r="X76" s="1161"/>
      <c r="Y76" s="1161"/>
      <c r="Z76" s="1161"/>
      <c r="AA76" s="1633"/>
      <c r="AB76" s="567"/>
      <c r="AC76" s="567"/>
      <c r="AD76" s="567"/>
      <c r="AE76" s="567"/>
      <c r="AF76" s="1642">
        <v>11</v>
      </c>
    </row>
    <row s="1642" customFormat="1" customHeight="1" ht="11.549999999999999">
      <c r="A77" s="988"/>
      <c r="B77" s="1637"/>
      <c r="C77" s="1637"/>
      <c r="D77" s="352"/>
      <c r="K77" s="1161"/>
      <c r="L77" s="1637"/>
      <c r="M77" s="1637"/>
      <c r="N77" s="1161"/>
      <c r="O77" s="1161"/>
      <c r="P77" s="1161"/>
      <c r="Q77" s="1161"/>
      <c r="R77" s="1637"/>
      <c r="S77" s="1161"/>
      <c r="T77" s="1161"/>
      <c r="U77" s="545"/>
      <c r="V77" s="1161"/>
      <c r="W77" s="1161"/>
      <c r="X77" s="1161"/>
      <c r="Y77" s="1161"/>
      <c r="Z77" s="1161"/>
      <c r="AA77" s="1633"/>
      <c r="AB77" s="567"/>
      <c r="AC77" s="567"/>
      <c r="AD77" s="567"/>
      <c r="AE77" s="567"/>
      <c r="AF77" s="1642">
        <v>11</v>
      </c>
    </row>
    <row s="1642" customFormat="1" customHeight="1" ht="11.549999999999999">
      <c r="A78" s="988"/>
      <c r="B78" s="1637"/>
      <c r="C78" s="1637"/>
      <c r="D78" s="352"/>
      <c r="K78" s="1161"/>
      <c r="L78" s="1637"/>
      <c r="M78" s="1637"/>
      <c r="N78" s="1161"/>
      <c r="O78" s="1161"/>
      <c r="P78" s="1161"/>
      <c r="Q78" s="1161"/>
      <c r="R78" s="1637"/>
      <c r="S78" s="1161"/>
      <c r="T78" s="1161"/>
      <c r="U78" s="545"/>
      <c r="V78" s="1161"/>
      <c r="W78" s="1161"/>
      <c r="X78" s="1161"/>
      <c r="Y78" s="1161"/>
      <c r="Z78" s="1161"/>
      <c r="AA78" s="1633"/>
      <c r="AB78" s="567"/>
      <c r="AC78" s="567"/>
      <c r="AD78" s="567"/>
      <c r="AE78" s="567"/>
      <c r="AF78" s="1642">
        <v>11</v>
      </c>
    </row>
    <row s="1642" customFormat="1" customHeight="1" ht="11.549999999999999">
      <c r="A79" s="988"/>
      <c r="B79" s="1637"/>
      <c r="C79" s="1637"/>
      <c r="D79" s="352"/>
      <c r="K79" s="1161"/>
      <c r="L79" s="1637"/>
      <c r="M79" s="1637"/>
      <c r="N79" s="1161"/>
      <c r="O79" s="1161"/>
      <c r="P79" s="1161"/>
      <c r="Q79" s="1161"/>
      <c r="R79" s="1637"/>
      <c r="S79" s="1161"/>
      <c r="T79" s="1161"/>
      <c r="U79" s="545"/>
      <c r="V79" s="1161"/>
      <c r="W79" s="1161"/>
      <c r="X79" s="1161"/>
      <c r="Y79" s="1161"/>
      <c r="Z79" s="1161"/>
      <c r="AA79" s="1633"/>
      <c r="AB79" s="567"/>
      <c r="AC79" s="567"/>
      <c r="AD79" s="567"/>
      <c r="AE79" s="567"/>
      <c r="AF79" s="1642">
        <v>11</v>
      </c>
    </row>
    <row s="1642" customFormat="1" customHeight="1" ht="11.549999999999999">
      <c r="A80" s="988"/>
      <c r="B80" s="1637"/>
      <c r="C80" s="1637"/>
      <c r="D80" s="352"/>
      <c r="K80" s="1161"/>
      <c r="L80" s="1637"/>
      <c r="M80" s="1637"/>
      <c r="N80" s="1161"/>
      <c r="O80" s="1161"/>
      <c r="P80" s="1161"/>
      <c r="Q80" s="1161"/>
      <c r="R80" s="1637"/>
      <c r="S80" s="1161"/>
      <c r="T80" s="1161"/>
      <c r="U80" s="545"/>
      <c r="V80" s="1161"/>
      <c r="W80" s="1161"/>
      <c r="X80" s="1161"/>
      <c r="Y80" s="1161"/>
      <c r="Z80" s="1161"/>
      <c r="AA80" s="1633"/>
      <c r="AB80" s="567"/>
      <c r="AC80" s="567"/>
      <c r="AD80" s="567"/>
      <c r="AE80" s="567"/>
      <c r="AF80" s="1642">
        <v>11</v>
      </c>
    </row>
    <row s="1642" customFormat="1" customHeight="1" ht="11.549999999999999">
      <c r="A81" s="988"/>
      <c r="B81" s="1637"/>
      <c r="C81" s="1637"/>
      <c r="D81" s="352"/>
      <c r="K81" s="1161"/>
      <c r="L81" s="1637"/>
      <c r="M81" s="1637"/>
      <c r="N81" s="1161"/>
      <c r="O81" s="1161"/>
      <c r="P81" s="1161"/>
      <c r="Q81" s="1161"/>
      <c r="R81" s="1637"/>
      <c r="S81" s="1161"/>
      <c r="T81" s="1161"/>
      <c r="U81" s="545"/>
      <c r="V81" s="1161"/>
      <c r="W81" s="1161"/>
      <c r="X81" s="1161"/>
      <c r="Y81" s="1161"/>
      <c r="Z81" s="1161"/>
      <c r="AA81" s="1633"/>
      <c r="AB81" s="567"/>
      <c r="AC81" s="567"/>
      <c r="AD81" s="567"/>
      <c r="AE81" s="567"/>
      <c r="AF81" s="1642">
        <v>11</v>
      </c>
    </row>
    <row s="1642" customFormat="1" customHeight="1" ht="11.549999999999999">
      <c r="A82" s="988"/>
      <c r="B82" s="1637"/>
      <c r="C82" s="1637"/>
      <c r="D82" s="352"/>
      <c r="K82" s="1161"/>
      <c r="L82" s="1637"/>
      <c r="M82" s="1637"/>
      <c r="N82" s="1161"/>
      <c r="O82" s="1161"/>
      <c r="P82" s="1161"/>
      <c r="Q82" s="1161"/>
      <c r="R82" s="1637"/>
      <c r="S82" s="1161"/>
      <c r="T82" s="1161"/>
      <c r="U82" s="545"/>
      <c r="V82" s="1161"/>
      <c r="W82" s="1161"/>
      <c r="X82" s="1161"/>
      <c r="Y82" s="1161"/>
      <c r="Z82" s="1161"/>
      <c r="AA82" s="1633"/>
      <c r="AB82" s="567"/>
      <c r="AC82" s="567"/>
      <c r="AD82" s="567"/>
      <c r="AE82" s="567"/>
      <c r="AF82" s="1642">
        <v>11</v>
      </c>
    </row>
    <row s="1642" customFormat="1" customHeight="1" ht="11.549999999999999">
      <c r="A83" s="988"/>
      <c r="B83" s="1637"/>
      <c r="C83" s="1637"/>
      <c r="D83" s="352"/>
      <c r="K83" s="1161"/>
      <c r="L83" s="1637"/>
      <c r="M83" s="1637"/>
      <c r="N83" s="1161"/>
      <c r="O83" s="1161"/>
      <c r="P83" s="1161"/>
      <c r="Q83" s="1161"/>
      <c r="R83" s="1637"/>
      <c r="S83" s="1161"/>
      <c r="T83" s="1161"/>
      <c r="U83" s="545"/>
      <c r="V83" s="1161"/>
      <c r="W83" s="1161"/>
      <c r="X83" s="1161"/>
      <c r="Y83" s="1161"/>
      <c r="Z83" s="1161"/>
      <c r="AA83" s="1633"/>
      <c r="AB83" s="567"/>
      <c r="AC83" s="567"/>
      <c r="AD83" s="567"/>
      <c r="AE83" s="567"/>
      <c r="AF83" s="1642">
        <v>11</v>
      </c>
    </row>
    <row s="1642" customFormat="1" customHeight="1" ht="11.549999999999999">
      <c r="A84" s="988"/>
      <c r="B84" s="1637"/>
      <c r="C84" s="1637"/>
      <c r="D84" s="352"/>
      <c r="K84" s="1161"/>
      <c r="L84" s="1637"/>
      <c r="M84" s="1637"/>
      <c r="N84" s="1161"/>
      <c r="O84" s="1161"/>
      <c r="P84" s="1161"/>
      <c r="Q84" s="1161"/>
      <c r="R84" s="1637"/>
      <c r="S84" s="1161"/>
      <c r="T84" s="1161"/>
      <c r="U84" s="545"/>
      <c r="V84" s="1161"/>
      <c r="W84" s="1161"/>
      <c r="X84" s="1161"/>
      <c r="Y84" s="1161"/>
      <c r="Z84" s="1161"/>
      <c r="AA84" s="1633"/>
      <c r="AB84" s="567"/>
      <c r="AC84" s="567"/>
      <c r="AD84" s="567"/>
      <c r="AE84" s="567"/>
      <c r="AF84" s="1642">
        <v>11</v>
      </c>
    </row>
    <row s="1642" customFormat="1" customHeight="1" ht="11.549999999999999">
      <c r="A85" s="988"/>
      <c r="B85" s="1637"/>
      <c r="C85" s="1637"/>
      <c r="D85" s="352"/>
      <c r="K85" s="1161"/>
      <c r="L85" s="1637"/>
      <c r="M85" s="1637"/>
      <c r="N85" s="1161"/>
      <c r="O85" s="1161"/>
      <c r="P85" s="1161"/>
      <c r="Q85" s="1161"/>
      <c r="R85" s="1637"/>
      <c r="S85" s="1161"/>
      <c r="T85" s="1161"/>
      <c r="U85" s="545"/>
      <c r="V85" s="1161"/>
      <c r="W85" s="1161"/>
      <c r="X85" s="1161"/>
      <c r="Y85" s="1161"/>
      <c r="Z85" s="1161"/>
      <c r="AA85" s="1633"/>
      <c r="AB85" s="567"/>
      <c r="AC85" s="567"/>
      <c r="AD85" s="567"/>
      <c r="AE85" s="567"/>
      <c r="AF85" s="1642">
        <v>11</v>
      </c>
    </row>
    <row s="1642" customFormat="1" customHeight="1" ht="11.549999999999999">
      <c r="A86" s="988"/>
      <c r="B86" s="1637"/>
      <c r="C86" s="1637"/>
      <c r="D86" s="352"/>
      <c r="K86" s="1161"/>
      <c r="L86" s="1637"/>
      <c r="M86" s="1637"/>
      <c r="N86" s="1161"/>
      <c r="O86" s="1161"/>
      <c r="P86" s="1161"/>
      <c r="Q86" s="1161"/>
      <c r="R86" s="1637"/>
      <c r="S86" s="1161"/>
      <c r="T86" s="1161"/>
      <c r="U86" s="545"/>
      <c r="V86" s="1161"/>
      <c r="W86" s="1161"/>
      <c r="X86" s="1161"/>
      <c r="Y86" s="1161"/>
      <c r="Z86" s="1161"/>
      <c r="AA86" s="1633"/>
      <c r="AB86" s="567"/>
      <c r="AC86" s="567"/>
      <c r="AD86" s="567"/>
      <c r="AE86" s="567"/>
      <c r="AF86" s="1642">
        <v>11</v>
      </c>
    </row>
    <row s="1642" customFormat="1" customHeight="1" ht="11.549999999999999">
      <c r="A87" s="988"/>
      <c r="B87" s="1637"/>
      <c r="C87" s="1637"/>
      <c r="D87" s="352"/>
      <c r="K87" s="1161"/>
      <c r="L87" s="1637"/>
      <c r="M87" s="1637"/>
      <c r="N87" s="1161"/>
      <c r="O87" s="1161"/>
      <c r="P87" s="1161"/>
      <c r="Q87" s="1161"/>
      <c r="R87" s="1637"/>
      <c r="S87" s="1161"/>
      <c r="T87" s="1161"/>
      <c r="U87" s="545"/>
      <c r="V87" s="1161"/>
      <c r="W87" s="1161"/>
      <c r="X87" s="1161"/>
      <c r="Y87" s="1161"/>
      <c r="Z87" s="1161"/>
      <c r="AA87" s="1633"/>
      <c r="AB87" s="567"/>
      <c r="AC87" s="567"/>
      <c r="AD87" s="567"/>
      <c r="AE87" s="567"/>
      <c r="AF87" s="1642">
        <v>11</v>
      </c>
    </row>
    <row s="1642" customFormat="1" customHeight="1" ht="11.549999999999999">
      <c r="A88" s="988"/>
      <c r="B88" s="1637"/>
      <c r="C88" s="1637"/>
      <c r="D88" s="352"/>
      <c r="K88" s="1161"/>
      <c r="L88" s="1637"/>
      <c r="M88" s="1637"/>
      <c r="N88" s="1161"/>
      <c r="O88" s="1161"/>
      <c r="P88" s="1161"/>
      <c r="Q88" s="1161"/>
      <c r="R88" s="1637"/>
      <c r="S88" s="1161"/>
      <c r="T88" s="1161"/>
      <c r="U88" s="545"/>
      <c r="V88" s="1161"/>
      <c r="W88" s="1161"/>
      <c r="X88" s="1161"/>
      <c r="Y88" s="1161"/>
      <c r="Z88" s="1161"/>
      <c r="AA88" s="1633"/>
      <c r="AB88" s="567"/>
      <c r="AC88" s="567"/>
      <c r="AD88" s="567"/>
      <c r="AE88" s="567"/>
      <c r="AF88" s="1642">
        <v>11</v>
      </c>
    </row>
    <row s="1642" customFormat="1" customHeight="1" ht="11.549999999999999">
      <c r="A89" s="988"/>
      <c r="B89" s="1637"/>
      <c r="C89" s="1637"/>
      <c r="D89" s="352"/>
      <c r="K89" s="1161"/>
      <c r="L89" s="1637"/>
      <c r="M89" s="1637"/>
      <c r="N89" s="1161"/>
      <c r="O89" s="1161"/>
      <c r="P89" s="1161"/>
      <c r="Q89" s="1161"/>
      <c r="R89" s="1637"/>
      <c r="S89" s="1161"/>
      <c r="T89" s="1161"/>
      <c r="U89" s="545"/>
      <c r="V89" s="1161"/>
      <c r="W89" s="1161"/>
      <c r="X89" s="1161"/>
      <c r="Y89" s="1161"/>
      <c r="Z89" s="1161"/>
      <c r="AA89" s="1633"/>
      <c r="AB89" s="567"/>
      <c r="AC89" s="567"/>
      <c r="AD89" s="567"/>
      <c r="AE89" s="567"/>
      <c r="AF89" s="1642">
        <v>11</v>
      </c>
    </row>
    <row s="1642" customFormat="1" customHeight="1" ht="11.549999999999999">
      <c r="A90" s="988"/>
      <c r="B90" s="1637"/>
      <c r="C90" s="1637"/>
      <c r="D90" s="352"/>
      <c r="K90" s="1161"/>
      <c r="L90" s="1637"/>
      <c r="M90" s="1637"/>
      <c r="N90" s="1161"/>
      <c r="O90" s="1161"/>
      <c r="P90" s="1161"/>
      <c r="Q90" s="1161"/>
      <c r="R90" s="1637"/>
      <c r="S90" s="1161"/>
      <c r="T90" s="1161"/>
      <c r="U90" s="545"/>
      <c r="V90" s="1161"/>
      <c r="W90" s="1161"/>
      <c r="X90" s="1161"/>
      <c r="Y90" s="1161"/>
      <c r="Z90" s="1161"/>
      <c r="AA90" s="1633"/>
      <c r="AB90" s="567"/>
      <c r="AC90" s="567"/>
      <c r="AD90" s="567"/>
      <c r="AE90" s="567"/>
      <c r="AF90" s="1642">
        <v>11</v>
      </c>
    </row>
    <row s="1642" customFormat="1" customHeight="1" ht="11.549999999999999">
      <c r="A91" s="988"/>
      <c r="B91" s="1637"/>
      <c r="C91" s="1637"/>
      <c r="D91" s="352"/>
      <c r="K91" s="1161"/>
      <c r="L91" s="1637"/>
      <c r="M91" s="1637"/>
      <c r="N91" s="1161"/>
      <c r="O91" s="1161"/>
      <c r="P91" s="1161"/>
      <c r="Q91" s="1161"/>
      <c r="R91" s="1637"/>
      <c r="S91" s="1161"/>
      <c r="T91" s="1161"/>
      <c r="U91" s="545"/>
      <c r="V91" s="1161"/>
      <c r="W91" s="1161"/>
      <c r="X91" s="1161"/>
      <c r="Y91" s="1161"/>
      <c r="Z91" s="1161"/>
      <c r="AA91" s="1633"/>
      <c r="AB91" s="567"/>
      <c r="AC91" s="567"/>
      <c r="AD91" s="567"/>
      <c r="AE91" s="567"/>
      <c r="AF91" s="1642">
        <v>11</v>
      </c>
    </row>
    <row s="1642" customFormat="1" customHeight="1" ht="11.549999999999999">
      <c r="A92" s="988"/>
      <c r="B92" s="1637"/>
      <c r="C92" s="1637"/>
      <c r="D92" s="352"/>
      <c r="K92" s="1161"/>
      <c r="L92" s="1637"/>
      <c r="M92" s="1637"/>
      <c r="N92" s="1161"/>
      <c r="O92" s="1161"/>
      <c r="P92" s="1161"/>
      <c r="Q92" s="1161"/>
      <c r="R92" s="1637"/>
      <c r="S92" s="1161"/>
      <c r="T92" s="1161"/>
      <c r="U92" s="545"/>
      <c r="V92" s="1161"/>
      <c r="W92" s="1161"/>
      <c r="X92" s="1161"/>
      <c r="Y92" s="1161"/>
      <c r="Z92" s="1161"/>
      <c r="AA92" s="1633"/>
      <c r="AB92" s="567"/>
      <c r="AC92" s="567"/>
      <c r="AD92" s="567"/>
      <c r="AE92" s="567"/>
      <c r="AF92" s="1642">
        <v>11</v>
      </c>
    </row>
    <row s="1642" customFormat="1" customHeight="1" ht="11.549999999999999">
      <c r="A93" s="988"/>
      <c r="B93" s="1637"/>
      <c r="C93" s="1637"/>
      <c r="D93" s="352"/>
      <c r="K93" s="1161"/>
      <c r="L93" s="1637"/>
      <c r="M93" s="1637"/>
      <c r="N93" s="1161"/>
      <c r="O93" s="1161"/>
      <c r="P93" s="1161"/>
      <c r="Q93" s="1161"/>
      <c r="R93" s="1637"/>
      <c r="S93" s="1161"/>
      <c r="T93" s="1161"/>
      <c r="U93" s="545"/>
      <c r="V93" s="1161"/>
      <c r="W93" s="1161"/>
      <c r="X93" s="1161"/>
      <c r="Y93" s="1161"/>
      <c r="Z93" s="1161"/>
      <c r="AA93" s="1633"/>
      <c r="AB93" s="567"/>
      <c r="AC93" s="567"/>
      <c r="AD93" s="567"/>
      <c r="AE93" s="567"/>
      <c r="AF93" s="1642">
        <v>11</v>
      </c>
    </row>
    <row s="1642" customFormat="1" customHeight="1" ht="11.549999999999999">
      <c r="A94" s="988"/>
      <c r="B94" s="1637"/>
      <c r="C94" s="1637"/>
      <c r="D94" s="352"/>
      <c r="K94" s="1161"/>
      <c r="L94" s="1637"/>
      <c r="M94" s="1637"/>
      <c r="N94" s="1161"/>
      <c r="O94" s="1161"/>
      <c r="P94" s="1161"/>
      <c r="Q94" s="1161"/>
      <c r="R94" s="1637"/>
      <c r="S94" s="1161"/>
      <c r="T94" s="1161"/>
      <c r="U94" s="545"/>
      <c r="V94" s="1161"/>
      <c r="W94" s="1161"/>
      <c r="X94" s="1161"/>
      <c r="Y94" s="1161"/>
      <c r="Z94" s="1161"/>
      <c r="AA94" s="1633"/>
      <c r="AB94" s="567"/>
      <c r="AC94" s="567"/>
      <c r="AD94" s="567"/>
      <c r="AE94" s="567"/>
      <c r="AF94" s="1642">
        <v>11</v>
      </c>
    </row>
    <row s="1642" customFormat="1" customHeight="1" ht="11.549999999999999">
      <c r="A95" s="988"/>
      <c r="B95" s="1637"/>
      <c r="C95" s="1637"/>
      <c r="D95" s="352"/>
      <c r="K95" s="1161"/>
      <c r="L95" s="1637"/>
      <c r="M95" s="1637"/>
      <c r="N95" s="1161"/>
      <c r="O95" s="1161"/>
      <c r="P95" s="1161"/>
      <c r="Q95" s="1161"/>
      <c r="R95" s="1637"/>
      <c r="S95" s="1161"/>
      <c r="T95" s="1161"/>
      <c r="U95" s="545"/>
      <c r="V95" s="1161"/>
      <c r="W95" s="1161"/>
      <c r="X95" s="1161"/>
      <c r="Y95" s="1161"/>
      <c r="Z95" s="1161"/>
      <c r="AA95" s="1633"/>
      <c r="AB95" s="567"/>
      <c r="AC95" s="567"/>
      <c r="AD95" s="567"/>
      <c r="AE95" s="567"/>
      <c r="AF95" s="1642">
        <v>11</v>
      </c>
    </row>
    <row s="1642" customFormat="1" customHeight="1" ht="11.549999999999999">
      <c r="A96" s="988"/>
      <c r="B96" s="1637"/>
      <c r="C96" s="1637"/>
      <c r="D96" s="352"/>
      <c r="K96" s="1161"/>
      <c r="L96" s="1637"/>
      <c r="M96" s="1637"/>
      <c r="N96" s="1161"/>
      <c r="O96" s="1161"/>
      <c r="P96" s="1161"/>
      <c r="Q96" s="1161"/>
      <c r="R96" s="1637"/>
      <c r="S96" s="1161"/>
      <c r="T96" s="1161"/>
      <c r="U96" s="545"/>
      <c r="V96" s="1161"/>
      <c r="W96" s="1161"/>
      <c r="X96" s="1161"/>
      <c r="Y96" s="1161"/>
      <c r="Z96" s="1161"/>
      <c r="AA96" s="1633"/>
      <c r="AB96" s="567"/>
      <c r="AC96" s="567"/>
      <c r="AD96" s="567"/>
      <c r="AE96" s="567"/>
      <c r="AF96" s="1642">
        <v>11</v>
      </c>
    </row>
    <row s="1642" customFormat="1" customHeight="1" ht="11.549999999999999">
      <c r="A97" s="988"/>
      <c r="B97" s="1637"/>
      <c r="C97" s="1637"/>
      <c r="D97" s="352"/>
      <c r="K97" s="1161"/>
      <c r="L97" s="1637"/>
      <c r="M97" s="1637"/>
      <c r="N97" s="1161"/>
      <c r="O97" s="1161"/>
      <c r="P97" s="1161"/>
      <c r="Q97" s="1161"/>
      <c r="R97" s="1637"/>
      <c r="S97" s="1161"/>
      <c r="T97" s="1161"/>
      <c r="U97" s="545"/>
      <c r="V97" s="1161"/>
      <c r="W97" s="1161"/>
      <c r="X97" s="1161"/>
      <c r="Y97" s="1161"/>
      <c r="Z97" s="1161"/>
      <c r="AA97" s="1633"/>
      <c r="AB97" s="567"/>
      <c r="AC97" s="567"/>
      <c r="AD97" s="567"/>
      <c r="AE97" s="567"/>
      <c r="AF97" s="1642">
        <v>11</v>
      </c>
    </row>
    <row s="1642" customFormat="1" customHeight="1" ht="11.549999999999999">
      <c r="A98" s="988"/>
      <c r="B98" s="1637"/>
      <c r="C98" s="1637"/>
      <c r="D98" s="352"/>
      <c r="K98" s="1161"/>
      <c r="L98" s="1637"/>
      <c r="M98" s="1637"/>
      <c r="N98" s="1161"/>
      <c r="O98" s="1161"/>
      <c r="P98" s="1161"/>
      <c r="Q98" s="1161"/>
      <c r="R98" s="1637"/>
      <c r="S98" s="1161"/>
      <c r="T98" s="1161"/>
      <c r="U98" s="545"/>
      <c r="V98" s="1161"/>
      <c r="W98" s="1161"/>
      <c r="X98" s="1161"/>
      <c r="Y98" s="1161"/>
      <c r="Z98" s="1161"/>
      <c r="AA98" s="1633"/>
      <c r="AB98" s="567"/>
      <c r="AC98" s="567"/>
      <c r="AD98" s="567"/>
      <c r="AE98" s="567"/>
      <c r="AF98" s="1642">
        <v>11</v>
      </c>
    </row>
    <row s="1642" customFormat="1" customHeight="1" ht="11.549999999999999">
      <c r="A99" s="988"/>
      <c r="B99" s="1637"/>
      <c r="C99" s="1637"/>
      <c r="D99" s="352"/>
      <c r="K99" s="1161"/>
      <c r="L99" s="1637"/>
      <c r="M99" s="1637"/>
      <c r="N99" s="1161"/>
      <c r="O99" s="1161"/>
      <c r="P99" s="1161"/>
      <c r="Q99" s="1161"/>
      <c r="R99" s="1637"/>
      <c r="S99" s="1161"/>
      <c r="T99" s="1161"/>
      <c r="U99" s="545"/>
      <c r="V99" s="1161"/>
      <c r="W99" s="1161"/>
      <c r="X99" s="1161"/>
      <c r="Y99" s="1161"/>
      <c r="Z99" s="1161"/>
      <c r="AA99" s="1633"/>
      <c r="AB99" s="567"/>
      <c r="AC99" s="567"/>
      <c r="AD99" s="567"/>
      <c r="AE99" s="567"/>
      <c r="AF99" s="1642">
        <v>11</v>
      </c>
    </row>
    <row s="1642" customFormat="1" customHeight="1" ht="11.549999999999999">
      <c r="A100" s="988"/>
      <c r="B100" s="1637"/>
      <c r="C100" s="1637"/>
      <c r="D100" s="352"/>
      <c r="K100" s="1161"/>
      <c r="L100" s="1637"/>
      <c r="M100" s="1637"/>
      <c r="N100" s="1161"/>
      <c r="O100" s="1161"/>
      <c r="P100" s="1161"/>
      <c r="Q100" s="1161"/>
      <c r="R100" s="1637"/>
      <c r="S100" s="1161"/>
      <c r="T100" s="1161"/>
      <c r="U100" s="545"/>
      <c r="V100" s="1161"/>
      <c r="W100" s="1161"/>
      <c r="X100" s="1161"/>
      <c r="Y100" s="1161"/>
      <c r="Z100" s="1161"/>
      <c r="AA100" s="1633"/>
      <c r="AB100" s="567"/>
      <c r="AC100" s="567"/>
      <c r="AD100" s="567"/>
      <c r="AE100" s="567"/>
      <c r="AF100" s="1642">
        <v>11</v>
      </c>
    </row>
    <row s="1642" customFormat="1" customHeight="1" ht="11.549999999999999">
      <c r="A101" s="988"/>
      <c r="B101" s="1637"/>
      <c r="C101" s="1637"/>
      <c r="D101" s="352"/>
      <c r="K101" s="1161"/>
      <c r="L101" s="1637"/>
      <c r="M101" s="1637"/>
      <c r="N101" s="1161"/>
      <c r="O101" s="1161"/>
      <c r="P101" s="1161"/>
      <c r="Q101" s="1161"/>
      <c r="R101" s="1637"/>
      <c r="S101" s="1161"/>
      <c r="T101" s="1161"/>
      <c r="U101" s="545"/>
      <c r="V101" s="1161"/>
      <c r="W101" s="1161"/>
      <c r="X101" s="1161"/>
      <c r="Y101" s="1161"/>
      <c r="Z101" s="1161"/>
      <c r="AA101" s="1633"/>
      <c r="AB101" s="567"/>
      <c r="AC101" s="567"/>
      <c r="AD101" s="567"/>
      <c r="AE101" s="567"/>
      <c r="AF101" s="1642">
        <v>11</v>
      </c>
    </row>
    <row s="1642" customFormat="1" customHeight="1" ht="11.549999999999999">
      <c r="A102" s="988"/>
      <c r="B102" s="1637"/>
      <c r="C102" s="1637"/>
      <c r="D102" s="352"/>
      <c r="K102" s="1161"/>
      <c r="L102" s="1637"/>
      <c r="M102" s="1637"/>
      <c r="N102" s="1161"/>
      <c r="O102" s="1161"/>
      <c r="P102" s="1161"/>
      <c r="Q102" s="1161"/>
      <c r="R102" s="1637"/>
      <c r="S102" s="1161"/>
      <c r="T102" s="1161"/>
      <c r="U102" s="545"/>
      <c r="V102" s="1161"/>
      <c r="W102" s="1161"/>
      <c r="X102" s="1161"/>
      <c r="Y102" s="1161"/>
      <c r="Z102" s="1161"/>
      <c r="AA102" s="1633"/>
      <c r="AB102" s="567"/>
      <c r="AC102" s="567"/>
      <c r="AD102" s="567"/>
      <c r="AE102" s="567"/>
      <c r="AF102" s="1642">
        <v>11</v>
      </c>
    </row>
    <row s="1642" customFormat="1" customHeight="1" ht="11.549999999999999">
      <c r="A103" s="988"/>
      <c r="B103" s="1637"/>
      <c r="C103" s="1637"/>
      <c r="D103" s="352"/>
      <c r="K103" s="1161"/>
      <c r="L103" s="1637"/>
      <c r="M103" s="1637"/>
      <c r="N103" s="1161"/>
      <c r="O103" s="1161"/>
      <c r="P103" s="1161"/>
      <c r="Q103" s="1161"/>
      <c r="R103" s="1637"/>
      <c r="S103" s="1161"/>
      <c r="T103" s="1161"/>
      <c r="U103" s="545"/>
      <c r="V103" s="1161"/>
      <c r="W103" s="1161"/>
      <c r="X103" s="1161"/>
      <c r="Y103" s="1161"/>
      <c r="Z103" s="1161"/>
      <c r="AA103" s="1633"/>
      <c r="AB103" s="567"/>
      <c r="AC103" s="567"/>
      <c r="AD103" s="567"/>
      <c r="AE103" s="567"/>
      <c r="AF103" s="1642">
        <v>11</v>
      </c>
    </row>
    <row s="1642" customFormat="1" customHeight="1" ht="11.549999999999999">
      <c r="A104" s="988"/>
      <c r="B104" s="1637"/>
      <c r="C104" s="1637"/>
      <c r="D104" s="352"/>
      <c r="K104" s="1161"/>
      <c r="L104" s="1637"/>
      <c r="M104" s="1637"/>
      <c r="N104" s="1161"/>
      <c r="O104" s="1161"/>
      <c r="P104" s="1161"/>
      <c r="Q104" s="1161"/>
      <c r="R104" s="1637"/>
      <c r="S104" s="1161"/>
      <c r="T104" s="1161"/>
      <c r="U104" s="545"/>
      <c r="V104" s="1161"/>
      <c r="W104" s="1161"/>
      <c r="X104" s="1161"/>
      <c r="Y104" s="1161"/>
      <c r="Z104" s="1161"/>
      <c r="AA104" s="1633"/>
      <c r="AB104" s="567"/>
      <c r="AC104" s="567"/>
      <c r="AD104" s="567"/>
      <c r="AE104" s="567"/>
      <c r="AF104" s="1642">
        <v>11</v>
      </c>
    </row>
    <row s="1642" customFormat="1" customHeight="1" ht="11.549999999999999">
      <c r="A105" s="988"/>
      <c r="B105" s="1637"/>
      <c r="C105" s="1637"/>
      <c r="D105" s="352"/>
      <c r="K105" s="1161"/>
      <c r="L105" s="1637"/>
      <c r="M105" s="1637"/>
      <c r="N105" s="1161"/>
      <c r="O105" s="1161"/>
      <c r="P105" s="1161"/>
      <c r="Q105" s="1161"/>
      <c r="R105" s="1637"/>
      <c r="S105" s="1161"/>
      <c r="T105" s="1161"/>
      <c r="U105" s="545"/>
      <c r="V105" s="1161"/>
      <c r="W105" s="1161"/>
      <c r="X105" s="1161"/>
      <c r="Y105" s="1161"/>
      <c r="Z105" s="1161"/>
      <c r="AA105" s="1633"/>
      <c r="AB105" s="567"/>
      <c r="AC105" s="567"/>
      <c r="AD105" s="567"/>
      <c r="AE105" s="567"/>
      <c r="AF105" s="1642">
        <v>11</v>
      </c>
    </row>
    <row s="1642" customFormat="1" customHeight="1" ht="11.549999999999999">
      <c r="A106" s="988"/>
      <c r="B106" s="1637"/>
      <c r="C106" s="1637"/>
      <c r="D106" s="352"/>
      <c r="K106" s="1161"/>
      <c r="L106" s="1637"/>
      <c r="M106" s="1637"/>
      <c r="N106" s="1161"/>
      <c r="O106" s="1161"/>
      <c r="P106" s="1161"/>
      <c r="Q106" s="1161"/>
      <c r="R106" s="1637"/>
      <c r="S106" s="1161"/>
      <c r="T106" s="1161"/>
      <c r="U106" s="545"/>
      <c r="V106" s="1161"/>
      <c r="W106" s="1161"/>
      <c r="X106" s="1161"/>
      <c r="Y106" s="1161"/>
      <c r="Z106" s="1161"/>
      <c r="AA106" s="1633"/>
      <c r="AB106" s="567"/>
      <c r="AC106" s="567"/>
      <c r="AD106" s="567"/>
      <c r="AE106" s="567"/>
      <c r="AF106" s="1642">
        <v>11</v>
      </c>
    </row>
    <row s="1642" customFormat="1" customHeight="1" ht="11.549999999999999">
      <c r="A107" s="988"/>
      <c r="B107" s="1637"/>
      <c r="C107" s="1637"/>
      <c r="D107" s="352"/>
      <c r="K107" s="1161"/>
      <c r="L107" s="1637"/>
      <c r="M107" s="1637"/>
      <c r="N107" s="1161"/>
      <c r="O107" s="1161"/>
      <c r="P107" s="1161"/>
      <c r="Q107" s="1161"/>
      <c r="R107" s="1637"/>
      <c r="S107" s="1161"/>
      <c r="T107" s="1161"/>
      <c r="U107" s="545"/>
      <c r="V107" s="1161"/>
      <c r="W107" s="1161"/>
      <c r="X107" s="1161"/>
      <c r="Y107" s="1161"/>
      <c r="Z107" s="1161"/>
      <c r="AA107" s="1633"/>
      <c r="AB107" s="567"/>
      <c r="AC107" s="567"/>
      <c r="AD107" s="567"/>
      <c r="AE107" s="567"/>
      <c r="AF107" s="1642">
        <v>11</v>
      </c>
    </row>
    <row s="1642" customFormat="1" customHeight="1" ht="11.549999999999999">
      <c r="A108" s="988"/>
      <c r="B108" s="1637"/>
      <c r="C108" s="1637"/>
      <c r="D108" s="352"/>
      <c r="K108" s="1161"/>
      <c r="L108" s="1637"/>
      <c r="M108" s="1637"/>
      <c r="N108" s="1161"/>
      <c r="O108" s="1161"/>
      <c r="P108" s="1161"/>
      <c r="Q108" s="1161"/>
      <c r="R108" s="1637"/>
      <c r="S108" s="1161"/>
      <c r="T108" s="1161"/>
      <c r="U108" s="545"/>
      <c r="V108" s="1161"/>
      <c r="W108" s="1161"/>
      <c r="X108" s="1161"/>
      <c r="Y108" s="1161"/>
      <c r="Z108" s="1161"/>
      <c r="AA108" s="1633"/>
      <c r="AB108" s="567"/>
      <c r="AC108" s="567"/>
      <c r="AD108" s="567"/>
      <c r="AE108" s="567"/>
      <c r="AF108" s="1642">
        <v>11</v>
      </c>
    </row>
    <row s="1642" customFormat="1" customHeight="1" ht="11.549999999999999">
      <c r="A109" s="988"/>
      <c r="B109" s="1637"/>
      <c r="C109" s="1637"/>
      <c r="D109" s="352"/>
      <c r="K109" s="1161"/>
      <c r="L109" s="1637"/>
      <c r="M109" s="1637"/>
      <c r="N109" s="1161"/>
      <c r="O109" s="1161"/>
      <c r="P109" s="1161"/>
      <c r="Q109" s="1161"/>
      <c r="R109" s="1637"/>
      <c r="S109" s="1161"/>
      <c r="T109" s="1161"/>
      <c r="U109" s="545"/>
      <c r="V109" s="1161"/>
      <c r="W109" s="1161"/>
      <c r="X109" s="1161"/>
      <c r="Y109" s="1161"/>
      <c r="Z109" s="1161"/>
      <c r="AA109" s="1633"/>
      <c r="AB109" s="567"/>
      <c r="AC109" s="567"/>
      <c r="AD109" s="567"/>
      <c r="AE109" s="567"/>
      <c r="AF109" s="1642">
        <v>11</v>
      </c>
    </row>
    <row s="1642" customFormat="1" customHeight="1" ht="11.549999999999999">
      <c r="A110" s="988"/>
      <c r="B110" s="1637"/>
      <c r="C110" s="1637"/>
      <c r="D110" s="352"/>
      <c r="K110" s="1161"/>
      <c r="L110" s="1637"/>
      <c r="M110" s="1637"/>
      <c r="N110" s="1161"/>
      <c r="O110" s="1161"/>
      <c r="P110" s="1161"/>
      <c r="Q110" s="1161"/>
      <c r="R110" s="1637"/>
      <c r="S110" s="1161"/>
      <c r="T110" s="1161"/>
      <c r="U110" s="545"/>
      <c r="V110" s="1161"/>
      <c r="W110" s="1161"/>
      <c r="X110" s="1161"/>
      <c r="Y110" s="1161"/>
      <c r="Z110" s="1161"/>
      <c r="AA110" s="1633"/>
      <c r="AB110" s="567"/>
      <c r="AC110" s="567"/>
      <c r="AD110" s="567"/>
      <c r="AE110" s="567"/>
      <c r="AF110" s="1642">
        <v>11</v>
      </c>
    </row>
    <row s="1642" customFormat="1" customHeight="1" ht="11.549999999999999">
      <c r="A111" s="988"/>
      <c r="B111" s="1637"/>
      <c r="C111" s="1637"/>
      <c r="D111" s="352"/>
      <c r="K111" s="1161"/>
      <c r="L111" s="1637"/>
      <c r="M111" s="1637"/>
      <c r="N111" s="1161"/>
      <c r="O111" s="1161"/>
      <c r="P111" s="1161"/>
      <c r="Q111" s="1161"/>
      <c r="R111" s="1637"/>
      <c r="S111" s="1161"/>
      <c r="T111" s="1161"/>
      <c r="U111" s="545"/>
      <c r="V111" s="1161"/>
      <c r="W111" s="1161"/>
      <c r="X111" s="1161"/>
      <c r="Y111" s="1161"/>
      <c r="Z111" s="1161"/>
      <c r="AA111" s="1633"/>
      <c r="AB111" s="567"/>
      <c r="AC111" s="567"/>
      <c r="AD111" s="567"/>
      <c r="AE111" s="567"/>
      <c r="AF111" s="1642">
        <v>11</v>
      </c>
    </row>
    <row s="1642" customFormat="1" customHeight="1" ht="11.549999999999999">
      <c r="A112" s="988"/>
      <c r="B112" s="1637"/>
      <c r="C112" s="1637"/>
      <c r="D112" s="352"/>
      <c r="K112" s="1161"/>
      <c r="L112" s="1637"/>
      <c r="M112" s="1637"/>
      <c r="N112" s="1161"/>
      <c r="O112" s="1161"/>
      <c r="P112" s="1161"/>
      <c r="Q112" s="1161"/>
      <c r="R112" s="1637"/>
      <c r="S112" s="1161"/>
      <c r="T112" s="1161"/>
      <c r="U112" s="545"/>
      <c r="V112" s="1161"/>
      <c r="W112" s="1161"/>
      <c r="X112" s="1161"/>
      <c r="Y112" s="1161"/>
      <c r="Z112" s="1161"/>
      <c r="AA112" s="1633"/>
      <c r="AB112" s="567"/>
      <c r="AC112" s="567"/>
      <c r="AD112" s="567"/>
      <c r="AE112" s="567"/>
      <c r="AF112" s="1642">
        <v>11</v>
      </c>
    </row>
    <row s="1642" customFormat="1" customHeight="1" ht="11.549999999999999">
      <c r="A113" s="988"/>
      <c r="B113" s="1637"/>
      <c r="C113" s="1637"/>
      <c r="D113" s="352"/>
      <c r="K113" s="1161"/>
      <c r="L113" s="1637"/>
      <c r="M113" s="1637"/>
      <c r="N113" s="1161"/>
      <c r="O113" s="1161"/>
      <c r="P113" s="1161"/>
      <c r="Q113" s="1161"/>
      <c r="R113" s="1637"/>
      <c r="S113" s="1161"/>
      <c r="T113" s="1161"/>
      <c r="U113" s="545"/>
      <c r="V113" s="1161"/>
      <c r="W113" s="1161"/>
      <c r="X113" s="1161"/>
      <c r="Y113" s="1161"/>
      <c r="Z113" s="1161"/>
      <c r="AA113" s="1633"/>
      <c r="AB113" s="567"/>
      <c r="AC113" s="567"/>
      <c r="AD113" s="567"/>
      <c r="AE113" s="567"/>
      <c r="AF113" s="1642">
        <v>11</v>
      </c>
    </row>
    <row s="1642" customFormat="1" customHeight="1" ht="11.549999999999999">
      <c r="A114" s="988"/>
      <c r="B114" s="1637"/>
      <c r="C114" s="1637"/>
      <c r="D114" s="352"/>
      <c r="K114" s="1161"/>
      <c r="L114" s="1637"/>
      <c r="M114" s="1637"/>
      <c r="N114" s="1161"/>
      <c r="O114" s="1161"/>
      <c r="P114" s="1161"/>
      <c r="Q114" s="1161"/>
      <c r="R114" s="1637"/>
      <c r="S114" s="1161"/>
      <c r="T114" s="1161"/>
      <c r="U114" s="545"/>
      <c r="V114" s="1161"/>
      <c r="W114" s="1161"/>
      <c r="X114" s="1161"/>
      <c r="Y114" s="1161"/>
      <c r="Z114" s="1161"/>
      <c r="AA114" s="1633"/>
      <c r="AB114" s="567"/>
      <c r="AC114" s="567"/>
      <c r="AD114" s="567"/>
      <c r="AE114" s="567"/>
      <c r="AF114" s="1642">
        <v>11</v>
      </c>
    </row>
    <row s="1642" customFormat="1" customHeight="1" ht="11.549999999999999">
      <c r="A115" s="988"/>
      <c r="B115" s="1637"/>
      <c r="C115" s="1637"/>
      <c r="D115" s="352"/>
      <c r="K115" s="1161"/>
      <c r="L115" s="1637"/>
      <c r="M115" s="1637"/>
      <c r="N115" s="1161"/>
      <c r="O115" s="1161"/>
      <c r="P115" s="1161"/>
      <c r="Q115" s="1161"/>
      <c r="R115" s="1637"/>
      <c r="S115" s="1161"/>
      <c r="T115" s="1161"/>
      <c r="U115" s="545"/>
      <c r="V115" s="1161"/>
      <c r="W115" s="1161"/>
      <c r="X115" s="1161"/>
      <c r="Y115" s="1161"/>
      <c r="Z115" s="1161"/>
      <c r="AA115" s="1633"/>
      <c r="AB115" s="567"/>
      <c r="AC115" s="567"/>
      <c r="AD115" s="567"/>
      <c r="AE115" s="567"/>
      <c r="AF115" s="1642">
        <v>11</v>
      </c>
    </row>
    <row s="1642" customFormat="1" customHeight="1" ht="11.549999999999999">
      <c r="A116" s="988"/>
      <c r="B116" s="1637"/>
      <c r="C116" s="1637"/>
      <c r="D116" s="352"/>
      <c r="K116" s="1161"/>
      <c r="L116" s="1637"/>
      <c r="M116" s="1637"/>
      <c r="N116" s="1161"/>
      <c r="O116" s="1161"/>
      <c r="P116" s="1161"/>
      <c r="Q116" s="1161"/>
      <c r="R116" s="1637"/>
      <c r="S116" s="1161"/>
      <c r="T116" s="1161"/>
      <c r="U116" s="545"/>
      <c r="V116" s="1161"/>
      <c r="W116" s="1161"/>
      <c r="X116" s="1161"/>
      <c r="Y116" s="1161"/>
      <c r="Z116" s="1161"/>
      <c r="AA116" s="1633"/>
      <c r="AB116" s="567"/>
      <c r="AC116" s="567"/>
      <c r="AD116" s="567"/>
      <c r="AE116" s="567"/>
      <c r="AF116" s="1642">
        <v>11</v>
      </c>
    </row>
    <row s="1642" customFormat="1" customHeight="1" ht="11.549999999999999">
      <c r="A117" s="988"/>
      <c r="B117" s="1637"/>
      <c r="C117" s="1637"/>
      <c r="D117" s="352"/>
      <c r="K117" s="1161"/>
      <c r="L117" s="1637"/>
      <c r="M117" s="1637"/>
      <c r="N117" s="1161"/>
      <c r="O117" s="1161"/>
      <c r="P117" s="1161"/>
      <c r="Q117" s="1161"/>
      <c r="R117" s="1637"/>
      <c r="S117" s="1161"/>
      <c r="T117" s="1161"/>
      <c r="U117" s="545"/>
      <c r="V117" s="1161"/>
      <c r="W117" s="1161"/>
      <c r="X117" s="1161"/>
      <c r="Y117" s="1161"/>
      <c r="Z117" s="1161"/>
      <c r="AA117" s="1633"/>
      <c r="AB117" s="567"/>
      <c r="AC117" s="567"/>
      <c r="AD117" s="567"/>
      <c r="AE117" s="567"/>
      <c r="AF117" s="1642">
        <v>11</v>
      </c>
    </row>
    <row s="1642" customFormat="1" customHeight="1" ht="11.549999999999999">
      <c r="A118" s="988"/>
      <c r="B118" s="1637"/>
      <c r="C118" s="1637"/>
      <c r="D118" s="352"/>
      <c r="K118" s="1161"/>
      <c r="L118" s="1637"/>
      <c r="M118" s="1637"/>
      <c r="N118" s="1161"/>
      <c r="O118" s="1161"/>
      <c r="P118" s="1161"/>
      <c r="Q118" s="1161"/>
      <c r="R118" s="1637"/>
      <c r="S118" s="1161"/>
      <c r="T118" s="1161"/>
      <c r="U118" s="545"/>
      <c r="V118" s="1161"/>
      <c r="W118" s="1161"/>
      <c r="X118" s="1161"/>
      <c r="Y118" s="1161"/>
      <c r="Z118" s="1161"/>
      <c r="AA118" s="1633"/>
      <c r="AB118" s="567"/>
      <c r="AC118" s="567"/>
      <c r="AD118" s="567"/>
      <c r="AE118" s="567"/>
      <c r="AF118" s="1642">
        <v>11</v>
      </c>
    </row>
    <row s="1642" customFormat="1" customHeight="1" ht="11.549999999999999">
      <c r="A119" s="988"/>
      <c r="B119" s="1637"/>
      <c r="C119" s="1637"/>
      <c r="D119" s="352"/>
      <c r="K119" s="1161"/>
      <c r="L119" s="1637"/>
      <c r="M119" s="1637"/>
      <c r="N119" s="1161"/>
      <c r="O119" s="1161"/>
      <c r="P119" s="1161"/>
      <c r="Q119" s="1161"/>
      <c r="R119" s="1637"/>
      <c r="S119" s="1161"/>
      <c r="T119" s="1161"/>
      <c r="U119" s="545"/>
      <c r="V119" s="1161"/>
      <c r="W119" s="1161"/>
      <c r="X119" s="1161"/>
      <c r="Y119" s="1161"/>
      <c r="Z119" s="1161"/>
      <c r="AA119" s="1633"/>
      <c r="AB119" s="567"/>
      <c r="AC119" s="567"/>
      <c r="AD119" s="567"/>
      <c r="AE119" s="567"/>
      <c r="AF119" s="1642">
        <v>11</v>
      </c>
    </row>
    <row s="1642" customFormat="1" customHeight="1" ht="11.549999999999999">
      <c r="A120" s="988"/>
      <c r="B120" s="1637"/>
      <c r="C120" s="1637"/>
      <c r="D120" s="352"/>
      <c r="K120" s="1161"/>
      <c r="L120" s="1637"/>
      <c r="M120" s="1637"/>
      <c r="N120" s="1161"/>
      <c r="O120" s="1161"/>
      <c r="P120" s="1161"/>
      <c r="Q120" s="1161"/>
      <c r="R120" s="1637"/>
      <c r="S120" s="1161"/>
      <c r="T120" s="1161"/>
      <c r="U120" s="545"/>
      <c r="V120" s="1161"/>
      <c r="W120" s="1161"/>
      <c r="X120" s="1161"/>
      <c r="Y120" s="1161"/>
      <c r="Z120" s="1161"/>
      <c r="AA120" s="1633"/>
      <c r="AB120" s="567"/>
      <c r="AC120" s="567"/>
      <c r="AD120" s="567"/>
      <c r="AE120" s="567"/>
      <c r="AF120" s="1642">
        <v>11</v>
      </c>
    </row>
    <row s="1642" customFormat="1" customHeight="1" ht="11.549999999999999">
      <c r="A121" s="988"/>
      <c r="B121" s="1637"/>
      <c r="C121" s="1637"/>
      <c r="D121" s="352"/>
      <c r="K121" s="1161"/>
      <c r="L121" s="1637"/>
      <c r="M121" s="1637"/>
      <c r="N121" s="1161"/>
      <c r="O121" s="1161"/>
      <c r="P121" s="1161"/>
      <c r="Q121" s="1161"/>
      <c r="R121" s="1637"/>
      <c r="S121" s="1161"/>
      <c r="T121" s="1161"/>
      <c r="U121" s="545"/>
      <c r="V121" s="1161"/>
      <c r="W121" s="1161"/>
      <c r="X121" s="1161"/>
      <c r="Y121" s="1161"/>
      <c r="Z121" s="1161"/>
      <c r="AA121" s="1633"/>
      <c r="AB121" s="567"/>
      <c r="AC121" s="567"/>
      <c r="AD121" s="567"/>
      <c r="AE121" s="567"/>
      <c r="AF121" s="1642">
        <v>11</v>
      </c>
    </row>
    <row s="1642" customFormat="1" customHeight="1" ht="11.549999999999999">
      <c r="A122" s="988"/>
      <c r="B122" s="1637"/>
      <c r="C122" s="1637"/>
      <c r="D122" s="352"/>
      <c r="K122" s="1161"/>
      <c r="L122" s="1637"/>
      <c r="M122" s="1637"/>
      <c r="N122" s="1161"/>
      <c r="O122" s="1161"/>
      <c r="P122" s="1161"/>
      <c r="Q122" s="1161"/>
      <c r="R122" s="1637"/>
      <c r="S122" s="1161"/>
      <c r="T122" s="1161"/>
      <c r="U122" s="545"/>
      <c r="V122" s="1161"/>
      <c r="W122" s="1161"/>
      <c r="X122" s="1161"/>
      <c r="Y122" s="1161"/>
      <c r="Z122" s="1161"/>
      <c r="AA122" s="1633"/>
      <c r="AB122" s="567"/>
      <c r="AC122" s="567"/>
      <c r="AD122" s="567"/>
      <c r="AE122" s="567"/>
      <c r="AF122" s="1642">
        <v>11</v>
      </c>
    </row>
    <row s="1642" customFormat="1" customHeight="1" ht="11.549999999999999">
      <c r="A123" s="988"/>
      <c r="B123" s="1637"/>
      <c r="C123" s="1637"/>
      <c r="D123" s="352"/>
      <c r="K123" s="1161"/>
      <c r="L123" s="1637"/>
      <c r="M123" s="1637"/>
      <c r="N123" s="1161"/>
      <c r="O123" s="1161"/>
      <c r="P123" s="1161"/>
      <c r="Q123" s="1161"/>
      <c r="R123" s="1637"/>
      <c r="S123" s="1161"/>
      <c r="T123" s="1161"/>
      <c r="U123" s="545"/>
      <c r="V123" s="1161"/>
      <c r="W123" s="1161"/>
      <c r="X123" s="1161"/>
      <c r="Y123" s="1161"/>
      <c r="Z123" s="1161"/>
      <c r="AA123" s="1633"/>
      <c r="AB123" s="567"/>
      <c r="AC123" s="567"/>
      <c r="AD123" s="567"/>
      <c r="AE123" s="567"/>
      <c r="AF123" s="1642">
        <v>11</v>
      </c>
    </row>
    <row s="1642" customFormat="1" customHeight="1" ht="11.549999999999999">
      <c r="A124" s="988"/>
      <c r="B124" s="1637"/>
      <c r="C124" s="1637"/>
      <c r="D124" s="352"/>
      <c r="K124" s="1161"/>
      <c r="L124" s="1637"/>
      <c r="M124" s="1637"/>
      <c r="N124" s="1161"/>
      <c r="O124" s="1161"/>
      <c r="P124" s="1161"/>
      <c r="Q124" s="1161"/>
      <c r="R124" s="1637"/>
      <c r="S124" s="1161"/>
      <c r="T124" s="1161"/>
      <c r="U124" s="545"/>
      <c r="V124" s="1161"/>
      <c r="W124" s="1161"/>
      <c r="X124" s="1161"/>
      <c r="Y124" s="1161"/>
      <c r="Z124" s="1161"/>
      <c r="AA124" s="1633"/>
      <c r="AB124" s="567"/>
      <c r="AC124" s="567"/>
      <c r="AD124" s="567"/>
      <c r="AE124" s="567"/>
      <c r="AF124" s="1642">
        <v>11</v>
      </c>
    </row>
    <row s="1642" customFormat="1" customHeight="1" ht="11.549999999999999">
      <c r="A125" s="988"/>
      <c r="B125" s="1637"/>
      <c r="C125" s="1637"/>
      <c r="D125" s="352"/>
      <c r="K125" s="1161"/>
      <c r="L125" s="1637"/>
      <c r="M125" s="1637"/>
      <c r="N125" s="1161"/>
      <c r="O125" s="1161"/>
      <c r="P125" s="1161"/>
      <c r="Q125" s="1161"/>
      <c r="R125" s="1637"/>
      <c r="S125" s="1161"/>
      <c r="T125" s="1161"/>
      <c r="U125" s="545"/>
      <c r="V125" s="1161"/>
      <c r="W125" s="1161"/>
      <c r="X125" s="1161"/>
      <c r="Y125" s="1161"/>
      <c r="Z125" s="1161"/>
      <c r="AA125" s="1633"/>
      <c r="AB125" s="567"/>
      <c r="AC125" s="567"/>
      <c r="AD125" s="567"/>
      <c r="AE125" s="567"/>
      <c r="AF125" s="1642">
        <v>11</v>
      </c>
    </row>
    <row s="1642" customFormat="1" customHeight="1" ht="11.549999999999999">
      <c r="A126" s="988"/>
      <c r="B126" s="1637"/>
      <c r="C126" s="1637"/>
      <c r="D126" s="352"/>
      <c r="K126" s="1161"/>
      <c r="L126" s="1637"/>
      <c r="M126" s="1637"/>
      <c r="N126" s="1161"/>
      <c r="O126" s="1161"/>
      <c r="P126" s="1161"/>
      <c r="Q126" s="1161"/>
      <c r="R126" s="1637"/>
      <c r="S126" s="1161"/>
      <c r="T126" s="1161"/>
      <c r="U126" s="545"/>
      <c r="V126" s="1161"/>
      <c r="W126" s="1161"/>
      <c r="X126" s="1161"/>
      <c r="Y126" s="1161"/>
      <c r="Z126" s="1161"/>
      <c r="AA126" s="1633"/>
      <c r="AB126" s="567"/>
      <c r="AC126" s="567"/>
      <c r="AD126" s="567"/>
      <c r="AE126" s="567"/>
      <c r="AF126" s="1642">
        <v>11</v>
      </c>
    </row>
    <row s="1642" customFormat="1" customHeight="1" ht="11.549999999999999">
      <c r="A127" s="988"/>
      <c r="B127" s="1637"/>
      <c r="C127" s="1637"/>
      <c r="D127" s="352"/>
      <c r="K127" s="1161"/>
      <c r="L127" s="1637"/>
      <c r="M127" s="1637"/>
      <c r="N127" s="1161"/>
      <c r="O127" s="1161"/>
      <c r="P127" s="1161"/>
      <c r="Q127" s="1161"/>
      <c r="R127" s="1637"/>
      <c r="S127" s="1161"/>
      <c r="T127" s="1161"/>
      <c r="U127" s="545"/>
      <c r="V127" s="1161"/>
      <c r="W127" s="1161"/>
      <c r="X127" s="1161"/>
      <c r="Y127" s="1161"/>
      <c r="Z127" s="1161"/>
      <c r="AA127" s="1633"/>
      <c r="AB127" s="567"/>
      <c r="AC127" s="567"/>
      <c r="AD127" s="567"/>
      <c r="AE127" s="567"/>
      <c r="AF127" s="1642">
        <v>11</v>
      </c>
    </row>
    <row s="1642" customFormat="1" customHeight="1" ht="11.549999999999999">
      <c r="A128" s="988"/>
      <c r="B128" s="1637"/>
      <c r="C128" s="1637"/>
      <c r="D128" s="352"/>
      <c r="K128" s="1161"/>
      <c r="L128" s="1637"/>
      <c r="M128" s="1637"/>
      <c r="N128" s="1161"/>
      <c r="O128" s="1161"/>
      <c r="P128" s="1161"/>
      <c r="Q128" s="1161"/>
      <c r="R128" s="1637"/>
      <c r="S128" s="1161"/>
      <c r="T128" s="1161"/>
      <c r="U128" s="545"/>
      <c r="V128" s="1161"/>
      <c r="W128" s="1161"/>
      <c r="X128" s="1161"/>
      <c r="Y128" s="1161"/>
      <c r="Z128" s="1161"/>
      <c r="AA128" s="1633"/>
      <c r="AB128" s="567"/>
      <c r="AC128" s="567"/>
      <c r="AD128" s="567"/>
      <c r="AE128" s="567"/>
      <c r="AF128" s="1642">
        <v>11</v>
      </c>
    </row>
    <row s="1642" customFormat="1" customHeight="1" ht="11.549999999999999">
      <c r="A129" s="988"/>
      <c r="B129" s="1637"/>
      <c r="C129" s="1637"/>
      <c r="D129" s="352"/>
      <c r="K129" s="1161"/>
      <c r="L129" s="1637"/>
      <c r="M129" s="1637"/>
      <c r="N129" s="1161"/>
      <c r="O129" s="1161"/>
      <c r="P129" s="1161"/>
      <c r="Q129" s="1161"/>
      <c r="R129" s="1637"/>
      <c r="S129" s="1161"/>
      <c r="T129" s="1161"/>
      <c r="U129" s="545"/>
      <c r="V129" s="1161"/>
      <c r="W129" s="1161"/>
      <c r="X129" s="1161"/>
      <c r="Y129" s="1161"/>
      <c r="Z129" s="1161"/>
      <c r="AA129" s="1633"/>
      <c r="AB129" s="567"/>
      <c r="AC129" s="567"/>
      <c r="AD129" s="567"/>
      <c r="AE129" s="567"/>
      <c r="AF129" s="1642">
        <v>11</v>
      </c>
    </row>
    <row s="1642" customFormat="1" customHeight="1" ht="11.549999999999999">
      <c r="A130" s="988"/>
      <c r="B130" s="1637"/>
      <c r="C130" s="1637"/>
      <c r="D130" s="352"/>
      <c r="K130" s="1161"/>
      <c r="L130" s="1637"/>
      <c r="M130" s="1637"/>
      <c r="N130" s="1161"/>
      <c r="O130" s="1161"/>
      <c r="P130" s="1161"/>
      <c r="Q130" s="1161"/>
      <c r="R130" s="1637"/>
      <c r="S130" s="1161"/>
      <c r="T130" s="1161"/>
      <c r="U130" s="545"/>
      <c r="V130" s="1161"/>
      <c r="W130" s="1161"/>
      <c r="X130" s="1161"/>
      <c r="Y130" s="1161"/>
      <c r="Z130" s="1161"/>
      <c r="AA130" s="1633"/>
      <c r="AB130" s="567"/>
      <c r="AC130" s="567"/>
      <c r="AD130" s="567"/>
      <c r="AE130" s="567"/>
      <c r="AF130" s="1642">
        <v>11</v>
      </c>
    </row>
    <row s="1642" customFormat="1" customHeight="1" ht="11.549999999999999">
      <c r="A131" s="988"/>
      <c r="B131" s="1637"/>
      <c r="C131" s="1637"/>
      <c r="D131" s="352"/>
      <c r="K131" s="1161"/>
      <c r="L131" s="1637"/>
      <c r="M131" s="1637"/>
      <c r="N131" s="1161"/>
      <c r="O131" s="1161"/>
      <c r="P131" s="1161"/>
      <c r="Q131" s="1161"/>
      <c r="R131" s="1637"/>
      <c r="S131" s="1161"/>
      <c r="T131" s="1161"/>
      <c r="U131" s="545"/>
      <c r="V131" s="1161"/>
      <c r="W131" s="1161"/>
      <c r="X131" s="1161"/>
      <c r="Y131" s="1161"/>
      <c r="Z131" s="1161"/>
      <c r="AA131" s="1633"/>
      <c r="AB131" s="567"/>
      <c r="AC131" s="567"/>
      <c r="AD131" s="567"/>
      <c r="AE131" s="567"/>
      <c r="AF131" s="1642">
        <v>11</v>
      </c>
    </row>
    <row s="1642" customFormat="1" customHeight="1" ht="11.549999999999999">
      <c r="A132" s="988"/>
      <c r="B132" s="1637"/>
      <c r="C132" s="1637"/>
      <c r="D132" s="352"/>
      <c r="K132" s="1161"/>
      <c r="L132" s="1637"/>
      <c r="M132" s="1637"/>
      <c r="N132" s="1161"/>
      <c r="O132" s="1161"/>
      <c r="P132" s="1161"/>
      <c r="Q132" s="1161"/>
      <c r="R132" s="1637"/>
      <c r="S132" s="1161"/>
      <c r="T132" s="1161"/>
      <c r="U132" s="545"/>
      <c r="V132" s="1161"/>
      <c r="W132" s="1161"/>
      <c r="X132" s="1161"/>
      <c r="Y132" s="1161"/>
      <c r="Z132" s="1161"/>
      <c r="AA132" s="1633"/>
      <c r="AB132" s="567"/>
      <c r="AC132" s="567"/>
      <c r="AD132" s="567"/>
      <c r="AE132" s="567"/>
      <c r="AF132" s="1642">
        <v>11</v>
      </c>
    </row>
    <row s="1642" customFormat="1" customHeight="1" ht="11.549999999999999">
      <c r="A133" s="988"/>
      <c r="B133" s="1637"/>
      <c r="C133" s="1637"/>
      <c r="D133" s="352"/>
      <c r="K133" s="1161"/>
      <c r="L133" s="1637"/>
      <c r="M133" s="1637"/>
      <c r="N133" s="1161"/>
      <c r="O133" s="1161"/>
      <c r="P133" s="1161"/>
      <c r="Q133" s="1161"/>
      <c r="R133" s="1637"/>
      <c r="S133" s="1161"/>
      <c r="T133" s="1161"/>
      <c r="U133" s="545"/>
      <c r="V133" s="1161"/>
      <c r="W133" s="1161"/>
      <c r="X133" s="1161"/>
      <c r="Y133" s="1161"/>
      <c r="Z133" s="1161"/>
      <c r="AA133" s="1633"/>
      <c r="AB133" s="567"/>
      <c r="AC133" s="567"/>
      <c r="AD133" s="567"/>
      <c r="AE133" s="567"/>
      <c r="AF133" s="1642">
        <v>11</v>
      </c>
    </row>
    <row s="1642" customFormat="1" customHeight="1" ht="11.549999999999999">
      <c r="A134" s="988"/>
      <c r="B134" s="1637"/>
      <c r="C134" s="1637"/>
      <c r="D134" s="352"/>
      <c r="K134" s="1161"/>
      <c r="L134" s="1637"/>
      <c r="M134" s="1637"/>
      <c r="N134" s="1161"/>
      <c r="O134" s="1161"/>
      <c r="P134" s="1161"/>
      <c r="Q134" s="1161"/>
      <c r="R134" s="1637"/>
      <c r="S134" s="1161"/>
      <c r="T134" s="1161"/>
      <c r="U134" s="545"/>
      <c r="V134" s="1161"/>
      <c r="W134" s="1161"/>
      <c r="X134" s="1161"/>
      <c r="Y134" s="1161"/>
      <c r="Z134" s="1161"/>
      <c r="AA134" s="1633"/>
      <c r="AB134" s="567"/>
      <c r="AC134" s="567"/>
      <c r="AD134" s="567"/>
      <c r="AE134" s="567"/>
      <c r="AF134" s="1642">
        <v>11</v>
      </c>
    </row>
    <row s="1642" customFormat="1" customHeight="1" ht="11.549999999999999">
      <c r="A135" s="988"/>
      <c r="B135" s="1637"/>
      <c r="C135" s="1637"/>
      <c r="D135" s="352"/>
      <c r="K135" s="1161"/>
      <c r="L135" s="1637"/>
      <c r="M135" s="1637"/>
      <c r="N135" s="1161"/>
      <c r="O135" s="1161"/>
      <c r="P135" s="1161"/>
      <c r="Q135" s="1161"/>
      <c r="R135" s="1637"/>
      <c r="S135" s="1161"/>
      <c r="T135" s="1161"/>
      <c r="U135" s="545"/>
      <c r="V135" s="1161"/>
      <c r="W135" s="1161"/>
      <c r="X135" s="1161"/>
      <c r="Y135" s="1161"/>
      <c r="Z135" s="1161"/>
      <c r="AA135" s="1633"/>
      <c r="AB135" s="567"/>
      <c r="AC135" s="567"/>
      <c r="AD135" s="567"/>
      <c r="AE135" s="567"/>
      <c r="AF135" s="1642">
        <v>11</v>
      </c>
    </row>
    <row s="1642" customFormat="1" customHeight="1" ht="11.549999999999999">
      <c r="A136" s="988"/>
      <c r="B136" s="1637"/>
      <c r="C136" s="1637"/>
      <c r="D136" s="352"/>
      <c r="K136" s="1161"/>
      <c r="L136" s="1637"/>
      <c r="M136" s="1637"/>
      <c r="N136" s="1161"/>
      <c r="O136" s="1161"/>
      <c r="P136" s="1161"/>
      <c r="Q136" s="1161"/>
      <c r="R136" s="1637"/>
      <c r="S136" s="1161"/>
      <c r="T136" s="1161"/>
      <c r="U136" s="545"/>
      <c r="V136" s="1161"/>
      <c r="W136" s="1161"/>
      <c r="X136" s="1161"/>
      <c r="Y136" s="1161"/>
      <c r="Z136" s="1161"/>
      <c r="AA136" s="1633"/>
      <c r="AB136" s="567"/>
      <c r="AC136" s="567"/>
      <c r="AD136" s="567"/>
      <c r="AE136" s="567"/>
      <c r="AF136" s="1642">
        <v>11</v>
      </c>
    </row>
    <row s="1642" customFormat="1" customHeight="1" ht="11.549999999999999">
      <c r="A137" s="988"/>
      <c r="B137" s="1637"/>
      <c r="C137" s="1637"/>
      <c r="D137" s="352"/>
      <c r="K137" s="1161"/>
      <c r="L137" s="1637"/>
      <c r="M137" s="1637"/>
      <c r="N137" s="1161"/>
      <c r="O137" s="1161"/>
      <c r="P137" s="1161"/>
      <c r="Q137" s="1161"/>
      <c r="R137" s="1637"/>
      <c r="S137" s="1161"/>
      <c r="T137" s="1161"/>
      <c r="U137" s="545"/>
      <c r="V137" s="1161"/>
      <c r="W137" s="1161"/>
      <c r="X137" s="1161"/>
      <c r="Y137" s="1161"/>
      <c r="Z137" s="1161"/>
      <c r="AA137" s="1633"/>
      <c r="AB137" s="567"/>
      <c r="AC137" s="567"/>
      <c r="AD137" s="567"/>
      <c r="AE137" s="567"/>
      <c r="AF137" s="1642">
        <v>11</v>
      </c>
    </row>
    <row s="1642" customFormat="1" customHeight="1" ht="11.549999999999999">
      <c r="A138" s="988"/>
      <c r="B138" s="1637"/>
      <c r="C138" s="1637"/>
      <c r="D138" s="352"/>
      <c r="K138" s="1161"/>
      <c r="L138" s="1637"/>
      <c r="M138" s="1637"/>
      <c r="N138" s="1161"/>
      <c r="O138" s="1161"/>
      <c r="P138" s="1161"/>
      <c r="Q138" s="1161"/>
      <c r="R138" s="1637"/>
      <c r="S138" s="1161"/>
      <c r="T138" s="1161"/>
      <c r="U138" s="545"/>
      <c r="V138" s="1161"/>
      <c r="W138" s="1161"/>
      <c r="X138" s="1161"/>
      <c r="Y138" s="1161"/>
      <c r="Z138" s="1161"/>
      <c r="AA138" s="1633"/>
      <c r="AB138" s="567"/>
      <c r="AC138" s="567"/>
      <c r="AD138" s="567"/>
      <c r="AE138" s="567"/>
      <c r="AF138" s="1642">
        <v>11</v>
      </c>
    </row>
    <row s="1642" customFormat="1" customHeight="1" ht="11.549999999999999">
      <c r="A139" s="988"/>
      <c r="B139" s="1637"/>
      <c r="C139" s="1637"/>
      <c r="D139" s="352"/>
      <c r="K139" s="1161"/>
      <c r="L139" s="1637"/>
      <c r="M139" s="1637"/>
      <c r="N139" s="1161"/>
      <c r="O139" s="1161"/>
      <c r="P139" s="1161"/>
      <c r="Q139" s="1161"/>
      <c r="R139" s="1637"/>
      <c r="S139" s="1161"/>
      <c r="T139" s="1161"/>
      <c r="U139" s="545"/>
      <c r="V139" s="1161"/>
      <c r="W139" s="1161"/>
      <c r="X139" s="1161"/>
      <c r="Y139" s="1161"/>
      <c r="Z139" s="1161"/>
      <c r="AA139" s="1633"/>
      <c r="AB139" s="567"/>
      <c r="AC139" s="567"/>
      <c r="AD139" s="567"/>
      <c r="AE139" s="567"/>
      <c r="AF139" s="1642">
        <v>11</v>
      </c>
    </row>
    <row s="1642" customFormat="1" customHeight="1" ht="11.549999999999999">
      <c r="A140" s="988"/>
      <c r="B140" s="1637"/>
      <c r="C140" s="1637"/>
      <c r="D140" s="352"/>
      <c r="K140" s="1161"/>
      <c r="L140" s="1637"/>
      <c r="M140" s="1637"/>
      <c r="N140" s="1161"/>
      <c r="O140" s="1161"/>
      <c r="P140" s="1161"/>
      <c r="Q140" s="1161"/>
      <c r="R140" s="1637"/>
      <c r="S140" s="1161"/>
      <c r="T140" s="1161"/>
      <c r="U140" s="545"/>
      <c r="V140" s="1161"/>
      <c r="W140" s="1161"/>
      <c r="X140" s="1161"/>
      <c r="Y140" s="1161"/>
      <c r="Z140" s="1161"/>
      <c r="AA140" s="1633"/>
      <c r="AB140" s="567"/>
      <c r="AC140" s="567"/>
      <c r="AD140" s="567"/>
      <c r="AE140" s="567"/>
      <c r="AF140" s="1642">
        <v>11</v>
      </c>
    </row>
    <row s="1642" customFormat="1" customHeight="1" ht="11.549999999999999">
      <c r="A141" s="988"/>
      <c r="B141" s="1637"/>
      <c r="C141" s="1637"/>
      <c r="D141" s="352"/>
      <c r="K141" s="1161"/>
      <c r="L141" s="1637"/>
      <c r="M141" s="1637"/>
      <c r="N141" s="1161"/>
      <c r="O141" s="1161"/>
      <c r="P141" s="1161"/>
      <c r="Q141" s="1161"/>
      <c r="R141" s="1637"/>
      <c r="S141" s="1161"/>
      <c r="T141" s="1161"/>
      <c r="U141" s="545"/>
      <c r="V141" s="1161"/>
      <c r="W141" s="1161"/>
      <c r="X141" s="1161"/>
      <c r="Y141" s="1161"/>
      <c r="Z141" s="1161"/>
      <c r="AA141" s="1633"/>
      <c r="AB141" s="567"/>
      <c r="AC141" s="567"/>
      <c r="AD141" s="567"/>
      <c r="AE141" s="567"/>
      <c r="AF141" s="1642">
        <v>11</v>
      </c>
    </row>
    <row s="1642" customFormat="1" customHeight="1" ht="11.549999999999999">
      <c r="A142" s="988"/>
      <c r="B142" s="1637"/>
      <c r="C142" s="1637"/>
      <c r="D142" s="352"/>
      <c r="K142" s="1161"/>
      <c r="L142" s="1637"/>
      <c r="M142" s="1637"/>
      <c r="N142" s="1161"/>
      <c r="O142" s="1161"/>
      <c r="P142" s="1161"/>
      <c r="Q142" s="1161"/>
      <c r="R142" s="1637"/>
      <c r="S142" s="1161"/>
      <c r="T142" s="1161"/>
      <c r="U142" s="545"/>
      <c r="V142" s="1161"/>
      <c r="W142" s="1161"/>
      <c r="X142" s="1161"/>
      <c r="Y142" s="1161"/>
      <c r="Z142" s="1161"/>
      <c r="AA142" s="1633"/>
      <c r="AB142" s="567"/>
      <c r="AC142" s="567"/>
      <c r="AD142" s="567"/>
      <c r="AE142" s="567"/>
      <c r="AF142" s="1642">
        <v>11</v>
      </c>
    </row>
    <row s="1642" customFormat="1" customHeight="1" ht="11.549999999999999">
      <c r="A143" s="988"/>
      <c r="B143" s="1637"/>
      <c r="C143" s="1637"/>
      <c r="D143" s="352"/>
      <c r="K143" s="1161"/>
      <c r="L143" s="1637"/>
      <c r="M143" s="1637"/>
      <c r="N143" s="1161"/>
      <c r="O143" s="1161"/>
      <c r="P143" s="1161"/>
      <c r="Q143" s="1161"/>
      <c r="R143" s="1637"/>
      <c r="S143" s="1161"/>
      <c r="T143" s="1161"/>
      <c r="U143" s="545"/>
      <c r="V143" s="1161"/>
      <c r="W143" s="1161"/>
      <c r="X143" s="1161"/>
      <c r="Y143" s="1161"/>
      <c r="Z143" s="1161"/>
      <c r="AA143" s="1633"/>
      <c r="AB143" s="567"/>
      <c r="AC143" s="567"/>
      <c r="AD143" s="567"/>
      <c r="AE143" s="567"/>
      <c r="AF143" s="1642">
        <v>11</v>
      </c>
    </row>
    <row s="1642" customFormat="1" customHeight="1" ht="11.549999999999999">
      <c r="A144" s="988"/>
      <c r="B144" s="1637"/>
      <c r="C144" s="1637"/>
      <c r="D144" s="352"/>
      <c r="K144" s="1161"/>
      <c r="L144" s="1637"/>
      <c r="M144" s="1637"/>
      <c r="N144" s="1161"/>
      <c r="O144" s="1161"/>
      <c r="P144" s="1161"/>
      <c r="Q144" s="1161"/>
      <c r="R144" s="1637"/>
      <c r="S144" s="1161"/>
      <c r="T144" s="1161"/>
      <c r="U144" s="545"/>
      <c r="V144" s="1161"/>
      <c r="W144" s="1161"/>
      <c r="X144" s="1161"/>
      <c r="Y144" s="1161"/>
      <c r="Z144" s="1161"/>
      <c r="AA144" s="1633"/>
      <c r="AB144" s="567"/>
      <c r="AC144" s="567"/>
      <c r="AD144" s="567"/>
      <c r="AE144" s="567"/>
      <c r="AF144" s="1642">
        <v>11</v>
      </c>
    </row>
    <row s="1642" customFormat="1" customHeight="1" ht="11.549999999999999">
      <c r="A145" s="988"/>
      <c r="B145" s="1637"/>
      <c r="C145" s="1637"/>
      <c r="D145" s="352"/>
      <c r="K145" s="1161"/>
      <c r="L145" s="1637"/>
      <c r="M145" s="1637"/>
      <c r="N145" s="1161"/>
      <c r="O145" s="1161"/>
      <c r="P145" s="1161"/>
      <c r="Q145" s="1161"/>
      <c r="R145" s="1637"/>
      <c r="S145" s="1161"/>
      <c r="T145" s="1161"/>
      <c r="U145" s="545"/>
      <c r="V145" s="1161"/>
      <c r="W145" s="1161"/>
      <c r="X145" s="1161"/>
      <c r="Y145" s="1161"/>
      <c r="Z145" s="1161"/>
      <c r="AA145" s="1633"/>
      <c r="AB145" s="567"/>
      <c r="AC145" s="567"/>
      <c r="AD145" s="567"/>
      <c r="AE145" s="567"/>
      <c r="AF145" s="1642">
        <v>11</v>
      </c>
    </row>
    <row s="1642" customFormat="1" customHeight="1" ht="11.549999999999999">
      <c r="A146" s="988"/>
      <c r="B146" s="1637"/>
      <c r="C146" s="1637"/>
      <c r="D146" s="352"/>
      <c r="K146" s="1161"/>
      <c r="L146" s="1637"/>
      <c r="M146" s="1637"/>
      <c r="N146" s="1161"/>
      <c r="O146" s="1161"/>
      <c r="P146" s="1161"/>
      <c r="Q146" s="1161"/>
      <c r="R146" s="1637"/>
      <c r="S146" s="1161"/>
      <c r="T146" s="1161"/>
      <c r="U146" s="545"/>
      <c r="V146" s="1161"/>
      <c r="W146" s="1161"/>
      <c r="X146" s="1161"/>
      <c r="Y146" s="1161"/>
      <c r="Z146" s="1161"/>
      <c r="AA146" s="1633"/>
      <c r="AB146" s="567"/>
      <c r="AC146" s="567"/>
      <c r="AD146" s="567"/>
      <c r="AE146" s="567"/>
      <c r="AF146" s="1642">
        <v>11</v>
      </c>
    </row>
    <row s="1642" customFormat="1" customHeight="1" ht="11.549999999999999">
      <c r="A147" s="988"/>
      <c r="B147" s="1637"/>
      <c r="C147" s="1637"/>
      <c r="D147" s="352"/>
      <c r="K147" s="1161"/>
      <c r="L147" s="1637"/>
      <c r="M147" s="1637"/>
      <c r="N147" s="1161"/>
      <c r="O147" s="1161"/>
      <c r="P147" s="1161"/>
      <c r="Q147" s="1161"/>
      <c r="R147" s="1637"/>
      <c r="S147" s="1161"/>
      <c r="T147" s="1161"/>
      <c r="U147" s="545"/>
      <c r="V147" s="1161"/>
      <c r="W147" s="1161"/>
      <c r="X147" s="1161"/>
      <c r="Y147" s="1161"/>
      <c r="Z147" s="1161"/>
      <c r="AA147" s="1633"/>
      <c r="AB147" s="567"/>
      <c r="AC147" s="567"/>
      <c r="AD147" s="567"/>
      <c r="AE147" s="567"/>
      <c r="AF147" s="1642">
        <v>11</v>
      </c>
    </row>
    <row s="1642" customFormat="1" customHeight="1" ht="11.549999999999999">
      <c r="A148" s="988"/>
      <c r="B148" s="1637"/>
      <c r="C148" s="1637"/>
      <c r="D148" s="352"/>
      <c r="K148" s="1161"/>
      <c r="L148" s="1637"/>
      <c r="M148" s="1637"/>
      <c r="N148" s="1161"/>
      <c r="O148" s="1161"/>
      <c r="P148" s="1161"/>
      <c r="Q148" s="1161"/>
      <c r="R148" s="1637"/>
      <c r="S148" s="1161"/>
      <c r="T148" s="1161"/>
      <c r="U148" s="545"/>
      <c r="V148" s="1161"/>
      <c r="W148" s="1161"/>
      <c r="X148" s="1161"/>
      <c r="Y148" s="1161"/>
      <c r="Z148" s="1161"/>
      <c r="AA148" s="1633"/>
      <c r="AB148" s="567"/>
      <c r="AC148" s="567"/>
      <c r="AD148" s="567"/>
      <c r="AE148" s="567"/>
      <c r="AF148" s="1642">
        <v>11</v>
      </c>
    </row>
    <row s="1642" customFormat="1" customHeight="1" ht="11.549999999999999">
      <c r="A149" s="988"/>
      <c r="B149" s="1637"/>
      <c r="C149" s="1637"/>
      <c r="D149" s="352"/>
      <c r="K149" s="1161"/>
      <c r="L149" s="1637"/>
      <c r="M149" s="1637"/>
      <c r="N149" s="1161"/>
      <c r="O149" s="1161"/>
      <c r="P149" s="1161"/>
      <c r="Q149" s="1161"/>
      <c r="R149" s="1637"/>
      <c r="S149" s="1161"/>
      <c r="T149" s="1161"/>
      <c r="U149" s="545"/>
      <c r="V149" s="1161"/>
      <c r="W149" s="1161"/>
      <c r="X149" s="1161"/>
      <c r="Y149" s="1161"/>
      <c r="Z149" s="1161"/>
      <c r="AA149" s="1633"/>
      <c r="AB149" s="567"/>
      <c r="AC149" s="567"/>
      <c r="AD149" s="567"/>
      <c r="AE149" s="567"/>
      <c r="AF149" s="1642">
        <v>11</v>
      </c>
    </row>
    <row s="1642" customFormat="1" customHeight="1" ht="11.549999999999999">
      <c r="A150" s="988"/>
      <c r="B150" s="1637"/>
      <c r="C150" s="1637"/>
      <c r="D150" s="352"/>
      <c r="K150" s="1161"/>
      <c r="L150" s="1637"/>
      <c r="M150" s="1637"/>
      <c r="N150" s="1161"/>
      <c r="O150" s="1161"/>
      <c r="P150" s="1161"/>
      <c r="Q150" s="1161"/>
      <c r="R150" s="1637"/>
      <c r="S150" s="1161"/>
      <c r="T150" s="1161"/>
      <c r="U150" s="545"/>
      <c r="V150" s="1161"/>
      <c r="W150" s="1161"/>
      <c r="X150" s="1161"/>
      <c r="Y150" s="1161"/>
      <c r="Z150" s="1161"/>
      <c r="AA150" s="1633"/>
      <c r="AB150" s="567"/>
      <c r="AC150" s="567"/>
      <c r="AD150" s="567"/>
      <c r="AE150" s="567"/>
      <c r="AF150" s="1642">
        <v>11</v>
      </c>
    </row>
    <row s="1642" customFormat="1" customHeight="1" ht="11.549999999999999">
      <c r="A151" s="988"/>
      <c r="B151" s="1637"/>
      <c r="C151" s="1637"/>
      <c r="D151" s="352"/>
      <c r="K151" s="1161"/>
      <c r="L151" s="1637"/>
      <c r="M151" s="1637"/>
      <c r="N151" s="1161"/>
      <c r="O151" s="1161"/>
      <c r="P151" s="1161"/>
      <c r="Q151" s="1161"/>
      <c r="R151" s="1637"/>
      <c r="S151" s="1161"/>
      <c r="T151" s="1161"/>
      <c r="U151" s="545"/>
      <c r="V151" s="1161"/>
      <c r="W151" s="1161"/>
      <c r="X151" s="1161"/>
      <c r="Y151" s="1161"/>
      <c r="Z151" s="1161"/>
      <c r="AA151" s="1633"/>
      <c r="AB151" s="567"/>
      <c r="AC151" s="567"/>
      <c r="AD151" s="567"/>
      <c r="AE151" s="567"/>
      <c r="AF151" s="1642">
        <v>11</v>
      </c>
    </row>
    <row s="1642" customFormat="1" customHeight="1" ht="11.549999999999999">
      <c r="A152" s="988"/>
      <c r="B152" s="1637"/>
      <c r="C152" s="1637"/>
      <c r="D152" s="352"/>
      <c r="K152" s="1161"/>
      <c r="L152" s="1637"/>
      <c r="M152" s="1637"/>
      <c r="N152" s="1161"/>
      <c r="O152" s="1161"/>
      <c r="P152" s="1161"/>
      <c r="Q152" s="1161"/>
      <c r="R152" s="1637"/>
      <c r="S152" s="1161"/>
      <c r="T152" s="1161"/>
      <c r="U152" s="545"/>
      <c r="V152" s="1161"/>
      <c r="W152" s="1161"/>
      <c r="X152" s="1161"/>
      <c r="Y152" s="1161"/>
      <c r="Z152" s="1161"/>
      <c r="AA152" s="1633"/>
      <c r="AB152" s="567"/>
      <c r="AC152" s="567"/>
      <c r="AD152" s="567"/>
      <c r="AE152" s="567"/>
      <c r="AF152" s="1642">
        <v>11</v>
      </c>
    </row>
    <row s="1642" customFormat="1" customHeight="1" ht="11.549999999999999">
      <c r="A153" s="988"/>
      <c r="B153" s="1637"/>
      <c r="C153" s="1637"/>
      <c r="D153" s="352"/>
      <c r="K153" s="1161"/>
      <c r="L153" s="1637"/>
      <c r="M153" s="1637"/>
      <c r="N153" s="1161"/>
      <c r="O153" s="1161"/>
      <c r="P153" s="1161"/>
      <c r="Q153" s="1161"/>
      <c r="R153" s="1637"/>
      <c r="S153" s="1161"/>
      <c r="T153" s="1161"/>
      <c r="U153" s="545"/>
      <c r="V153" s="1161"/>
      <c r="W153" s="1161"/>
      <c r="X153" s="1161"/>
      <c r="Y153" s="1161"/>
      <c r="Z153" s="1161"/>
      <c r="AA153" s="1633"/>
      <c r="AB153" s="567"/>
      <c r="AC153" s="567"/>
      <c r="AD153" s="567"/>
      <c r="AE153" s="567"/>
      <c r="AF153" s="1642">
        <v>11</v>
      </c>
    </row>
    <row s="1642" customFormat="1" customHeight="1" ht="11.549999999999999">
      <c r="A154" s="988"/>
      <c r="B154" s="1637"/>
      <c r="C154" s="1637"/>
      <c r="D154" s="352"/>
      <c r="K154" s="1161"/>
      <c r="L154" s="1637"/>
      <c r="M154" s="1637"/>
      <c r="N154" s="1161"/>
      <c r="O154" s="1161"/>
      <c r="P154" s="1161"/>
      <c r="Q154" s="1161"/>
      <c r="R154" s="1637"/>
      <c r="S154" s="1161"/>
      <c r="T154" s="1161"/>
      <c r="U154" s="545"/>
      <c r="V154" s="1161"/>
      <c r="W154" s="1161"/>
      <c r="X154" s="1161"/>
      <c r="Y154" s="1161"/>
      <c r="Z154" s="1161"/>
      <c r="AA154" s="1633"/>
      <c r="AB154" s="567"/>
      <c r="AC154" s="567"/>
      <c r="AD154" s="567"/>
      <c r="AE154" s="567"/>
      <c r="AF154" s="1642">
        <v>11</v>
      </c>
    </row>
    <row s="1642" customFormat="1" customHeight="1" ht="11.549999999999999">
      <c r="A155" s="988"/>
      <c r="B155" s="1637"/>
      <c r="C155" s="1637"/>
      <c r="D155" s="352"/>
      <c r="K155" s="1161"/>
      <c r="L155" s="1637"/>
      <c r="M155" s="1637"/>
      <c r="N155" s="1161"/>
      <c r="O155" s="1161"/>
      <c r="P155" s="1161"/>
      <c r="Q155" s="1161"/>
      <c r="R155" s="1637"/>
      <c r="S155" s="1161"/>
      <c r="T155" s="1161"/>
      <c r="U155" s="545"/>
      <c r="V155" s="1161"/>
      <c r="W155" s="1161"/>
      <c r="X155" s="1161"/>
      <c r="Y155" s="1161"/>
      <c r="Z155" s="1161"/>
      <c r="AA155" s="1633"/>
      <c r="AB155" s="567"/>
      <c r="AC155" s="567"/>
      <c r="AD155" s="567"/>
      <c r="AE155" s="567"/>
      <c r="AF155" s="1642">
        <v>11</v>
      </c>
    </row>
    <row s="1642" customFormat="1" customHeight="1" ht="11.549999999999999">
      <c r="A156" s="988"/>
      <c r="B156" s="1637"/>
      <c r="C156" s="1637"/>
      <c r="D156" s="352"/>
      <c r="K156" s="1161"/>
      <c r="L156" s="1637"/>
      <c r="M156" s="1637"/>
      <c r="N156" s="1161"/>
      <c r="O156" s="1161"/>
      <c r="P156" s="1161"/>
      <c r="Q156" s="1161"/>
      <c r="R156" s="1637"/>
      <c r="S156" s="1161"/>
      <c r="T156" s="1161"/>
      <c r="U156" s="545"/>
      <c r="V156" s="1161"/>
      <c r="W156" s="1161"/>
      <c r="X156" s="1161"/>
      <c r="Y156" s="1161"/>
      <c r="Z156" s="1161"/>
      <c r="AA156" s="1633"/>
      <c r="AB156" s="567"/>
      <c r="AC156" s="567"/>
      <c r="AD156" s="567"/>
      <c r="AE156" s="567"/>
      <c r="AF156" s="1642">
        <v>11</v>
      </c>
    </row>
    <row s="1642" customFormat="1" customHeight="1" ht="11.549999999999999">
      <c r="A157" s="988"/>
      <c r="B157" s="1637"/>
      <c r="C157" s="1637"/>
      <c r="D157" s="352"/>
      <c r="K157" s="1161"/>
      <c r="L157" s="1637"/>
      <c r="M157" s="1637"/>
      <c r="N157" s="1161"/>
      <c r="O157" s="1161"/>
      <c r="P157" s="1161"/>
      <c r="Q157" s="1161"/>
      <c r="R157" s="1637"/>
      <c r="S157" s="1161"/>
      <c r="T157" s="1161"/>
      <c r="U157" s="545"/>
      <c r="V157" s="1161"/>
      <c r="W157" s="1161"/>
      <c r="X157" s="1161"/>
      <c r="Y157" s="1161"/>
      <c r="Z157" s="1161"/>
      <c r="AA157" s="1633"/>
      <c r="AB157" s="567"/>
      <c r="AC157" s="567"/>
      <c r="AD157" s="567"/>
      <c r="AE157" s="567"/>
      <c r="AF157" s="1642">
        <v>11</v>
      </c>
    </row>
    <row s="1642" customFormat="1" customHeight="1" ht="11.549999999999999">
      <c r="A158" s="988"/>
      <c r="B158" s="1637"/>
      <c r="C158" s="1637"/>
      <c r="D158" s="352"/>
      <c r="K158" s="1161"/>
      <c r="L158" s="1637"/>
      <c r="M158" s="1637"/>
      <c r="N158" s="1161"/>
      <c r="O158" s="1161"/>
      <c r="P158" s="1161"/>
      <c r="Q158" s="1161"/>
      <c r="R158" s="1637"/>
      <c r="S158" s="1161"/>
      <c r="T158" s="1161"/>
      <c r="U158" s="545"/>
      <c r="V158" s="1161"/>
      <c r="W158" s="1161"/>
      <c r="X158" s="1161"/>
      <c r="Y158" s="1161"/>
      <c r="Z158" s="1161"/>
      <c r="AA158" s="1633"/>
      <c r="AB158" s="567"/>
      <c r="AC158" s="567"/>
      <c r="AD158" s="567"/>
      <c r="AE158" s="567"/>
      <c r="AF158" s="1642">
        <v>11</v>
      </c>
    </row>
    <row s="1642" customFormat="1" customHeight="1" ht="11.549999999999999">
      <c r="A159" s="988"/>
      <c r="B159" s="1637"/>
      <c r="C159" s="1637"/>
      <c r="D159" s="352"/>
      <c r="K159" s="1161"/>
      <c r="L159" s="1637"/>
      <c r="M159" s="1637"/>
      <c r="N159" s="1161"/>
      <c r="O159" s="1161"/>
      <c r="P159" s="1161"/>
      <c r="Q159" s="1161"/>
      <c r="R159" s="1637"/>
      <c r="S159" s="1161"/>
      <c r="T159" s="1161"/>
      <c r="U159" s="545"/>
      <c r="V159" s="1161"/>
      <c r="W159" s="1161"/>
      <c r="X159" s="1161"/>
      <c r="Y159" s="1161"/>
      <c r="Z159" s="1161"/>
      <c r="AA159" s="1633"/>
      <c r="AB159" s="567"/>
      <c r="AC159" s="567"/>
      <c r="AD159" s="567"/>
      <c r="AE159" s="567"/>
      <c r="AF159" s="1642">
        <v>11</v>
      </c>
    </row>
    <row s="1642" customFormat="1" customHeight="1" ht="11.549999999999999">
      <c r="A160" s="988"/>
      <c r="B160" s="1637"/>
      <c r="C160" s="1637"/>
      <c r="D160" s="352"/>
      <c r="K160" s="1161"/>
      <c r="L160" s="1637"/>
      <c r="M160" s="1637"/>
      <c r="N160" s="1161"/>
      <c r="O160" s="1161"/>
      <c r="P160" s="1161"/>
      <c r="Q160" s="1161"/>
      <c r="R160" s="1637"/>
      <c r="S160" s="1161"/>
      <c r="T160" s="1161"/>
      <c r="U160" s="545"/>
      <c r="V160" s="1161"/>
      <c r="W160" s="1161"/>
      <c r="X160" s="1161"/>
      <c r="Y160" s="1161"/>
      <c r="Z160" s="1161"/>
      <c r="AA160" s="1633"/>
      <c r="AB160" s="567"/>
      <c r="AC160" s="567"/>
      <c r="AD160" s="567"/>
      <c r="AE160" s="567"/>
      <c r="AF160" s="1642">
        <v>11</v>
      </c>
    </row>
    <row s="1642" customFormat="1" customHeight="1" ht="11.549999999999999">
      <c r="A161" s="988"/>
      <c r="B161" s="1637"/>
      <c r="C161" s="1637"/>
      <c r="D161" s="352"/>
      <c r="K161" s="1161"/>
      <c r="L161" s="1637"/>
      <c r="M161" s="1637"/>
      <c r="N161" s="1161"/>
      <c r="O161" s="1161"/>
      <c r="P161" s="1161"/>
      <c r="Q161" s="1161"/>
      <c r="R161" s="1637"/>
      <c r="S161" s="1161"/>
      <c r="T161" s="1161"/>
      <c r="U161" s="545"/>
      <c r="V161" s="1161"/>
      <c r="W161" s="1161"/>
      <c r="X161" s="1161"/>
      <c r="Y161" s="1161"/>
      <c r="Z161" s="1161"/>
      <c r="AA161" s="1633"/>
      <c r="AB161" s="567"/>
      <c r="AC161" s="567"/>
      <c r="AD161" s="567"/>
      <c r="AE161" s="567"/>
      <c r="AF161" s="1642">
        <v>11</v>
      </c>
    </row>
    <row s="1642" customFormat="1" customHeight="1" ht="11.549999999999999">
      <c r="A162" s="988"/>
      <c r="B162" s="1637"/>
      <c r="C162" s="1637"/>
      <c r="D162" s="352"/>
      <c r="K162" s="1161"/>
      <c r="L162" s="1637"/>
      <c r="M162" s="1637"/>
      <c r="N162" s="1161"/>
      <c r="O162" s="1161"/>
      <c r="P162" s="1161"/>
      <c r="Q162" s="1161"/>
      <c r="R162" s="1637"/>
      <c r="S162" s="1161"/>
      <c r="T162" s="1161"/>
      <c r="U162" s="545"/>
      <c r="V162" s="1161"/>
      <c r="W162" s="1161"/>
      <c r="X162" s="1161"/>
      <c r="Y162" s="1161"/>
      <c r="Z162" s="1161"/>
      <c r="AA162" s="1633"/>
      <c r="AB162" s="567"/>
      <c r="AC162" s="567"/>
      <c r="AD162" s="567"/>
      <c r="AE162" s="567"/>
      <c r="AF162" s="1642">
        <v>11</v>
      </c>
    </row>
    <row s="1642" customFormat="1" customHeight="1" ht="11.549999999999999">
      <c r="A163" s="988"/>
      <c r="B163" s="1637"/>
      <c r="C163" s="1637"/>
      <c r="D163" s="352"/>
      <c r="K163" s="1161"/>
      <c r="L163" s="1637"/>
      <c r="M163" s="1637"/>
      <c r="N163" s="1161"/>
      <c r="O163" s="1161"/>
      <c r="P163" s="1161"/>
      <c r="Q163" s="1161"/>
      <c r="R163" s="1637"/>
      <c r="S163" s="1161"/>
      <c r="T163" s="1161"/>
      <c r="U163" s="545"/>
      <c r="V163" s="1161"/>
      <c r="W163" s="1161"/>
      <c r="X163" s="1161"/>
      <c r="Y163" s="1161"/>
      <c r="Z163" s="1161"/>
      <c r="AA163" s="1633"/>
      <c r="AB163" s="567"/>
      <c r="AC163" s="567"/>
      <c r="AD163" s="567"/>
      <c r="AE163" s="567"/>
      <c r="AF163" s="1642">
        <v>11</v>
      </c>
    </row>
    <row s="1642" customFormat="1" customHeight="1" ht="11.549999999999999">
      <c r="A164" s="988"/>
      <c r="B164" s="1637"/>
      <c r="C164" s="1637"/>
      <c r="D164" s="352"/>
      <c r="K164" s="1161"/>
      <c r="L164" s="1637"/>
      <c r="M164" s="1637"/>
      <c r="N164" s="1161"/>
      <c r="O164" s="1161"/>
      <c r="P164" s="1161"/>
      <c r="Q164" s="1161"/>
      <c r="R164" s="1637"/>
      <c r="S164" s="1161"/>
      <c r="T164" s="1161"/>
      <c r="U164" s="545"/>
      <c r="V164" s="1161"/>
      <c r="W164" s="1161"/>
      <c r="X164" s="1161"/>
      <c r="Y164" s="1161"/>
      <c r="Z164" s="1161"/>
      <c r="AA164" s="1633"/>
      <c r="AB164" s="567"/>
      <c r="AC164" s="567"/>
      <c r="AD164" s="567"/>
      <c r="AE164" s="567"/>
      <c r="AF164" s="1642">
        <v>11</v>
      </c>
    </row>
    <row s="1642" customFormat="1" customHeight="1" ht="11.549999999999999">
      <c r="A165" s="988"/>
      <c r="B165" s="1637"/>
      <c r="C165" s="1637"/>
      <c r="D165" s="352"/>
      <c r="K165" s="1161"/>
      <c r="L165" s="1637"/>
      <c r="M165" s="1637"/>
      <c r="N165" s="1161"/>
      <c r="O165" s="1161"/>
      <c r="P165" s="1161"/>
      <c r="Q165" s="1161"/>
      <c r="R165" s="1637"/>
      <c r="S165" s="1161"/>
      <c r="T165" s="1161"/>
      <c r="U165" s="545"/>
      <c r="V165" s="1161"/>
      <c r="W165" s="1161"/>
      <c r="X165" s="1161"/>
      <c r="Y165" s="1161"/>
      <c r="Z165" s="1161"/>
      <c r="AA165" s="1633"/>
      <c r="AB165" s="567"/>
      <c r="AC165" s="567"/>
      <c r="AD165" s="567"/>
      <c r="AE165" s="567"/>
      <c r="AF165" s="1642">
        <v>11</v>
      </c>
    </row>
    <row s="1642" customFormat="1" customHeight="1" ht="11.549999999999999">
      <c r="A166" s="988"/>
      <c r="B166" s="1637"/>
      <c r="C166" s="1637"/>
      <c r="D166" s="352"/>
      <c r="K166" s="1161"/>
      <c r="L166" s="1637"/>
      <c r="M166" s="1637"/>
      <c r="N166" s="1161"/>
      <c r="O166" s="1161"/>
      <c r="P166" s="1161"/>
      <c r="Q166" s="1161"/>
      <c r="R166" s="1637"/>
      <c r="S166" s="1161"/>
      <c r="T166" s="1161"/>
      <c r="U166" s="545"/>
      <c r="V166" s="1161"/>
      <c r="W166" s="1161"/>
      <c r="X166" s="1161"/>
      <c r="Y166" s="1161"/>
      <c r="Z166" s="1161"/>
      <c r="AA166" s="1633"/>
      <c r="AB166" s="567"/>
      <c r="AC166" s="567"/>
      <c r="AD166" s="567"/>
      <c r="AE166" s="567"/>
      <c r="AF166" s="1642">
        <v>11</v>
      </c>
    </row>
    <row s="1642" customFormat="1" customHeight="1" ht="11.549999999999999">
      <c r="A167" s="988"/>
      <c r="B167" s="1637"/>
      <c r="C167" s="1637"/>
      <c r="D167" s="352"/>
      <c r="K167" s="1161"/>
      <c r="L167" s="1637"/>
      <c r="M167" s="1637"/>
      <c r="N167" s="1161"/>
      <c r="O167" s="1161"/>
      <c r="P167" s="1161"/>
      <c r="Q167" s="1161"/>
      <c r="R167" s="1637"/>
      <c r="S167" s="1161"/>
      <c r="T167" s="1161"/>
      <c r="U167" s="545"/>
      <c r="V167" s="1161"/>
      <c r="W167" s="1161"/>
      <c r="X167" s="1161"/>
      <c r="Y167" s="1161"/>
      <c r="Z167" s="1161"/>
      <c r="AA167" s="1633"/>
      <c r="AB167" s="567"/>
      <c r="AC167" s="567"/>
      <c r="AD167" s="567"/>
      <c r="AE167" s="567"/>
      <c r="AF167" s="1642">
        <v>11</v>
      </c>
    </row>
    <row s="1642" customFormat="1" customHeight="1" ht="11.549999999999999">
      <c r="A168" s="988"/>
      <c r="B168" s="1637"/>
      <c r="C168" s="1637"/>
      <c r="D168" s="352"/>
      <c r="K168" s="1161"/>
      <c r="L168" s="1637"/>
      <c r="M168" s="1637"/>
      <c r="N168" s="1161"/>
      <c r="O168" s="1161"/>
      <c r="P168" s="1161"/>
      <c r="Q168" s="1161"/>
      <c r="R168" s="1637"/>
      <c r="S168" s="1161"/>
      <c r="T168" s="1161"/>
      <c r="U168" s="545"/>
      <c r="V168" s="1161"/>
      <c r="W168" s="1161"/>
      <c r="X168" s="1161"/>
      <c r="Y168" s="1161"/>
      <c r="Z168" s="1161"/>
      <c r="AA168" s="1633"/>
      <c r="AB168" s="567"/>
      <c r="AC168" s="567"/>
      <c r="AD168" s="567"/>
      <c r="AE168" s="567"/>
      <c r="AF168" s="1642">
        <v>11</v>
      </c>
    </row>
    <row s="1642" customFormat="1" customHeight="1" ht="11.549999999999999">
      <c r="A169" s="988"/>
      <c r="B169" s="1637"/>
      <c r="C169" s="1637"/>
      <c r="D169" s="352"/>
      <c r="K169" s="1161"/>
      <c r="L169" s="1637"/>
      <c r="M169" s="1637"/>
      <c r="N169" s="1161"/>
      <c r="O169" s="1161"/>
      <c r="P169" s="1161"/>
      <c r="Q169" s="1161"/>
      <c r="R169" s="1637"/>
      <c r="S169" s="1161"/>
      <c r="T169" s="1161"/>
      <c r="U169" s="545"/>
      <c r="V169" s="1161"/>
      <c r="W169" s="1161"/>
      <c r="X169" s="1161"/>
      <c r="Y169" s="1161"/>
      <c r="Z169" s="1161"/>
      <c r="AA169" s="1633"/>
      <c r="AB169" s="567"/>
      <c r="AC169" s="567"/>
      <c r="AD169" s="567"/>
      <c r="AE169" s="567"/>
      <c r="AF169" s="1642">
        <v>11</v>
      </c>
    </row>
    <row s="1642" customFormat="1" customHeight="1" ht="11.549999999999999">
      <c r="A170" s="988"/>
      <c r="B170" s="1637"/>
      <c r="C170" s="1637"/>
      <c r="D170" s="352"/>
      <c r="K170" s="1161"/>
      <c r="L170" s="1637"/>
      <c r="M170" s="1637"/>
      <c r="N170" s="1161"/>
      <c r="O170" s="1161"/>
      <c r="P170" s="1161"/>
      <c r="Q170" s="1161"/>
      <c r="R170" s="1637"/>
      <c r="S170" s="1161"/>
      <c r="T170" s="1161"/>
      <c r="U170" s="545"/>
      <c r="V170" s="1161"/>
      <c r="W170" s="1161"/>
      <c r="X170" s="1161"/>
      <c r="Y170" s="1161"/>
      <c r="Z170" s="1161"/>
      <c r="AA170" s="1633"/>
      <c r="AB170" s="567"/>
      <c r="AC170" s="567"/>
      <c r="AD170" s="567"/>
      <c r="AE170" s="567"/>
      <c r="AF170" s="1642">
        <v>11</v>
      </c>
    </row>
    <row s="1642" customFormat="1" customHeight="1" ht="11.549999999999999">
      <c r="A171" s="988"/>
      <c r="B171" s="1637"/>
      <c r="C171" s="1637"/>
      <c r="D171" s="352"/>
      <c r="K171" s="1161"/>
      <c r="L171" s="1637"/>
      <c r="M171" s="1637"/>
      <c r="N171" s="1161"/>
      <c r="O171" s="1161"/>
      <c r="P171" s="1161"/>
      <c r="Q171" s="1161"/>
      <c r="R171" s="1637"/>
      <c r="S171" s="1161"/>
      <c r="T171" s="1161"/>
      <c r="U171" s="545"/>
      <c r="V171" s="1161"/>
      <c r="W171" s="1161"/>
      <c r="X171" s="1161"/>
      <c r="Y171" s="1161"/>
      <c r="Z171" s="1161"/>
      <c r="AA171" s="1633"/>
      <c r="AB171" s="567"/>
      <c r="AC171" s="567"/>
      <c r="AD171" s="567"/>
      <c r="AE171" s="567"/>
      <c r="AF171" s="1642">
        <v>11</v>
      </c>
    </row>
    <row s="1642" customFormat="1" customHeight="1" ht="11.549999999999999">
      <c r="A172" s="988"/>
      <c r="B172" s="1637"/>
      <c r="C172" s="1637"/>
      <c r="D172" s="352"/>
      <c r="K172" s="1161"/>
      <c r="L172" s="1637"/>
      <c r="M172" s="1637"/>
      <c r="N172" s="1161"/>
      <c r="O172" s="1161"/>
      <c r="P172" s="1161"/>
      <c r="Q172" s="1161"/>
      <c r="R172" s="1637"/>
      <c r="S172" s="1161"/>
      <c r="T172" s="1161"/>
      <c r="U172" s="545"/>
      <c r="V172" s="1161"/>
      <c r="W172" s="1161"/>
      <c r="X172" s="1161"/>
      <c r="Y172" s="1161"/>
      <c r="Z172" s="1161"/>
      <c r="AA172" s="1633"/>
      <c r="AB172" s="567"/>
      <c r="AC172" s="567"/>
      <c r="AD172" s="567"/>
      <c r="AE172" s="567"/>
      <c r="AF172" s="1642">
        <v>11</v>
      </c>
    </row>
    <row s="1642" customFormat="1" customHeight="1" ht="11.549999999999999">
      <c r="A173" s="988"/>
      <c r="B173" s="1637"/>
      <c r="C173" s="1637"/>
      <c r="D173" s="352"/>
      <c r="K173" s="1161"/>
      <c r="L173" s="1637"/>
      <c r="M173" s="1637"/>
      <c r="N173" s="1161"/>
      <c r="O173" s="1161"/>
      <c r="P173" s="1161"/>
      <c r="Q173" s="1161"/>
      <c r="R173" s="1637"/>
      <c r="S173" s="1161"/>
      <c r="T173" s="1161"/>
      <c r="U173" s="545"/>
      <c r="V173" s="1161"/>
      <c r="W173" s="1161"/>
      <c r="X173" s="1161"/>
      <c r="Y173" s="1161"/>
      <c r="Z173" s="1161"/>
      <c r="AA173" s="1633"/>
      <c r="AB173" s="567"/>
      <c r="AC173" s="567"/>
      <c r="AD173" s="567"/>
      <c r="AE173" s="567"/>
      <c r="AF173" s="1642">
        <v>11</v>
      </c>
    </row>
    <row s="1642" customFormat="1" customHeight="1" ht="11.549999999999999">
      <c r="A174" s="988"/>
      <c r="B174" s="1637"/>
      <c r="C174" s="1637"/>
      <c r="D174" s="352"/>
      <c r="K174" s="1161"/>
      <c r="L174" s="1637"/>
      <c r="M174" s="1637"/>
      <c r="N174" s="1161"/>
      <c r="O174" s="1161"/>
      <c r="P174" s="1161"/>
      <c r="Q174" s="1161"/>
      <c r="R174" s="1637"/>
      <c r="S174" s="1161"/>
      <c r="T174" s="1161"/>
      <c r="U174" s="545"/>
      <c r="V174" s="1161"/>
      <c r="W174" s="1161"/>
      <c r="X174" s="1161"/>
      <c r="Y174" s="1161"/>
      <c r="Z174" s="1161"/>
      <c r="AA174" s="1633"/>
      <c r="AB174" s="567"/>
      <c r="AC174" s="567"/>
      <c r="AD174" s="567"/>
      <c r="AE174" s="567"/>
      <c r="AF174" s="1642">
        <v>11</v>
      </c>
    </row>
    <row s="1642" customFormat="1" customHeight="1" ht="11.549999999999999">
      <c r="A175" s="988"/>
      <c r="B175" s="1637"/>
      <c r="C175" s="1637"/>
      <c r="D175" s="352"/>
      <c r="K175" s="1161"/>
      <c r="L175" s="1637"/>
      <c r="M175" s="1637"/>
      <c r="N175" s="1161"/>
      <c r="O175" s="1161"/>
      <c r="P175" s="1161"/>
      <c r="Q175" s="1161"/>
      <c r="R175" s="1637"/>
      <c r="S175" s="1161"/>
      <c r="T175" s="1161"/>
      <c r="U175" s="545"/>
      <c r="V175" s="1161"/>
      <c r="W175" s="1161"/>
      <c r="X175" s="1161"/>
      <c r="Y175" s="1161"/>
      <c r="Z175" s="1161"/>
      <c r="AA175" s="1633"/>
      <c r="AB175" s="567"/>
      <c r="AC175" s="567"/>
      <c r="AD175" s="567"/>
      <c r="AE175" s="567"/>
      <c r="AF175" s="1642">
        <v>11</v>
      </c>
    </row>
    <row s="1642" customFormat="1" customHeight="1" ht="11.549999999999999">
      <c r="A176" s="988"/>
      <c r="B176" s="1637"/>
      <c r="C176" s="1637"/>
      <c r="D176" s="352"/>
      <c r="K176" s="1161"/>
      <c r="L176" s="1637"/>
      <c r="M176" s="1637"/>
      <c r="N176" s="1161"/>
      <c r="O176" s="1161"/>
      <c r="P176" s="1161"/>
      <c r="Q176" s="1161"/>
      <c r="R176" s="1637"/>
      <c r="S176" s="1161"/>
      <c r="T176" s="1161"/>
      <c r="U176" s="545"/>
      <c r="V176" s="1161"/>
      <c r="W176" s="1161"/>
      <c r="X176" s="1161"/>
      <c r="Y176" s="1161"/>
      <c r="Z176" s="1161"/>
      <c r="AA176" s="1633"/>
      <c r="AB176" s="567"/>
      <c r="AC176" s="567"/>
      <c r="AD176" s="567"/>
      <c r="AE176" s="567"/>
      <c r="AF176" s="1642">
        <v>11</v>
      </c>
    </row>
    <row s="1642" customFormat="1" customHeight="1" ht="11.549999999999999">
      <c r="A177" s="988"/>
      <c r="B177" s="1637"/>
      <c r="C177" s="1637"/>
      <c r="D177" s="352"/>
      <c r="K177" s="1161"/>
      <c r="L177" s="1637"/>
      <c r="M177" s="1637"/>
      <c r="N177" s="1161"/>
      <c r="O177" s="1161"/>
      <c r="P177" s="1161"/>
      <c r="Q177" s="1161"/>
      <c r="R177" s="1637"/>
      <c r="S177" s="1161"/>
      <c r="T177" s="1161"/>
      <c r="U177" s="545"/>
      <c r="V177" s="1161"/>
      <c r="W177" s="1161"/>
      <c r="X177" s="1161"/>
      <c r="Y177" s="1161"/>
      <c r="Z177" s="1161"/>
      <c r="AA177" s="1633"/>
      <c r="AB177" s="567"/>
      <c r="AC177" s="567"/>
      <c r="AD177" s="567"/>
      <c r="AE177" s="567"/>
      <c r="AF177" s="1642">
        <v>11</v>
      </c>
    </row>
    <row s="1642" customFormat="1" customHeight="1" ht="11.549999999999999">
      <c r="A178" s="988"/>
      <c r="B178" s="1637"/>
      <c r="C178" s="1637"/>
      <c r="D178" s="352"/>
      <c r="K178" s="1161"/>
      <c r="L178" s="1637"/>
      <c r="M178" s="1637"/>
      <c r="N178" s="1161"/>
      <c r="O178" s="1161"/>
      <c r="P178" s="1161"/>
      <c r="Q178" s="1161"/>
      <c r="R178" s="1637"/>
      <c r="S178" s="1161"/>
      <c r="T178" s="1161"/>
      <c r="U178" s="545"/>
      <c r="V178" s="1161"/>
      <c r="W178" s="1161"/>
      <c r="X178" s="1161"/>
      <c r="Y178" s="1161"/>
      <c r="Z178" s="1161"/>
      <c r="AA178" s="1633"/>
      <c r="AB178" s="567"/>
      <c r="AC178" s="567"/>
      <c r="AD178" s="567"/>
      <c r="AE178" s="567"/>
      <c r="AF178" s="1642">
        <v>11</v>
      </c>
    </row>
    <row s="1642" customFormat="1" customHeight="1" ht="11.549999999999999">
      <c r="A179" s="988"/>
      <c r="B179" s="1637"/>
      <c r="C179" s="1637"/>
      <c r="D179" s="352"/>
      <c r="K179" s="1161"/>
      <c r="L179" s="1637"/>
      <c r="M179" s="1637"/>
      <c r="N179" s="1161"/>
      <c r="O179" s="1161"/>
      <c r="P179" s="1161"/>
      <c r="Q179" s="1161"/>
      <c r="R179" s="1637"/>
      <c r="S179" s="1161"/>
      <c r="T179" s="1161"/>
      <c r="U179" s="545"/>
      <c r="V179" s="1161"/>
      <c r="W179" s="1161"/>
      <c r="X179" s="1161"/>
      <c r="Y179" s="1161"/>
      <c r="Z179" s="1161"/>
      <c r="AA179" s="1633"/>
      <c r="AB179" s="567"/>
      <c r="AC179" s="567"/>
      <c r="AD179" s="567"/>
      <c r="AE179" s="567"/>
      <c r="AF179" s="1642">
        <v>11</v>
      </c>
    </row>
    <row s="1642" customFormat="1" customHeight="1" ht="11.549999999999999">
      <c r="A180" s="988"/>
      <c r="B180" s="1637"/>
      <c r="C180" s="1637"/>
      <c r="D180" s="352"/>
      <c r="K180" s="1161"/>
      <c r="L180" s="1637"/>
      <c r="M180" s="1637"/>
      <c r="N180" s="1161"/>
      <c r="O180" s="1161"/>
      <c r="P180" s="1161"/>
      <c r="Q180" s="1161"/>
      <c r="R180" s="1637"/>
      <c r="S180" s="1161"/>
      <c r="T180" s="1161"/>
      <c r="U180" s="545"/>
      <c r="V180" s="1161"/>
      <c r="W180" s="1161"/>
      <c r="X180" s="1161"/>
      <c r="Y180" s="1161"/>
      <c r="Z180" s="1161"/>
      <c r="AA180" s="1633"/>
      <c r="AB180" s="567"/>
      <c r="AC180" s="567"/>
      <c r="AD180" s="567"/>
      <c r="AE180" s="567"/>
      <c r="AF180" s="1642">
        <v>11</v>
      </c>
    </row>
    <row s="1642" customFormat="1" customHeight="1" ht="11.549999999999999">
      <c r="A181" s="988"/>
      <c r="B181" s="1637"/>
      <c r="C181" s="1637"/>
      <c r="D181" s="352"/>
      <c r="K181" s="1161"/>
      <c r="L181" s="1637"/>
      <c r="M181" s="1637"/>
      <c r="N181" s="1161"/>
      <c r="O181" s="1161"/>
      <c r="P181" s="1161"/>
      <c r="Q181" s="1161"/>
      <c r="R181" s="1637"/>
      <c r="S181" s="1161"/>
      <c r="T181" s="1161"/>
      <c r="U181" s="545"/>
      <c r="V181" s="1161"/>
      <c r="W181" s="1161"/>
      <c r="X181" s="1161"/>
      <c r="Y181" s="1161"/>
      <c r="Z181" s="1161"/>
      <c r="AA181" s="1633"/>
      <c r="AB181" s="567"/>
      <c r="AC181" s="567"/>
      <c r="AD181" s="567"/>
      <c r="AE181" s="567"/>
      <c r="AF181" s="1642">
        <v>11</v>
      </c>
    </row>
    <row s="1642" customFormat="1" customHeight="1" ht="11.549999999999999">
      <c r="A182" s="988"/>
      <c r="B182" s="1637"/>
      <c r="C182" s="1637"/>
      <c r="D182" s="352"/>
      <c r="K182" s="1161"/>
      <c r="L182" s="1637"/>
      <c r="M182" s="1637"/>
      <c r="N182" s="1161"/>
      <c r="O182" s="1161"/>
      <c r="P182" s="1161"/>
      <c r="Q182" s="1161"/>
      <c r="R182" s="1637"/>
      <c r="S182" s="1161"/>
      <c r="T182" s="1161"/>
      <c r="U182" s="545"/>
      <c r="V182" s="1161"/>
      <c r="W182" s="1161"/>
      <c r="X182" s="1161"/>
      <c r="Y182" s="1161"/>
      <c r="Z182" s="1161"/>
      <c r="AA182" s="1633"/>
      <c r="AB182" s="567"/>
      <c r="AC182" s="567"/>
      <c r="AD182" s="567"/>
      <c r="AE182" s="567"/>
      <c r="AF182" s="1642">
        <v>11</v>
      </c>
    </row>
    <row s="1642" customFormat="1" customHeight="1" ht="11.549999999999999">
      <c r="A183" s="988"/>
      <c r="B183" s="1637"/>
      <c r="C183" s="1637"/>
      <c r="D183" s="352"/>
      <c r="K183" s="1161"/>
      <c r="L183" s="1637"/>
      <c r="M183" s="1637"/>
      <c r="N183" s="1161"/>
      <c r="O183" s="1161"/>
      <c r="P183" s="1161"/>
      <c r="Q183" s="1161"/>
      <c r="R183" s="1637"/>
      <c r="S183" s="1161"/>
      <c r="T183" s="1161"/>
      <c r="U183" s="545"/>
      <c r="V183" s="1161"/>
      <c r="W183" s="1161"/>
      <c r="X183" s="1161"/>
      <c r="Y183" s="1161"/>
      <c r="Z183" s="1161"/>
      <c r="AA183" s="1633"/>
      <c r="AB183" s="567"/>
      <c r="AC183" s="567"/>
      <c r="AD183" s="567"/>
      <c r="AE183" s="567"/>
      <c r="AF183" s="1642">
        <v>11</v>
      </c>
    </row>
    <row s="1642" customFormat="1" customHeight="1" ht="11.549999999999999">
      <c r="A184" s="988"/>
      <c r="B184" s="1637"/>
      <c r="C184" s="1637"/>
      <c r="D184" s="352"/>
      <c r="K184" s="1161"/>
      <c r="L184" s="1637"/>
      <c r="M184" s="1637"/>
      <c r="N184" s="1161"/>
      <c r="O184" s="1161"/>
      <c r="P184" s="1161"/>
      <c r="Q184" s="1161"/>
      <c r="R184" s="1637"/>
      <c r="S184" s="1161"/>
      <c r="T184" s="1161"/>
      <c r="U184" s="545"/>
      <c r="V184" s="1161"/>
      <c r="W184" s="1161"/>
      <c r="X184" s="1161"/>
      <c r="Y184" s="1161"/>
      <c r="Z184" s="1161"/>
      <c r="AA184" s="1633"/>
      <c r="AB184" s="567"/>
      <c r="AC184" s="567"/>
      <c r="AD184" s="567"/>
      <c r="AE184" s="567"/>
      <c r="AF184" s="1642">
        <v>11</v>
      </c>
    </row>
    <row s="1642" customFormat="1" customHeight="1" ht="11.549999999999999">
      <c r="A185" s="988"/>
      <c r="B185" s="1637"/>
      <c r="C185" s="1637"/>
      <c r="D185" s="352"/>
      <c r="K185" s="1161"/>
      <c r="L185" s="1637"/>
      <c r="M185" s="1637"/>
      <c r="N185" s="1161"/>
      <c r="O185" s="1161"/>
      <c r="P185" s="1161"/>
      <c r="Q185" s="1161"/>
      <c r="R185" s="1637"/>
      <c r="S185" s="1161"/>
      <c r="T185" s="1161"/>
      <c r="U185" s="545"/>
      <c r="V185" s="1161"/>
      <c r="W185" s="1161"/>
      <c r="X185" s="1161"/>
      <c r="Y185" s="1161"/>
      <c r="Z185" s="1161"/>
      <c r="AA185" s="1633"/>
      <c r="AB185" s="567"/>
      <c r="AC185" s="567"/>
      <c r="AD185" s="567"/>
      <c r="AE185" s="567"/>
      <c r="AF185" s="1642">
        <v>11</v>
      </c>
    </row>
    <row s="1642" customFormat="1" customHeight="1" ht="11.549999999999999">
      <c r="A186" s="988"/>
      <c r="B186" s="1637"/>
      <c r="C186" s="1637"/>
      <c r="D186" s="352"/>
      <c r="K186" s="1161"/>
      <c r="L186" s="1637"/>
      <c r="M186" s="1637"/>
      <c r="N186" s="1161"/>
      <c r="O186" s="1161"/>
      <c r="P186" s="1161"/>
      <c r="Q186" s="1161"/>
      <c r="R186" s="1637"/>
      <c r="S186" s="1161"/>
      <c r="T186" s="1161"/>
      <c r="U186" s="545"/>
      <c r="V186" s="1161"/>
      <c r="W186" s="1161"/>
      <c r="X186" s="1161"/>
      <c r="Y186" s="1161"/>
      <c r="Z186" s="1161"/>
      <c r="AA186" s="1633"/>
      <c r="AB186" s="567"/>
      <c r="AC186" s="567"/>
      <c r="AD186" s="567"/>
      <c r="AE186" s="567"/>
      <c r="AF186" s="1642">
        <v>11</v>
      </c>
    </row>
    <row s="1642" customFormat="1" customHeight="1" ht="11.549999999999999">
      <c r="A187" s="988"/>
      <c r="B187" s="1637"/>
      <c r="C187" s="1637"/>
      <c r="D187" s="352"/>
      <c r="K187" s="1161"/>
      <c r="L187" s="1637"/>
      <c r="M187" s="1637"/>
      <c r="N187" s="1161"/>
      <c r="O187" s="1161"/>
      <c r="P187" s="1161"/>
      <c r="Q187" s="1161"/>
      <c r="R187" s="1637"/>
      <c r="S187" s="1161"/>
      <c r="T187" s="1161"/>
      <c r="U187" s="545"/>
      <c r="V187" s="1161"/>
      <c r="W187" s="1161"/>
      <c r="X187" s="1161"/>
      <c r="Y187" s="1161"/>
      <c r="Z187" s="1161"/>
      <c r="AA187" s="1633"/>
      <c r="AB187" s="567"/>
      <c r="AC187" s="567"/>
      <c r="AD187" s="567"/>
      <c r="AE187" s="567"/>
      <c r="AF187" s="1642">
        <v>11</v>
      </c>
    </row>
    <row s="1642" customFormat="1" customHeight="1" ht="11.549999999999999">
      <c r="A188" s="988"/>
      <c r="B188" s="1637"/>
      <c r="C188" s="1637"/>
      <c r="D188" s="352"/>
      <c r="K188" s="1161"/>
      <c r="L188" s="1637"/>
      <c r="M188" s="1637"/>
      <c r="N188" s="1161"/>
      <c r="O188" s="1161"/>
      <c r="P188" s="1161"/>
      <c r="Q188" s="1161"/>
      <c r="R188" s="1637"/>
      <c r="S188" s="1161"/>
      <c r="T188" s="1161"/>
      <c r="U188" s="545"/>
      <c r="V188" s="1161"/>
      <c r="W188" s="1161"/>
      <c r="X188" s="1161"/>
      <c r="Y188" s="1161"/>
      <c r="Z188" s="1161"/>
      <c r="AA188" s="1633"/>
      <c r="AB188" s="567"/>
      <c r="AC188" s="567"/>
      <c r="AD188" s="567"/>
      <c r="AE188" s="567"/>
      <c r="AF188" s="1642">
        <v>11</v>
      </c>
    </row>
    <row s="1642" customFormat="1" customHeight="1" ht="11.549999999999999">
      <c r="A189" s="988"/>
      <c r="B189" s="1637"/>
      <c r="C189" s="1637"/>
      <c r="D189" s="352"/>
      <c r="K189" s="1161"/>
      <c r="L189" s="1637"/>
      <c r="M189" s="1637"/>
      <c r="N189" s="1161"/>
      <c r="O189" s="1161"/>
      <c r="P189" s="1161"/>
      <c r="Q189" s="1161"/>
      <c r="R189" s="1637"/>
      <c r="S189" s="1161"/>
      <c r="T189" s="1161"/>
      <c r="U189" s="545"/>
      <c r="V189" s="1161"/>
      <c r="W189" s="1161"/>
      <c r="X189" s="1161"/>
      <c r="Y189" s="1161"/>
      <c r="Z189" s="1161"/>
      <c r="AA189" s="1633"/>
      <c r="AB189" s="567"/>
      <c r="AC189" s="567"/>
      <c r="AD189" s="567"/>
      <c r="AE189" s="567"/>
      <c r="AF189" s="1642">
        <v>11</v>
      </c>
    </row>
    <row s="1642" customFormat="1" customHeight="1" ht="11.549999999999999">
      <c r="A190" s="988"/>
      <c r="B190" s="1637"/>
      <c r="C190" s="1637"/>
      <c r="D190" s="352"/>
      <c r="K190" s="1161"/>
      <c r="L190" s="1637"/>
      <c r="M190" s="1637"/>
      <c r="N190" s="1161"/>
      <c r="O190" s="1161"/>
      <c r="P190" s="1161"/>
      <c r="Q190" s="1161"/>
      <c r="R190" s="1637"/>
      <c r="S190" s="1161"/>
      <c r="T190" s="1161"/>
      <c r="U190" s="545"/>
      <c r="V190" s="1161"/>
      <c r="W190" s="1161"/>
      <c r="X190" s="1161"/>
      <c r="Y190" s="1161"/>
      <c r="Z190" s="1161"/>
      <c r="AA190" s="1633"/>
      <c r="AB190" s="567"/>
      <c r="AC190" s="567"/>
      <c r="AD190" s="567"/>
      <c r="AE190" s="567"/>
      <c r="AF190" s="1642">
        <v>11</v>
      </c>
    </row>
    <row s="1642" customFormat="1" customHeight="1" ht="11.549999999999999">
      <c r="A191" s="988"/>
      <c r="B191" s="1637"/>
      <c r="C191" s="1637"/>
      <c r="D191" s="352"/>
      <c r="K191" s="1161"/>
      <c r="L191" s="1637"/>
      <c r="M191" s="1637"/>
      <c r="N191" s="1161"/>
      <c r="O191" s="1161"/>
      <c r="P191" s="1161"/>
      <c r="Q191" s="1161"/>
      <c r="R191" s="1637"/>
      <c r="S191" s="1161"/>
      <c r="T191" s="1161"/>
      <c r="U191" s="545"/>
      <c r="V191" s="1161"/>
      <c r="W191" s="1161"/>
      <c r="X191" s="1161"/>
      <c r="Y191" s="1161"/>
      <c r="Z191" s="1161"/>
      <c r="AA191" s="1633"/>
      <c r="AB191" s="567"/>
      <c r="AC191" s="567"/>
      <c r="AD191" s="567"/>
      <c r="AE191" s="567"/>
      <c r="AF191" s="1642">
        <v>11</v>
      </c>
    </row>
    <row s="1642" customFormat="1" customHeight="1" ht="11.549999999999999">
      <c r="A192" s="988"/>
      <c r="B192" s="1637"/>
      <c r="C192" s="1637"/>
      <c r="D192" s="352"/>
      <c r="K192" s="1161"/>
      <c r="L192" s="1637"/>
      <c r="M192" s="1637"/>
      <c r="N192" s="1161"/>
      <c r="O192" s="1161"/>
      <c r="P192" s="1161"/>
      <c r="Q192" s="1161"/>
      <c r="R192" s="1637"/>
      <c r="S192" s="1161"/>
      <c r="T192" s="1161"/>
      <c r="U192" s="545"/>
      <c r="V192" s="1161"/>
      <c r="W192" s="1161"/>
      <c r="X192" s="1161"/>
      <c r="Y192" s="1161"/>
      <c r="Z192" s="1161"/>
      <c r="AA192" s="1633"/>
      <c r="AB192" s="567"/>
      <c r="AC192" s="567"/>
      <c r="AD192" s="567"/>
      <c r="AE192" s="567"/>
      <c r="AF192" s="1642">
        <v>11</v>
      </c>
    </row>
    <row s="1642" customFormat="1" customHeight="1" ht="11.549999999999999">
      <c r="A193" s="988"/>
      <c r="B193" s="1637"/>
      <c r="C193" s="1637"/>
      <c r="D193" s="352"/>
      <c r="K193" s="1161"/>
      <c r="L193" s="1637"/>
      <c r="M193" s="1637"/>
      <c r="N193" s="1161"/>
      <c r="O193" s="1161"/>
      <c r="P193" s="1161"/>
      <c r="Q193" s="1161"/>
      <c r="R193" s="1637"/>
      <c r="S193" s="1161"/>
      <c r="T193" s="1161"/>
      <c r="U193" s="545"/>
      <c r="V193" s="1161"/>
      <c r="W193" s="1161"/>
      <c r="X193" s="1161"/>
      <c r="Y193" s="1161"/>
      <c r="Z193" s="1161"/>
      <c r="AA193" s="1633"/>
      <c r="AB193" s="567"/>
      <c r="AC193" s="567"/>
      <c r="AD193" s="567"/>
      <c r="AE193" s="567"/>
      <c r="AF193" s="1642">
        <v>11</v>
      </c>
    </row>
    <row s="1642" customFormat="1" customHeight="1" ht="11.549999999999999">
      <c r="A194" s="988"/>
      <c r="B194" s="1637"/>
      <c r="C194" s="1637"/>
      <c r="D194" s="352"/>
      <c r="K194" s="1161"/>
      <c r="L194" s="1637"/>
      <c r="M194" s="1637"/>
      <c r="N194" s="1161"/>
      <c r="O194" s="1161"/>
      <c r="P194" s="1161"/>
      <c r="Q194" s="1161"/>
      <c r="R194" s="1637"/>
      <c r="S194" s="1161"/>
      <c r="T194" s="1161"/>
      <c r="U194" s="545"/>
      <c r="V194" s="1161"/>
      <c r="W194" s="1161"/>
      <c r="X194" s="1161"/>
      <c r="Y194" s="1161"/>
      <c r="Z194" s="1161"/>
      <c r="AA194" s="1633"/>
      <c r="AB194" s="567"/>
      <c r="AC194" s="567"/>
      <c r="AD194" s="567"/>
      <c r="AE194" s="567"/>
      <c r="AF194" s="1642">
        <v>11</v>
      </c>
    </row>
    <row s="1642" customFormat="1" customHeight="1" ht="11.549999999999999">
      <c r="A195" s="988"/>
      <c r="B195" s="1637"/>
      <c r="C195" s="1637"/>
      <c r="D195" s="352"/>
      <c r="K195" s="1161"/>
      <c r="L195" s="1637"/>
      <c r="M195" s="1637"/>
      <c r="N195" s="1161"/>
      <c r="O195" s="1161"/>
      <c r="P195" s="1161"/>
      <c r="Q195" s="1161"/>
      <c r="R195" s="1637"/>
      <c r="S195" s="1161"/>
      <c r="T195" s="1161"/>
      <c r="U195" s="545"/>
      <c r="V195" s="1161"/>
      <c r="W195" s="1161"/>
      <c r="X195" s="1161"/>
      <c r="Y195" s="1161"/>
      <c r="Z195" s="1161"/>
      <c r="AA195" s="1633"/>
      <c r="AB195" s="567"/>
      <c r="AC195" s="567"/>
      <c r="AD195" s="567"/>
      <c r="AE195" s="567"/>
      <c r="AF195" s="1642">
        <v>11</v>
      </c>
    </row>
    <row customHeight="1" ht="11.549999999999999">
      <c r="AF196" s="1632">
        <v>11</v>
      </c>
    </row>
    <row customHeight="1" ht="11.549999999999999">
      <c r="AF197" s="1632">
        <v>11</v>
      </c>
    </row>
    <row customHeight="1" ht="11.549999999999999">
      <c r="AF198" s="1632">
        <v>11</v>
      </c>
    </row>
    <row customHeight="1" ht="11.549999999999999">
      <c r="A199" s="991"/>
      <c r="B199" s="1632"/>
      <c r="D199" s="1632"/>
      <c r="K199" s="1632"/>
      <c r="N199" s="1632"/>
      <c r="O199" s="1632"/>
      <c r="P199" s="1632"/>
      <c r="Q199" s="1632"/>
      <c r="S199" s="1632"/>
      <c r="T199" s="1632"/>
      <c r="U199" s="1632"/>
      <c r="V199" s="1632"/>
      <c r="W199" s="1632"/>
      <c r="X199" s="1632"/>
      <c r="Y199" s="1632"/>
      <c r="Z199" s="1632"/>
      <c r="AA199" s="1632"/>
      <c r="AB199" s="1632"/>
      <c r="AC199" s="1632"/>
      <c r="AD199" s="1632"/>
      <c r="AE199" s="1632"/>
      <c r="AF199" s="1632">
        <v>11</v>
      </c>
    </row>
    <row customHeight="1" ht="11.549999999999999">
      <c r="A200" s="991"/>
      <c r="B200" s="1632"/>
      <c r="D200" s="1632"/>
      <c r="K200" s="1632"/>
      <c r="N200" s="1632"/>
      <c r="O200" s="1632"/>
      <c r="P200" s="1632"/>
      <c r="Q200" s="1632"/>
      <c r="S200" s="1632"/>
      <c r="T200" s="1632"/>
      <c r="U200" s="1632"/>
      <c r="V200" s="1632"/>
      <c r="W200" s="1632"/>
      <c r="X200" s="1632"/>
      <c r="Y200" s="1632"/>
      <c r="Z200" s="1632"/>
      <c r="AA200" s="1632"/>
      <c r="AB200" s="1632"/>
      <c r="AC200" s="1632"/>
      <c r="AD200" s="1632"/>
      <c r="AE200" s="1632"/>
      <c r="AF200" s="1632">
        <v>11</v>
      </c>
    </row>
    <row customHeight="1" ht="11.549999999999999">
      <c r="A201" s="991"/>
      <c r="B201" s="1632"/>
      <c r="D201" s="1632"/>
      <c r="K201" s="1632"/>
      <c r="N201" s="1632"/>
      <c r="O201" s="1632"/>
      <c r="P201" s="1632"/>
      <c r="Q201" s="1632"/>
      <c r="S201" s="1632"/>
      <c r="T201" s="1632"/>
      <c r="U201" s="1632"/>
      <c r="V201" s="1632"/>
      <c r="W201" s="1632"/>
      <c r="X201" s="1632"/>
      <c r="Y201" s="1632"/>
      <c r="Z201" s="1632"/>
      <c r="AA201" s="1632"/>
      <c r="AB201" s="1632"/>
      <c r="AC201" s="1632"/>
      <c r="AD201" s="1632"/>
      <c r="AE201" s="1632"/>
      <c r="AF201" s="1632">
        <v>11</v>
      </c>
    </row>
    <row customHeight="1" ht="11.549999999999999">
      <c r="A202" s="991"/>
      <c r="B202" s="1632"/>
      <c r="D202" s="1632"/>
      <c r="K202" s="1632"/>
      <c r="N202" s="1632"/>
      <c r="O202" s="1632"/>
      <c r="P202" s="1632"/>
      <c r="Q202" s="1632"/>
      <c r="S202" s="1632"/>
      <c r="T202" s="1632"/>
      <c r="U202" s="1632"/>
      <c r="V202" s="1632"/>
      <c r="W202" s="1632"/>
      <c r="X202" s="1632"/>
      <c r="Y202" s="1632"/>
      <c r="Z202" s="1632"/>
      <c r="AA202" s="1632"/>
      <c r="AB202" s="1632"/>
      <c r="AC202" s="1632"/>
      <c r="AD202" s="1632"/>
      <c r="AE202" s="1632"/>
      <c r="AF202" s="1632">
        <v>11</v>
      </c>
    </row>
    <row customHeight="1" ht="11.549999999999999">
      <c r="A203" s="991"/>
      <c r="B203" s="1632"/>
      <c r="D203" s="1632"/>
      <c r="K203" s="1632"/>
      <c r="N203" s="1632"/>
      <c r="O203" s="1632"/>
      <c r="P203" s="1632"/>
      <c r="Q203" s="1632"/>
      <c r="S203" s="1632"/>
      <c r="T203" s="1632"/>
      <c r="U203" s="1632"/>
      <c r="V203" s="1632"/>
      <c r="W203" s="1632"/>
      <c r="X203" s="1632"/>
      <c r="Y203" s="1632"/>
      <c r="Z203" s="1632"/>
      <c r="AA203" s="1632"/>
      <c r="AB203" s="1632"/>
      <c r="AC203" s="1632"/>
      <c r="AD203" s="1632"/>
      <c r="AE203" s="1632"/>
      <c r="AF203" s="1632">
        <v>11</v>
      </c>
    </row>
    <row customHeight="1" ht="11.549999999999999">
      <c r="A204" s="991"/>
      <c r="B204" s="1632"/>
      <c r="D204" s="1632"/>
      <c r="K204" s="1632"/>
      <c r="N204" s="1632"/>
      <c r="O204" s="1632"/>
      <c r="P204" s="1632"/>
      <c r="Q204" s="1632"/>
      <c r="S204" s="1632"/>
      <c r="T204" s="1632"/>
      <c r="U204" s="1632"/>
      <c r="V204" s="1632"/>
      <c r="W204" s="1632"/>
      <c r="X204" s="1632"/>
      <c r="Y204" s="1632"/>
      <c r="Z204" s="1632"/>
      <c r="AA204" s="1632"/>
      <c r="AB204" s="1632"/>
      <c r="AC204" s="1632"/>
      <c r="AD204" s="1632"/>
      <c r="AE204" s="1632"/>
      <c r="AF204" s="1632">
        <v>11</v>
      </c>
    </row>
    <row customHeight="1" ht="11.549999999999999">
      <c r="A205" s="991"/>
      <c r="B205" s="1632"/>
      <c r="D205" s="1632"/>
      <c r="K205" s="1632"/>
      <c r="N205" s="1632"/>
      <c r="O205" s="1632"/>
      <c r="P205" s="1632"/>
      <c r="Q205" s="1632"/>
      <c r="S205" s="1632"/>
      <c r="T205" s="1632"/>
      <c r="U205" s="1632"/>
      <c r="V205" s="1632"/>
      <c r="W205" s="1632"/>
      <c r="X205" s="1632"/>
      <c r="Y205" s="1632"/>
      <c r="Z205" s="1632"/>
      <c r="AA205" s="1632"/>
      <c r="AB205" s="1632"/>
      <c r="AC205" s="1632"/>
      <c r="AD205" s="1632"/>
      <c r="AE205" s="1632"/>
      <c r="AF205" s="1632">
        <v>11</v>
      </c>
    </row>
    <row customHeight="1" ht="11.549999999999999">
      <c r="A206" s="991"/>
      <c r="B206" s="1632"/>
      <c r="D206" s="1632"/>
      <c r="K206" s="1632"/>
      <c r="N206" s="1632"/>
      <c r="O206" s="1632"/>
      <c r="P206" s="1632"/>
      <c r="Q206" s="1632"/>
      <c r="S206" s="1632"/>
      <c r="T206" s="1632"/>
      <c r="U206" s="1632"/>
      <c r="V206" s="1632"/>
      <c r="W206" s="1632"/>
      <c r="X206" s="1632"/>
      <c r="Y206" s="1632"/>
      <c r="Z206" s="1632"/>
      <c r="AA206" s="1632"/>
      <c r="AB206" s="1632"/>
      <c r="AC206" s="1632"/>
      <c r="AD206" s="1632"/>
      <c r="AE206" s="1632"/>
      <c r="AF206" s="1632">
        <v>11</v>
      </c>
    </row>
    <row customHeight="1" ht="11.549999999999999">
      <c r="A207" s="991"/>
      <c r="B207" s="1632"/>
      <c r="D207" s="1632"/>
      <c r="K207" s="1632"/>
      <c r="N207" s="1632"/>
      <c r="O207" s="1632"/>
      <c r="P207" s="1632"/>
      <c r="Q207" s="1632"/>
      <c r="S207" s="1632"/>
      <c r="T207" s="1632"/>
      <c r="U207" s="1632"/>
      <c r="V207" s="1632"/>
      <c r="W207" s="1632"/>
      <c r="X207" s="1632"/>
      <c r="Y207" s="1632"/>
      <c r="Z207" s="1632"/>
      <c r="AA207" s="1632"/>
      <c r="AB207" s="1632"/>
      <c r="AC207" s="1632"/>
      <c r="AD207" s="1632"/>
      <c r="AE207" s="1632"/>
      <c r="AF207" s="1632">
        <v>11</v>
      </c>
    </row>
    <row customHeight="1" ht="11.549999999999999">
      <c r="A208" s="991"/>
      <c r="B208" s="1632"/>
      <c r="D208" s="1632"/>
      <c r="K208" s="1632"/>
      <c r="N208" s="1632"/>
      <c r="O208" s="1632"/>
      <c r="P208" s="1632"/>
      <c r="Q208" s="1632"/>
      <c r="S208" s="1632"/>
      <c r="T208" s="1632"/>
      <c r="U208" s="1632"/>
      <c r="V208" s="1632"/>
      <c r="W208" s="1632"/>
      <c r="X208" s="1632"/>
      <c r="Y208" s="1632"/>
      <c r="Z208" s="1632"/>
      <c r="AA208" s="1632"/>
      <c r="AB208" s="1632"/>
      <c r="AC208" s="1632"/>
      <c r="AD208" s="1632"/>
      <c r="AE208" s="1632"/>
      <c r="AF208" s="1632">
        <v>11</v>
      </c>
    </row>
    <row customHeight="1" ht="11.549999999999999">
      <c r="A209" s="991"/>
      <c r="B209" s="1632"/>
      <c r="D209" s="1632"/>
      <c r="K209" s="1632"/>
      <c r="N209" s="1632"/>
      <c r="O209" s="1632"/>
      <c r="P209" s="1632"/>
      <c r="Q209" s="1632"/>
      <c r="S209" s="1632"/>
      <c r="T209" s="1632"/>
      <c r="U209" s="1632"/>
      <c r="V209" s="1632"/>
      <c r="W209" s="1632"/>
      <c r="X209" s="1632"/>
      <c r="Y209" s="1632"/>
      <c r="Z209" s="1632"/>
      <c r="AA209" s="1632"/>
      <c r="AB209" s="1632"/>
      <c r="AC209" s="1632"/>
      <c r="AD209" s="1632"/>
      <c r="AE209" s="1632"/>
      <c r="AF209" s="1632">
        <v>11</v>
      </c>
    </row>
    <row customHeight="1" ht="11.25" hidden="1">
      <c r="A210" s="988" t="s">
        <v>86</v>
      </c>
      <c r="B210" s="1161">
        <v>0</v>
      </c>
      <c r="C210" s="1637">
        <v>0</v>
      </c>
      <c r="D210" s="1636">
        <v>3</v>
      </c>
      <c r="E210" s="1632">
        <v>7</v>
      </c>
      <c r="F210" s="1632">
        <v>54</v>
      </c>
      <c r="G210" s="1632">
        <v>10</v>
      </c>
      <c r="H210" s="1632">
        <v>0</v>
      </c>
      <c r="I210" s="1632">
        <v>40</v>
      </c>
      <c r="J210" s="1632">
        <v>102</v>
      </c>
      <c r="K210" s="1161">
        <v>9</v>
      </c>
      <c r="L210" s="1637">
        <v>5</v>
      </c>
      <c r="M210" s="1637">
        <v>3</v>
      </c>
      <c r="N210" s="1161">
        <v>3</v>
      </c>
      <c r="O210" s="1161">
        <v>3</v>
      </c>
      <c r="P210" s="1161">
        <v>3</v>
      </c>
      <c r="Q210" s="1161">
        <v>3</v>
      </c>
      <c r="R210" s="1637">
        <v>10</v>
      </c>
      <c r="S210" s="1161">
        <v>34</v>
      </c>
      <c r="T210" s="1161">
        <v>9</v>
      </c>
      <c r="U210" s="545">
        <v>8</v>
      </c>
      <c r="V210" s="1161">
        <v>8</v>
      </c>
      <c r="W210" s="1161">
        <v>8</v>
      </c>
      <c r="X210" s="1161">
        <v>8</v>
      </c>
      <c r="Y210" s="1161">
        <v>8</v>
      </c>
      <c r="Z210" s="1161">
        <v>8</v>
      </c>
      <c r="AA210" s="1633">
        <v>8</v>
      </c>
      <c r="AB210" s="1633">
        <v>8</v>
      </c>
      <c r="AC210" s="1633">
        <v>8</v>
      </c>
      <c r="AD210" s="1633">
        <v>8</v>
      </c>
      <c r="AE210" s="1633">
        <v>8</v>
      </c>
      <c r="AF210" s="1632">
        <v>11</v>
      </c>
    </row>
  </sheetData>
  <sheetProtection formatColumns="0" formatRows="0" autoFilter="0" sort="0" insertRows="0" insertColumns="1" deleteRows="0" deleteColumns="0"/>
  <mergeCells count="9">
    <mergeCell ref="F40:G40"/>
    <mergeCell ref="E6:I6"/>
    <mergeCell ref="E7:I7"/>
    <mergeCell ref="F10:G10"/>
    <mergeCell ref="J10:J14"/>
    <mergeCell ref="F11:G11"/>
    <mergeCell ref="F12:G12"/>
    <mergeCell ref="E13:G13"/>
    <mergeCell ref="F39:G39"/>
  </mergeCells>
  <dataValidations count="5">
    <dataValidation type="decimal" allowBlank="1" showErrorMessage="1" errorTitle="Ошибка" error="Допускается ввод только действительных чисел!" sqref="H32:I34">
      <formula1>-9.99999999999999E+37</formula1>
      <formula2>9.99999999999999E+37</formula2>
    </dataValidation>
    <dataValidation type="decimal" allowBlank="1" showErrorMessage="1" errorTitle="Ошибка" error="Допускается ввод только действительных чисел!" sqref="H30:I30">
      <formula1>-9.99999999999999E+23</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35:I35">
      <formula1>900</formula1>
    </dataValidation>
    <dataValidation type="decimal" allowBlank="1" showErrorMessage="1" errorTitle="Ошибка" error="Допускается ввод только неотрицательных чисел!" sqref="H31:I31 H2:I2 H15:I15 H17:I27 H36:I37">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H28:I28">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3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5DB1B06-6974-ECFE-8698-F21BB03F31EA}" mc:Ignorable="x14ac xr xr2 xr3">
  <sheetPr>
    <tabColor theme="9" tint="-0.25"/>
  </sheetPr>
  <dimension ref="A1:X102"/>
  <sheetViews>
    <sheetView showGridLines="0" zoomScale="90" workbookViewId="0">
      <pane xSplit="8" ySplit="11" topLeftCell="I12" activePane="bottomRight" state="frozen"/>
      <selection pane="bottomLeft" activeCell="A12" sqref="A12"/>
      <selection pane="topRight" activeCell="I1" sqref="I1"/>
      <selection pane="bottomRight" activeCell="A1" sqref="A1"/>
    </sheetView>
  </sheetViews>
  <sheetFormatPr defaultColWidth="10.57421875" customHeight="1" defaultRowHeight="11.25"/>
  <cols>
    <col min="1" max="1" style="1167" width="9.140625" hidden="1" customWidth="1"/>
    <col min="2" max="2" style="1643" width="3.57421875" hidden="1" customWidth="1"/>
    <col min="3" max="3" style="1636" width="3.00390625" customWidth="1"/>
    <col min="4" max="4" style="1636" width="7.00390625" customWidth="1"/>
    <col min="5" max="5" style="1636" width="69.00390625" customWidth="1"/>
    <col min="6" max="6" style="1636" width="10.00390625" customWidth="1"/>
    <col min="7" max="8" style="1636" width="44.00390625" hidden="1" customWidth="1"/>
    <col min="9" max="9" style="1636" width="44.00390625" customWidth="1"/>
    <col min="10" max="10" style="1636" width="43.00390625" customWidth="1"/>
    <col min="11" max="11" style="1636" width="73.00390625" customWidth="1"/>
    <col min="12" max="12" style="1636" width="3.00390625" customWidth="1"/>
    <col min="13" max="23" style="1636" width="10.00390625" customWidth="1"/>
    <col min="24" max="24" style="1636" width="10.57421875" hidden="1"/>
  </cols>
  <sheetData>
    <row s="1367" customFormat="1" customHeight="1" ht="22.5" hidden="1">
      <c r="A1" s="537"/>
      <c r="B1" s="512"/>
      <c r="G1" s="418">
        <v>4</v>
      </c>
      <c r="I1" s="418">
        <v>4</v>
      </c>
      <c r="K1" s="418">
        <v>5</v>
      </c>
      <c r="X1" s="418" t="s">
        <v>14</v>
      </c>
    </row>
    <row customHeight="1" ht="3">
      <c r="X2" s="506">
        <v>3</v>
      </c>
    </row>
    <row customHeight="1" ht="78.75">
      <c r="D3" s="2239" t="str">
        <f>KNE_NAME_FORM</f>
        <v>Форма 12. Информация об основных потребительских характеристиках товаров, услуг регулируемой организации, цены (тарифы) в сфере теплоснабжения на которые подлежат регулированию, об основных потребительских характеристиках товаров (услуг), поставляемых (оказываемых) единой теплоснабжающей организацией в ценовых зонах теплоснабжения, об основных потребительских характеристиках товаров (услуг), поставляемых (оказываемых) теплоснабжающей организацией в ценовых зонах теплоснабжения и теплосетевой организацией в ценовых зонах теплоснабжения</v>
      </c>
      <c r="E3" s="2240"/>
      <c r="F3" s="2241"/>
      <c r="X3" s="506">
        <v>75</v>
      </c>
    </row>
    <row s="1636" customFormat="1" customHeight="1" ht="21">
      <c r="A4" s="952"/>
      <c r="B4" s="512"/>
      <c r="D4" s="2215" t="str">
        <f>IF(org=0,"Не определено",org)</f>
        <v>ПАО "ТГК-1" (филиал "Кольский")</v>
      </c>
      <c r="E4" s="2216"/>
      <c r="F4" s="2217"/>
      <c r="X4" s="759">
        <v>20</v>
      </c>
    </row>
    <row customHeight="1" ht="11.549999999999999">
      <c r="C5" s="510"/>
      <c r="D5" s="589"/>
      <c r="E5" s="589"/>
      <c r="F5" s="589"/>
      <c r="G5" s="589"/>
      <c r="H5" s="753"/>
      <c r="I5" s="589"/>
      <c r="J5" s="753"/>
      <c r="K5" s="589"/>
      <c r="X5" s="506">
        <v>11</v>
      </c>
    </row>
    <row customHeight="1" ht="1.05">
      <c r="C6" s="510"/>
      <c r="D6" s="510"/>
      <c r="E6" s="523"/>
      <c r="F6" s="615"/>
      <c r="G6" s="1023"/>
      <c r="H6" s="1023"/>
      <c r="I6" s="1023" t="s">
        <v>130</v>
      </c>
      <c r="J6" s="1023"/>
      <c r="X6" s="506">
        <v>1</v>
      </c>
    </row>
    <row customHeight="1" ht="11.549999999999999">
      <c r="D7" s="712"/>
      <c r="E7" s="2368" t="s">
        <v>119</v>
      </c>
      <c r="F7" s="2369"/>
      <c r="G7" s="2394" t="str">
        <f>IF(G6="","",INDEX(DIFFERENTIATION_UNMERGE_VD,MATCH(G6,DIFFERENTIATION_ID_DIFF,0)))</f>
        <v/>
      </c>
      <c r="H7" s="2395"/>
      <c r="I7" s="2394">
        <f>IF(I6="","",INDEX(DIFFERENTIATION_UNMERGE_VD,MATCH(I6,DIFFERENTIATION_ID_DIFF,0)))</f>
        <v>0</v>
      </c>
      <c r="J7" s="2395"/>
      <c r="K7" s="2176"/>
      <c r="L7" s="510"/>
      <c r="X7" s="506">
        <v>11</v>
      </c>
    </row>
    <row customHeight="1" ht="11.549999999999999">
      <c r="A8" s="705"/>
      <c r="D8" s="712"/>
      <c r="E8" s="2368" t="s">
        <v>695</v>
      </c>
      <c r="F8" s="2369"/>
      <c r="G8" s="2394" t="str">
        <f>IF(G6="","",INDEX(DIFFERENTIATION_UNMERGE_AREA,MATCH(G6,DIFFERENTIATION_ID_DIFF,0)))</f>
        <v/>
      </c>
      <c r="H8" s="2395"/>
      <c r="I8" s="2394" t="str">
        <f>IF(I6="","",INDEX(DIFFERENTIATION_UNMERGE_AREA,MATCH(I6,DIFFERENTIATION_ID_DIFF,0)))</f>
        <v/>
      </c>
      <c r="J8" s="2395"/>
      <c r="K8" s="2200"/>
      <c r="L8" s="510"/>
      <c r="X8" s="506">
        <v>11</v>
      </c>
    </row>
    <row customHeight="1" ht="11.549999999999999">
      <c r="A9" s="705"/>
      <c r="D9" s="712"/>
      <c r="E9" s="2368" t="s">
        <v>696</v>
      </c>
      <c r="F9" s="2369"/>
      <c r="G9" s="2394" t="str">
        <f>IF(G6="","",INDEX(DIFFERENTIATION_UNMERGE_SYSTEM,MATCH(G6,DIFFERENTIATION_ID_DIFF,0)))</f>
        <v/>
      </c>
      <c r="H9" s="2395"/>
      <c r="I9" s="2394" t="str">
        <f>IF(I6="","",INDEX(DIFFERENTIATION_UNMERGE_SYSTEM,MATCH(I6,DIFFERENTIATION_ID_DIFF,0)))</f>
        <v>без дифференциации</v>
      </c>
      <c r="J9" s="2395"/>
      <c r="K9" s="2200"/>
      <c r="L9" s="510"/>
      <c r="X9" s="506">
        <v>11</v>
      </c>
    </row>
    <row s="1636" customFormat="1" customHeight="1" ht="11.549999999999999">
      <c r="A10" s="1022"/>
      <c r="B10" s="512"/>
      <c r="D10" s="2102" t="s">
        <v>430</v>
      </c>
      <c r="E10" s="2103"/>
      <c r="F10" s="2103"/>
      <c r="G10" s="2103"/>
      <c r="H10" s="2103"/>
      <c r="I10" s="2103"/>
      <c r="J10" s="2104"/>
      <c r="K10" s="2200"/>
      <c r="L10" s="510"/>
      <c r="X10" s="759">
        <v>11</v>
      </c>
    </row>
    <row s="1636" customFormat="1" customHeight="1" ht="24">
      <c r="A11" s="2386"/>
      <c r="B11" s="2386"/>
      <c r="C11" s="658"/>
      <c r="D11" s="704" t="s">
        <v>92</v>
      </c>
      <c r="E11" s="706" t="s">
        <v>937</v>
      </c>
      <c r="F11" s="706" t="s">
        <v>697</v>
      </c>
      <c r="G11" s="466" t="s">
        <v>433</v>
      </c>
      <c r="H11" s="466" t="s">
        <v>520</v>
      </c>
      <c r="I11" s="808" t="s">
        <v>433</v>
      </c>
      <c r="J11" s="809" t="s">
        <v>520</v>
      </c>
      <c r="K11" s="2233"/>
      <c r="L11" s="659"/>
      <c r="X11" s="510">
        <v>23</v>
      </c>
    </row>
    <row s="1643" customFormat="1" customHeight="1" ht="10.5">
      <c r="A12" s="953"/>
      <c r="D12" s="1026" t="s">
        <v>123</v>
      </c>
      <c r="E12" s="1026" t="s">
        <v>107</v>
      </c>
      <c r="F12" s="1026" t="s">
        <v>94</v>
      </c>
      <c r="G12" s="1027" t="str">
        <f>G1&amp;".1"</f>
        <v>4.1</v>
      </c>
      <c r="H12" s="1027" t="str">
        <f>G1&amp;".2"</f>
        <v>4.2</v>
      </c>
      <c r="I12" s="1027" t="str">
        <f>I1&amp;".1"</f>
        <v>4.1</v>
      </c>
      <c r="J12" s="1027" t="str">
        <f>I1&amp;".2"</f>
        <v>4.2</v>
      </c>
      <c r="K12" s="1027"/>
      <c r="X12" s="512">
        <v>10</v>
      </c>
    </row>
    <row customHeight="1" ht="22.5">
      <c r="A13" s="2393" t="s">
        <v>938</v>
      </c>
      <c r="D13" s="954" t="s">
        <v>123</v>
      </c>
      <c r="E13" s="280" t="s">
        <v>939</v>
      </c>
      <c r="F13" s="661" t="s">
        <v>940</v>
      </c>
      <c r="G13" s="558"/>
      <c r="H13" s="662"/>
      <c r="I13" s="558"/>
      <c r="J13" s="662"/>
      <c r="K13" s="290" t="s">
        <v>941</v>
      </c>
      <c r="L13" s="721"/>
      <c r="X13" s="506">
        <v>0</v>
      </c>
    </row>
    <row customHeight="1" ht="22.5">
      <c r="A14" s="2393"/>
      <c r="D14" s="540" t="s">
        <v>107</v>
      </c>
      <c r="E14" s="280" t="s">
        <v>942</v>
      </c>
      <c r="F14" s="661" t="s">
        <v>943</v>
      </c>
      <c r="G14" s="558"/>
      <c r="H14" s="663"/>
      <c r="I14" s="558"/>
      <c r="J14" s="663"/>
      <c r="K14" s="290" t="s">
        <v>944</v>
      </c>
      <c r="L14" s="721"/>
      <c r="X14" s="506">
        <v>0</v>
      </c>
    </row>
    <row s="1636" customFormat="1" customHeight="1" ht="78.75">
      <c r="A15" s="2393"/>
      <c r="B15" s="512"/>
      <c r="D15" s="954" t="s">
        <v>94</v>
      </c>
      <c r="E15" s="708" t="s">
        <v>945</v>
      </c>
      <c r="F15" s="951" t="s">
        <v>436</v>
      </c>
      <c r="G15" s="951" t="s">
        <v>436</v>
      </c>
      <c r="H15" s="107"/>
      <c r="I15" s="951" t="s">
        <v>436</v>
      </c>
      <c r="J15" s="107"/>
      <c r="K15" s="290" t="s">
        <v>946</v>
      </c>
      <c r="L15" s="721"/>
      <c r="X15" s="759">
        <v>0</v>
      </c>
    </row>
    <row s="1636" customFormat="1" customHeight="1" ht="22.5">
      <c r="A16" s="2393"/>
      <c r="B16" s="512"/>
      <c r="D16" s="954" t="s">
        <v>454</v>
      </c>
      <c r="E16" s="955" t="s">
        <v>947</v>
      </c>
      <c r="F16" s="951" t="s">
        <v>948</v>
      </c>
      <c r="G16" s="818"/>
      <c r="H16" s="107"/>
      <c r="I16" s="818"/>
      <c r="J16" s="107"/>
      <c r="K16" s="290"/>
      <c r="L16" s="721"/>
      <c r="X16" s="759">
        <v>0</v>
      </c>
    </row>
    <row s="1636" customFormat="1" customHeight="1" ht="22.5">
      <c r="A17" s="2393"/>
      <c r="B17" s="512"/>
      <c r="D17" s="954" t="s">
        <v>462</v>
      </c>
      <c r="E17" s="955" t="s">
        <v>949</v>
      </c>
      <c r="F17" s="951" t="s">
        <v>950</v>
      </c>
      <c r="G17" s="818"/>
      <c r="H17" s="107"/>
      <c r="I17" s="818"/>
      <c r="J17" s="107"/>
      <c r="K17" s="290"/>
      <c r="L17" s="721"/>
      <c r="X17" s="759">
        <v>0</v>
      </c>
    </row>
    <row s="1636" customFormat="1" customHeight="1" ht="33.75">
      <c r="A18" s="2393"/>
      <c r="B18" s="512"/>
      <c r="D18" s="954" t="s">
        <v>464</v>
      </c>
      <c r="E18" s="955" t="s">
        <v>951</v>
      </c>
      <c r="F18" s="951" t="s">
        <v>702</v>
      </c>
      <c r="G18" s="681"/>
      <c r="H18" s="107"/>
      <c r="I18" s="681"/>
      <c r="J18" s="107"/>
      <c r="K18" s="290"/>
      <c r="L18" s="721"/>
      <c r="X18" s="759">
        <v>0</v>
      </c>
    </row>
    <row customHeight="1" ht="101.25">
      <c r="A19" s="2393"/>
      <c r="D19" s="954" t="s">
        <v>95</v>
      </c>
      <c r="E19" s="280" t="s">
        <v>952</v>
      </c>
      <c r="F19" s="661" t="s">
        <v>677</v>
      </c>
      <c r="G19" s="664"/>
      <c r="H19" s="663"/>
      <c r="I19" s="956"/>
      <c r="J19" s="663"/>
      <c r="K19" s="290" t="s">
        <v>953</v>
      </c>
      <c r="L19" s="721"/>
      <c r="X19" s="506">
        <v>0</v>
      </c>
    </row>
    <row s="1636" customFormat="1" customHeight="1" ht="18.75">
      <c r="A20" s="2393"/>
      <c r="C20" s="957"/>
      <c r="D20" s="954" t="s">
        <v>884</v>
      </c>
      <c r="E20" s="955" t="s">
        <v>954</v>
      </c>
      <c r="F20" s="951" t="s">
        <v>436</v>
      </c>
      <c r="G20" s="951" t="s">
        <v>436</v>
      </c>
      <c r="H20" s="950" t="s">
        <v>436</v>
      </c>
      <c r="I20" s="951" t="s">
        <v>436</v>
      </c>
      <c r="J20" s="950" t="s">
        <v>436</v>
      </c>
      <c r="K20" s="949"/>
      <c r="L20" s="721"/>
      <c r="W20" s="676"/>
      <c r="X20" s="759">
        <v>0</v>
      </c>
    </row>
    <row s="1636" customFormat="1" customHeight="1" ht="33.75">
      <c r="A21" s="2393"/>
      <c r="C21" s="957"/>
      <c r="D21" s="954" t="s">
        <v>887</v>
      </c>
      <c r="E21" s="577" t="s">
        <v>955</v>
      </c>
      <c r="F21" s="951" t="s">
        <v>956</v>
      </c>
      <c r="G21" s="681"/>
      <c r="H21" s="107"/>
      <c r="I21" s="681"/>
      <c r="J21" s="107"/>
      <c r="K21" s="949"/>
      <c r="L21" s="721"/>
      <c r="W21" s="676"/>
      <c r="X21" s="759">
        <v>0</v>
      </c>
    </row>
    <row s="1636" customFormat="1" customHeight="1" ht="33.75">
      <c r="A22" s="2393"/>
      <c r="C22" s="957"/>
      <c r="D22" s="954" t="s">
        <v>890</v>
      </c>
      <c r="E22" s="577" t="s">
        <v>957</v>
      </c>
      <c r="F22" s="951" t="s">
        <v>958</v>
      </c>
      <c r="G22" s="681"/>
      <c r="H22" s="107"/>
      <c r="I22" s="681"/>
      <c r="J22" s="107"/>
      <c r="K22" s="949"/>
      <c r="L22" s="721"/>
      <c r="W22" s="676"/>
      <c r="X22" s="759">
        <v>0</v>
      </c>
    </row>
    <row s="1636" customFormat="1" customHeight="1" ht="22.5">
      <c r="A23" s="2393"/>
      <c r="C23" s="957"/>
      <c r="D23" s="954" t="s">
        <v>926</v>
      </c>
      <c r="E23" s="955" t="s">
        <v>959</v>
      </c>
      <c r="F23" s="951" t="s">
        <v>436</v>
      </c>
      <c r="G23" s="951" t="s">
        <v>436</v>
      </c>
      <c r="H23" s="950" t="s">
        <v>436</v>
      </c>
      <c r="I23" s="951" t="s">
        <v>436</v>
      </c>
      <c r="J23" s="950" t="s">
        <v>436</v>
      </c>
      <c r="K23" s="949"/>
      <c r="L23" s="721"/>
      <c r="W23" s="676"/>
      <c r="X23" s="759">
        <v>0</v>
      </c>
    </row>
    <row s="1636" customFormat="1" customHeight="1" ht="22.5">
      <c r="A24" s="2393"/>
      <c r="C24" s="957"/>
      <c r="D24" s="954" t="s">
        <v>960</v>
      </c>
      <c r="E24" s="577" t="s">
        <v>961</v>
      </c>
      <c r="F24" s="951" t="s">
        <v>962</v>
      </c>
      <c r="G24" s="681"/>
      <c r="H24" s="687"/>
      <c r="I24" s="681"/>
      <c r="J24" s="687"/>
      <c r="K24" s="949"/>
      <c r="L24" s="721"/>
      <c r="W24" s="676"/>
      <c r="X24" s="759">
        <v>0</v>
      </c>
    </row>
    <row s="1636" customFormat="1" customHeight="1" ht="22.5">
      <c r="A25" s="2393"/>
      <c r="C25" s="957"/>
      <c r="D25" s="954" t="s">
        <v>963</v>
      </c>
      <c r="E25" s="577" t="s">
        <v>964</v>
      </c>
      <c r="F25" s="951" t="s">
        <v>436</v>
      </c>
      <c r="G25" s="951" t="s">
        <v>436</v>
      </c>
      <c r="H25" s="950" t="s">
        <v>436</v>
      </c>
      <c r="I25" s="951" t="s">
        <v>436</v>
      </c>
      <c r="J25" s="950" t="s">
        <v>436</v>
      </c>
      <c r="K25" s="949"/>
      <c r="L25" s="721"/>
      <c r="W25" s="676"/>
      <c r="X25" s="759">
        <v>0</v>
      </c>
    </row>
    <row s="1636" customFormat="1" customHeight="1" ht="18.75">
      <c r="A26" s="2393"/>
      <c r="C26" s="957"/>
      <c r="D26" s="954" t="s">
        <v>965</v>
      </c>
      <c r="E26" s="554" t="s">
        <v>966</v>
      </c>
      <c r="F26" s="951" t="s">
        <v>967</v>
      </c>
      <c r="G26" s="681"/>
      <c r="H26" s="687"/>
      <c r="I26" s="681"/>
      <c r="J26" s="687"/>
      <c r="K26" s="949"/>
      <c r="L26" s="721"/>
      <c r="W26" s="676"/>
      <c r="X26" s="759">
        <v>0</v>
      </c>
    </row>
    <row s="1636" customFormat="1" customHeight="1" ht="18.75">
      <c r="A27" s="2393"/>
      <c r="C27" s="957"/>
      <c r="D27" s="954" t="s">
        <v>968</v>
      </c>
      <c r="E27" s="554" t="s">
        <v>969</v>
      </c>
      <c r="F27" s="951" t="s">
        <v>970</v>
      </c>
      <c r="G27" s="681"/>
      <c r="H27" s="687"/>
      <c r="I27" s="681"/>
      <c r="J27" s="687"/>
      <c r="K27" s="949"/>
      <c r="L27" s="721"/>
      <c r="W27" s="676"/>
      <c r="X27" s="759">
        <v>0</v>
      </c>
    </row>
    <row s="1636" customFormat="1" customHeight="1" ht="18.75">
      <c r="A28" s="2393"/>
      <c r="C28" s="957"/>
      <c r="D28" s="954" t="s">
        <v>971</v>
      </c>
      <c r="E28" s="577" t="s">
        <v>972</v>
      </c>
      <c r="F28" s="951" t="s">
        <v>436</v>
      </c>
      <c r="G28" s="951" t="s">
        <v>436</v>
      </c>
      <c r="H28" s="950" t="s">
        <v>436</v>
      </c>
      <c r="I28" s="951" t="s">
        <v>436</v>
      </c>
      <c r="J28" s="950" t="s">
        <v>436</v>
      </c>
      <c r="K28" s="949"/>
      <c r="L28" s="721"/>
      <c r="W28" s="676"/>
      <c r="X28" s="759">
        <v>0</v>
      </c>
    </row>
    <row s="1636" customFormat="1" customHeight="1" ht="18.75">
      <c r="A29" s="2393"/>
      <c r="C29" s="957"/>
      <c r="D29" s="954" t="s">
        <v>973</v>
      </c>
      <c r="E29" s="554" t="s">
        <v>966</v>
      </c>
      <c r="F29" s="951" t="s">
        <v>974</v>
      </c>
      <c r="G29" s="681"/>
      <c r="H29" s="687"/>
      <c r="I29" s="681"/>
      <c r="J29" s="687"/>
      <c r="K29" s="949"/>
      <c r="L29" s="721"/>
      <c r="W29" s="676"/>
      <c r="X29" s="759">
        <v>0</v>
      </c>
    </row>
    <row s="1636" customFormat="1" customHeight="1" ht="18.75">
      <c r="A30" s="2393"/>
      <c r="C30" s="957"/>
      <c r="D30" s="954" t="s">
        <v>975</v>
      </c>
      <c r="E30" s="554" t="s">
        <v>976</v>
      </c>
      <c r="F30" s="951" t="s">
        <v>977</v>
      </c>
      <c r="G30" s="681"/>
      <c r="H30" s="687"/>
      <c r="I30" s="681"/>
      <c r="J30" s="687"/>
      <c r="K30" s="949"/>
      <c r="L30" s="721"/>
      <c r="W30" s="676"/>
      <c r="X30" s="759">
        <v>0</v>
      </c>
    </row>
    <row customHeight="1" ht="126.75">
      <c r="A31" s="2393"/>
      <c r="D31" s="954" t="s">
        <v>124</v>
      </c>
      <c r="E31" s="280" t="s">
        <v>978</v>
      </c>
      <c r="F31" s="661" t="s">
        <v>689</v>
      </c>
      <c r="G31" s="558"/>
      <c r="H31" s="663"/>
      <c r="I31" s="558"/>
      <c r="J31" s="663"/>
      <c r="K31" s="290" t="s">
        <v>979</v>
      </c>
      <c r="L31" s="721"/>
      <c r="X31" s="506">
        <v>0</v>
      </c>
    </row>
    <row customHeight="1" ht="56.25">
      <c r="A32" s="2393"/>
      <c r="D32" s="954" t="s">
        <v>96</v>
      </c>
      <c r="E32" s="280" t="s">
        <v>980</v>
      </c>
      <c r="F32" s="540" t="s">
        <v>950</v>
      </c>
      <c r="G32" s="558"/>
      <c r="H32" s="663"/>
      <c r="I32" s="558"/>
      <c r="J32" s="663"/>
      <c r="K32" s="290" t="s">
        <v>981</v>
      </c>
      <c r="L32" s="721"/>
      <c r="X32" s="506">
        <v>0</v>
      </c>
    </row>
    <row customHeight="1" ht="11.25">
      <c r="A33" s="2393"/>
      <c r="E33" s="665"/>
      <c r="F33" s="182"/>
      <c r="G33" s="182"/>
      <c r="H33" s="182"/>
      <c r="I33" s="182"/>
      <c r="J33" s="182"/>
      <c r="K33" s="182"/>
      <c r="X33" s="506">
        <v>0</v>
      </c>
    </row>
    <row customHeight="1" ht="12.75">
      <c r="A34" s="2393"/>
      <c r="D34" s="66">
        <v>1</v>
      </c>
      <c r="E34" s="336" t="s">
        <v>982</v>
      </c>
      <c r="X34" s="506">
        <v>0</v>
      </c>
    </row>
    <row customHeight="1" ht="11.25">
      <c r="A35" s="2393"/>
      <c r="D35" s="370"/>
      <c r="E35" s="336" t="s">
        <v>983</v>
      </c>
      <c r="X35" s="506">
        <v>0</v>
      </c>
    </row>
    <row s="1636" customFormat="1" customHeight="1" ht="11.549999999999999">
      <c r="A36" s="1034"/>
      <c r="B36" s="519"/>
      <c r="D36" s="1035"/>
      <c r="E36" s="1036"/>
      <c r="X36" s="510">
        <v>11</v>
      </c>
    </row>
    <row s="1636" customFormat="1" customHeight="1" ht="22.5" hidden="1">
      <c r="A37" s="2393" t="s">
        <v>984</v>
      </c>
      <c r="B37" s="512"/>
      <c r="D37" s="954">
        <v>1</v>
      </c>
      <c r="E37" s="708" t="s">
        <v>985</v>
      </c>
      <c r="F37" s="661" t="s">
        <v>940</v>
      </c>
      <c r="G37" s="558"/>
      <c r="H37" s="520"/>
      <c r="I37" s="558"/>
      <c r="J37" s="520"/>
      <c r="K37" s="290" t="s">
        <v>986</v>
      </c>
      <c r="X37" s="759">
        <v>0</v>
      </c>
    </row>
    <row s="1636" customFormat="1" customHeight="1" ht="22.5" hidden="1">
      <c r="A38" s="2393"/>
      <c r="B38" s="512"/>
      <c r="D38" s="670" t="s">
        <v>107</v>
      </c>
      <c r="E38" s="1033" t="s">
        <v>987</v>
      </c>
      <c r="F38" s="1037" t="s">
        <v>677</v>
      </c>
      <c r="G38" s="1037" t="s">
        <v>677</v>
      </c>
      <c r="H38" s="1031"/>
      <c r="I38" s="1037" t="s">
        <v>677</v>
      </c>
      <c r="J38" s="1031"/>
      <c r="K38" s="1032"/>
      <c r="X38" s="759">
        <v>0</v>
      </c>
    </row>
    <row s="1636" customFormat="1" customHeight="1" ht="33.75" hidden="1">
      <c r="A39" s="2393"/>
      <c r="B39" s="512"/>
      <c r="D39" s="666" t="s">
        <v>842</v>
      </c>
      <c r="E39" s="724" t="s">
        <v>988</v>
      </c>
      <c r="F39" s="661" t="s">
        <v>989</v>
      </c>
      <c r="G39" s="669"/>
      <c r="H39" s="1024"/>
      <c r="I39" s="669"/>
      <c r="J39" s="1024"/>
      <c r="K39" s="290" t="s">
        <v>990</v>
      </c>
      <c r="X39" s="759">
        <v>0</v>
      </c>
    </row>
    <row s="1636" customFormat="1" customHeight="1" ht="33.75" hidden="1">
      <c r="A40" s="2393"/>
      <c r="B40" s="512"/>
      <c r="D40" s="666" t="s">
        <v>845</v>
      </c>
      <c r="E40" s="724" t="s">
        <v>991</v>
      </c>
      <c r="F40" s="1028" t="s">
        <v>992</v>
      </c>
      <c r="G40" s="742"/>
      <c r="H40" s="1024"/>
      <c r="I40" s="742"/>
      <c r="J40" s="1024"/>
      <c r="K40" s="290" t="s">
        <v>993</v>
      </c>
      <c r="X40" s="759">
        <v>0</v>
      </c>
    </row>
    <row s="1636" customFormat="1" customHeight="1" ht="22.5" hidden="1">
      <c r="A41" s="2393"/>
      <c r="B41" s="512"/>
      <c r="D41" s="666" t="s">
        <v>94</v>
      </c>
      <c r="E41" s="723" t="s">
        <v>994</v>
      </c>
      <c r="F41" s="661" t="s">
        <v>677</v>
      </c>
      <c r="G41" s="661" t="s">
        <v>677</v>
      </c>
      <c r="H41" s="1025"/>
      <c r="I41" s="661" t="s">
        <v>677</v>
      </c>
      <c r="J41" s="1025"/>
      <c r="K41" s="303"/>
      <c r="X41" s="759">
        <v>0</v>
      </c>
    </row>
    <row s="1636" customFormat="1" customHeight="1" ht="45" hidden="1">
      <c r="A42" s="2393"/>
      <c r="B42" s="512"/>
      <c r="D42" s="666" t="s">
        <v>454</v>
      </c>
      <c r="E42" s="724" t="s">
        <v>995</v>
      </c>
      <c r="F42" s="661" t="s">
        <v>689</v>
      </c>
      <c r="G42" s="558"/>
      <c r="H42" s="1025"/>
      <c r="I42" s="558"/>
      <c r="J42" s="1025"/>
      <c r="K42" s="303" t="s">
        <v>996</v>
      </c>
      <c r="X42" s="759">
        <v>0</v>
      </c>
    </row>
    <row s="1636" customFormat="1" customHeight="1" ht="45" hidden="1">
      <c r="A43" s="2393"/>
      <c r="B43" s="512"/>
      <c r="D43" s="666" t="s">
        <v>462</v>
      </c>
      <c r="E43" s="668" t="s">
        <v>997</v>
      </c>
      <c r="F43" s="1029" t="s">
        <v>689</v>
      </c>
      <c r="G43" s="743"/>
      <c r="H43" s="1024"/>
      <c r="I43" s="743"/>
      <c r="J43" s="1024"/>
      <c r="K43" s="303" t="s">
        <v>998</v>
      </c>
      <c r="X43" s="759">
        <v>0</v>
      </c>
    </row>
    <row s="1636" customFormat="1" customHeight="1" ht="11.25" hidden="1">
      <c r="A44" s="2393"/>
      <c r="B44" s="512"/>
      <c r="D44" s="666" t="s">
        <v>95</v>
      </c>
      <c r="E44" s="667" t="s">
        <v>999</v>
      </c>
      <c r="F44" s="661" t="s">
        <v>989</v>
      </c>
      <c r="G44" s="669"/>
      <c r="H44" s="1024"/>
      <c r="I44" s="669"/>
      <c r="J44" s="1024"/>
      <c r="K44" s="290"/>
      <c r="X44" s="759">
        <v>0</v>
      </c>
    </row>
    <row s="1636" customFormat="1" customHeight="1" ht="11.25" hidden="1">
      <c r="A45" s="2393"/>
      <c r="B45" s="512"/>
      <c r="D45" s="666" t="s">
        <v>884</v>
      </c>
      <c r="E45" s="668" t="s">
        <v>1000</v>
      </c>
      <c r="F45" s="661" t="s">
        <v>989</v>
      </c>
      <c r="G45" s="669"/>
      <c r="H45" s="1024"/>
      <c r="I45" s="669"/>
      <c r="J45" s="1024"/>
      <c r="K45" s="290"/>
      <c r="X45" s="759">
        <v>0</v>
      </c>
    </row>
    <row s="1636" customFormat="1" customHeight="1" ht="11.25" hidden="1">
      <c r="A46" s="2393"/>
      <c r="B46" s="512"/>
      <c r="D46" s="666" t="s">
        <v>926</v>
      </c>
      <c r="E46" s="668" t="s">
        <v>1001</v>
      </c>
      <c r="F46" s="661" t="s">
        <v>989</v>
      </c>
      <c r="G46" s="669"/>
      <c r="H46" s="1024"/>
      <c r="I46" s="669"/>
      <c r="J46" s="1024"/>
      <c r="K46" s="290"/>
      <c r="X46" s="759">
        <v>0</v>
      </c>
    </row>
    <row s="1636" customFormat="1" customHeight="1" ht="11.25" hidden="1">
      <c r="A47" s="2393"/>
      <c r="B47" s="512"/>
      <c r="D47" s="666" t="s">
        <v>929</v>
      </c>
      <c r="E47" s="668" t="s">
        <v>1002</v>
      </c>
      <c r="F47" s="661" t="s">
        <v>989</v>
      </c>
      <c r="G47" s="669"/>
      <c r="H47" s="1024"/>
      <c r="I47" s="669"/>
      <c r="J47" s="1024"/>
      <c r="K47" s="290"/>
      <c r="X47" s="759">
        <v>0</v>
      </c>
    </row>
    <row s="1636" customFormat="1" customHeight="1" ht="11.25" hidden="1">
      <c r="A48" s="2393"/>
      <c r="B48" s="512"/>
      <c r="D48" s="666" t="s">
        <v>1003</v>
      </c>
      <c r="E48" s="672" t="s">
        <v>1004</v>
      </c>
      <c r="F48" s="661" t="s">
        <v>989</v>
      </c>
      <c r="G48" s="669"/>
      <c r="H48" s="1024"/>
      <c r="I48" s="669"/>
      <c r="J48" s="1024"/>
      <c r="K48" s="290"/>
      <c r="X48" s="759">
        <v>0</v>
      </c>
    </row>
    <row s="1636" customFormat="1" customHeight="1" ht="11.25" hidden="1">
      <c r="A49" s="2393"/>
      <c r="B49" s="512"/>
      <c r="D49" s="666" t="s">
        <v>1005</v>
      </c>
      <c r="E49" s="672" t="s">
        <v>1006</v>
      </c>
      <c r="F49" s="661" t="s">
        <v>989</v>
      </c>
      <c r="G49" s="669"/>
      <c r="H49" s="1024"/>
      <c r="I49" s="669"/>
      <c r="J49" s="1024"/>
      <c r="K49" s="290"/>
      <c r="X49" s="759">
        <v>0</v>
      </c>
    </row>
    <row s="1636" customFormat="1" customHeight="1" ht="11.25" hidden="1">
      <c r="A50" s="2393"/>
      <c r="B50" s="512"/>
      <c r="D50" s="666" t="s">
        <v>1007</v>
      </c>
      <c r="E50" s="668" t="s">
        <v>1008</v>
      </c>
      <c r="F50" s="661" t="s">
        <v>989</v>
      </c>
      <c r="G50" s="669"/>
      <c r="H50" s="1024"/>
      <c r="I50" s="669"/>
      <c r="J50" s="1024"/>
      <c r="K50" s="290"/>
      <c r="X50" s="759">
        <v>0</v>
      </c>
    </row>
    <row s="1636" customFormat="1" customHeight="1" ht="11.25" hidden="1">
      <c r="A51" s="2393"/>
      <c r="B51" s="512"/>
      <c r="D51" s="666" t="s">
        <v>1009</v>
      </c>
      <c r="E51" s="668" t="s">
        <v>1010</v>
      </c>
      <c r="F51" s="661" t="s">
        <v>989</v>
      </c>
      <c r="G51" s="669"/>
      <c r="H51" s="1024"/>
      <c r="I51" s="669"/>
      <c r="J51" s="1024"/>
      <c r="K51" s="290"/>
      <c r="X51" s="759">
        <v>0</v>
      </c>
    </row>
    <row s="1636" customFormat="1" customHeight="1" ht="45" hidden="1">
      <c r="A52" s="2393"/>
      <c r="B52" s="512"/>
      <c r="D52" s="666" t="s">
        <v>124</v>
      </c>
      <c r="E52" s="667" t="s">
        <v>1011</v>
      </c>
      <c r="F52" s="661" t="s">
        <v>989</v>
      </c>
      <c r="G52" s="669"/>
      <c r="H52" s="1024"/>
      <c r="I52" s="669"/>
      <c r="J52" s="1024"/>
      <c r="K52" s="290"/>
      <c r="X52" s="759">
        <v>0</v>
      </c>
    </row>
    <row s="1636" customFormat="1" customHeight="1" ht="11.25" hidden="1">
      <c r="A53" s="2393"/>
      <c r="B53" s="512"/>
      <c r="D53" s="666" t="s">
        <v>443</v>
      </c>
      <c r="E53" s="668" t="s">
        <v>1000</v>
      </c>
      <c r="F53" s="661" t="s">
        <v>989</v>
      </c>
      <c r="G53" s="669"/>
      <c r="H53" s="1024"/>
      <c r="I53" s="669"/>
      <c r="J53" s="1024"/>
      <c r="K53" s="290"/>
      <c r="X53" s="759">
        <v>0</v>
      </c>
    </row>
    <row s="1636" customFormat="1" customHeight="1" ht="11.25" hidden="1">
      <c r="A54" s="2393"/>
      <c r="B54" s="512"/>
      <c r="D54" s="666" t="s">
        <v>1012</v>
      </c>
      <c r="E54" s="668" t="s">
        <v>1001</v>
      </c>
      <c r="F54" s="661" t="s">
        <v>989</v>
      </c>
      <c r="G54" s="669"/>
      <c r="H54" s="1024"/>
      <c r="I54" s="669"/>
      <c r="J54" s="1024"/>
      <c r="K54" s="290"/>
      <c r="X54" s="759">
        <v>0</v>
      </c>
    </row>
    <row s="1636" customFormat="1" customHeight="1" ht="11.25" hidden="1">
      <c r="A55" s="2393"/>
      <c r="B55" s="512"/>
      <c r="D55" s="666" t="s">
        <v>1013</v>
      </c>
      <c r="E55" s="668" t="s">
        <v>1002</v>
      </c>
      <c r="F55" s="661" t="s">
        <v>989</v>
      </c>
      <c r="G55" s="669"/>
      <c r="H55" s="1024"/>
      <c r="I55" s="669"/>
      <c r="J55" s="1024"/>
      <c r="K55" s="290"/>
      <c r="X55" s="759">
        <v>0</v>
      </c>
    </row>
    <row s="1636" customFormat="1" customHeight="1" ht="11.25" hidden="1">
      <c r="A56" s="2393"/>
      <c r="B56" s="512"/>
      <c r="D56" s="666" t="s">
        <v>1014</v>
      </c>
      <c r="E56" s="672" t="s">
        <v>1004</v>
      </c>
      <c r="F56" s="661" t="s">
        <v>989</v>
      </c>
      <c r="G56" s="669"/>
      <c r="H56" s="1024"/>
      <c r="I56" s="669"/>
      <c r="J56" s="1024"/>
      <c r="K56" s="290"/>
      <c r="X56" s="759">
        <v>0</v>
      </c>
    </row>
    <row s="1636" customFormat="1" customHeight="1" ht="11.25" hidden="1">
      <c r="A57" s="2393"/>
      <c r="B57" s="512"/>
      <c r="D57" s="666" t="s">
        <v>1015</v>
      </c>
      <c r="E57" s="672" t="s">
        <v>1006</v>
      </c>
      <c r="F57" s="661" t="s">
        <v>989</v>
      </c>
      <c r="G57" s="669"/>
      <c r="H57" s="1024"/>
      <c r="I57" s="669"/>
      <c r="J57" s="1024"/>
      <c r="K57" s="290"/>
      <c r="X57" s="759">
        <v>0</v>
      </c>
    </row>
    <row s="1636" customFormat="1" customHeight="1" ht="11.25" hidden="1">
      <c r="A58" s="2393"/>
      <c r="B58" s="512"/>
      <c r="D58" s="666" t="s">
        <v>1016</v>
      </c>
      <c r="E58" s="668" t="s">
        <v>1008</v>
      </c>
      <c r="F58" s="661" t="s">
        <v>989</v>
      </c>
      <c r="G58" s="669"/>
      <c r="H58" s="1024"/>
      <c r="I58" s="669"/>
      <c r="J58" s="1024"/>
      <c r="K58" s="290"/>
      <c r="X58" s="759">
        <v>0</v>
      </c>
    </row>
    <row s="1636" customFormat="1" customHeight="1" ht="11.25" hidden="1">
      <c r="A59" s="2393"/>
      <c r="B59" s="512"/>
      <c r="D59" s="666" t="s">
        <v>1017</v>
      </c>
      <c r="E59" s="668" t="s">
        <v>1010</v>
      </c>
      <c r="F59" s="661" t="s">
        <v>989</v>
      </c>
      <c r="G59" s="669"/>
      <c r="H59" s="1024"/>
      <c r="I59" s="669"/>
      <c r="J59" s="1024"/>
      <c r="K59" s="290"/>
      <c r="X59" s="759">
        <v>0</v>
      </c>
    </row>
    <row s="1636" customFormat="1" customHeight="1" ht="33.75" hidden="1">
      <c r="A60" s="2393"/>
      <c r="B60" s="512"/>
      <c r="D60" s="666" t="s">
        <v>96</v>
      </c>
      <c r="E60" s="667" t="s">
        <v>1018</v>
      </c>
      <c r="F60" s="722" t="s">
        <v>689</v>
      </c>
      <c r="G60" s="743"/>
      <c r="H60" s="1024"/>
      <c r="I60" s="743"/>
      <c r="J60" s="1024"/>
      <c r="K60" s="303" t="s">
        <v>1019</v>
      </c>
      <c r="X60" s="759">
        <v>0</v>
      </c>
    </row>
    <row s="1636" customFormat="1" customHeight="1" ht="33.75" hidden="1">
      <c r="A61" s="2393"/>
      <c r="B61" s="512"/>
      <c r="D61" s="666" t="s">
        <v>97</v>
      </c>
      <c r="E61" s="667" t="s">
        <v>1020</v>
      </c>
      <c r="F61" s="727" t="s">
        <v>950</v>
      </c>
      <c r="G61" s="669"/>
      <c r="H61" s="1024"/>
      <c r="I61" s="669"/>
      <c r="J61" s="1024"/>
      <c r="K61" s="290"/>
      <c r="X61" s="759">
        <v>0</v>
      </c>
    </row>
    <row s="1636" customFormat="1" customHeight="1" ht="22.5" hidden="1">
      <c r="A62" s="2393"/>
      <c r="B62" s="512" t="s">
        <v>719</v>
      </c>
      <c r="D62" s="666" t="s">
        <v>125</v>
      </c>
      <c r="E62" s="667" t="s">
        <v>1021</v>
      </c>
      <c r="F62" s="727" t="s">
        <v>436</v>
      </c>
      <c r="G62" s="383"/>
      <c r="H62" s="1024"/>
      <c r="I62" s="383"/>
      <c r="J62" s="1024"/>
      <c r="K62" s="290" t="s">
        <v>762</v>
      </c>
      <c r="X62" s="759">
        <v>0</v>
      </c>
    </row>
    <row s="1636" customFormat="1" customHeight="1" ht="45" hidden="1">
      <c r="A63" s="2393"/>
      <c r="B63" s="512" t="s">
        <v>719</v>
      </c>
      <c r="D63" s="666" t="s">
        <v>1022</v>
      </c>
      <c r="E63" s="668" t="s">
        <v>1023</v>
      </c>
      <c r="F63" s="722" t="s">
        <v>436</v>
      </c>
      <c r="G63" s="383"/>
      <c r="H63" s="1024"/>
      <c r="I63" s="383"/>
      <c r="J63" s="1024"/>
      <c r="K63" s="290" t="s">
        <v>762</v>
      </c>
      <c r="X63" s="759">
        <v>0</v>
      </c>
    </row>
    <row s="1636" customFormat="1" customHeight="1" ht="11.549999999999999">
      <c r="A64" s="1034"/>
      <c r="B64" s="519"/>
      <c r="D64" s="1035"/>
      <c r="E64" s="1036"/>
      <c r="X64" s="510">
        <v>11</v>
      </c>
    </row>
    <row s="1636" customFormat="1" customHeight="1" ht="22.5" hidden="1">
      <c r="A65" s="2393" t="s">
        <v>1024</v>
      </c>
      <c r="B65" s="512"/>
      <c r="D65" s="666">
        <v>1</v>
      </c>
      <c r="E65" s="745" t="s">
        <v>1025</v>
      </c>
      <c r="F65" s="741" t="s">
        <v>940</v>
      </c>
      <c r="G65" s="742"/>
      <c r="H65" s="1030"/>
      <c r="I65" s="742"/>
      <c r="J65" s="1030"/>
      <c r="K65" s="302" t="s">
        <v>1026</v>
      </c>
      <c r="X65" s="759">
        <v>0</v>
      </c>
    </row>
    <row s="1636" customFormat="1" customHeight="1" ht="56.25" hidden="1">
      <c r="A66" s="2393"/>
      <c r="B66" s="512"/>
      <c r="D66" s="744" t="s">
        <v>107</v>
      </c>
      <c r="E66" s="708" t="s">
        <v>1027</v>
      </c>
      <c r="F66" s="661" t="s">
        <v>677</v>
      </c>
      <c r="G66" s="661" t="s">
        <v>677</v>
      </c>
      <c r="H66" s="520"/>
      <c r="I66" s="661" t="s">
        <v>677</v>
      </c>
      <c r="J66" s="520"/>
      <c r="K66" s="290"/>
      <c r="X66" s="759">
        <v>0</v>
      </c>
    </row>
    <row s="1636" customFormat="1" customHeight="1" ht="33.75" hidden="1">
      <c r="A67" s="2393"/>
      <c r="B67" s="512"/>
      <c r="D67" s="744" t="s">
        <v>839</v>
      </c>
      <c r="E67" s="955" t="s">
        <v>1028</v>
      </c>
      <c r="F67" s="661" t="s">
        <v>992</v>
      </c>
      <c r="G67" s="728"/>
      <c r="H67" s="520"/>
      <c r="I67" s="728"/>
      <c r="J67" s="520"/>
      <c r="K67" s="290"/>
      <c r="X67" s="759">
        <v>0</v>
      </c>
    </row>
    <row s="1636" customFormat="1" customHeight="1" ht="22.5" hidden="1">
      <c r="A68" s="2393"/>
      <c r="B68" s="512"/>
      <c r="D68" s="744" t="s">
        <v>437</v>
      </c>
      <c r="E68" s="955" t="s">
        <v>1029</v>
      </c>
      <c r="F68" s="661" t="s">
        <v>992</v>
      </c>
      <c r="G68" s="728"/>
      <c r="H68" s="520"/>
      <c r="I68" s="728"/>
      <c r="J68" s="520"/>
      <c r="K68" s="290"/>
      <c r="X68" s="759">
        <v>0</v>
      </c>
    </row>
    <row s="1636" customFormat="1" customHeight="1" ht="22.5" hidden="1">
      <c r="A69" s="2393"/>
      <c r="B69" s="512"/>
      <c r="D69" s="744" t="s">
        <v>440</v>
      </c>
      <c r="E69" s="955" t="s">
        <v>1030</v>
      </c>
      <c r="F69" s="722" t="s">
        <v>689</v>
      </c>
      <c r="G69" s="743"/>
      <c r="H69" s="520"/>
      <c r="I69" s="743"/>
      <c r="J69" s="520"/>
      <c r="K69" s="290"/>
      <c r="X69" s="759">
        <v>0</v>
      </c>
    </row>
    <row s="1636" customFormat="1" customHeight="1" ht="22.5" hidden="1">
      <c r="A70" s="2393"/>
      <c r="B70" s="512"/>
      <c r="D70" s="744" t="s">
        <v>859</v>
      </c>
      <c r="E70" s="955" t="s">
        <v>1031</v>
      </c>
      <c r="F70" s="722" t="s">
        <v>689</v>
      </c>
      <c r="G70" s="743"/>
      <c r="H70" s="520"/>
      <c r="I70" s="743"/>
      <c r="J70" s="520"/>
      <c r="K70" s="290"/>
      <c r="X70" s="759">
        <v>0</v>
      </c>
    </row>
    <row s="1636" customFormat="1" customHeight="1" ht="22.5" hidden="1">
      <c r="A71" s="2393"/>
      <c r="B71" s="512"/>
      <c r="D71" s="666" t="s">
        <v>94</v>
      </c>
      <c r="E71" s="667" t="s">
        <v>1032</v>
      </c>
      <c r="F71" s="661" t="s">
        <v>992</v>
      </c>
      <c r="G71" s="558"/>
      <c r="H71" s="1031"/>
      <c r="I71" s="558"/>
      <c r="J71" s="1031"/>
      <c r="K71" s="303"/>
      <c r="X71" s="759">
        <v>0</v>
      </c>
    </row>
    <row s="1636" customFormat="1" customHeight="1" ht="56.25" hidden="1">
      <c r="A72" s="2393"/>
      <c r="B72" s="512"/>
      <c r="D72" s="666" t="s">
        <v>95</v>
      </c>
      <c r="E72" s="667" t="s">
        <v>1033</v>
      </c>
      <c r="F72" s="722" t="s">
        <v>689</v>
      </c>
      <c r="G72" s="743"/>
      <c r="H72" s="1024"/>
      <c r="I72" s="743"/>
      <c r="J72" s="1024"/>
      <c r="K72" s="303"/>
      <c r="X72" s="759">
        <v>0</v>
      </c>
    </row>
    <row s="1636" customFormat="1" customHeight="1" ht="33.75" hidden="1">
      <c r="A73" s="2393"/>
      <c r="B73" s="512"/>
      <c r="D73" s="666" t="s">
        <v>124</v>
      </c>
      <c r="E73" s="667" t="s">
        <v>1034</v>
      </c>
      <c r="F73" s="727" t="s">
        <v>950</v>
      </c>
      <c r="G73" s="669"/>
      <c r="H73" s="1024"/>
      <c r="I73" s="669"/>
      <c r="J73" s="1024"/>
      <c r="K73" s="290"/>
      <c r="X73" s="759">
        <v>0</v>
      </c>
    </row>
    <row s="1636" customFormat="1" customHeight="1" ht="22.5" hidden="1">
      <c r="A74" s="2393"/>
      <c r="B74" s="512" t="s">
        <v>719</v>
      </c>
      <c r="D74" s="666" t="s">
        <v>96</v>
      </c>
      <c r="E74" s="667" t="s">
        <v>1035</v>
      </c>
      <c r="F74" s="727" t="s">
        <v>436</v>
      </c>
      <c r="G74" s="383"/>
      <c r="H74" s="1024"/>
      <c r="I74" s="383"/>
      <c r="J74" s="1024"/>
      <c r="K74" s="290" t="s">
        <v>762</v>
      </c>
      <c r="X74" s="759">
        <v>0</v>
      </c>
    </row>
    <row s="1636" customFormat="1" customHeight="1" ht="45" hidden="1">
      <c r="A75" s="2393"/>
      <c r="B75" s="512" t="s">
        <v>719</v>
      </c>
      <c r="D75" s="666" t="s">
        <v>783</v>
      </c>
      <c r="E75" s="668" t="s">
        <v>1036</v>
      </c>
      <c r="F75" s="722" t="s">
        <v>436</v>
      </c>
      <c r="G75" s="383"/>
      <c r="H75" s="1024"/>
      <c r="I75" s="383"/>
      <c r="J75" s="1024"/>
      <c r="K75" s="290" t="s">
        <v>762</v>
      </c>
      <c r="X75" s="759">
        <v>0</v>
      </c>
    </row>
    <row s="1636" customFormat="1" customHeight="1" ht="11.549999999999999">
      <c r="A76" s="1034"/>
      <c r="B76" s="519"/>
      <c r="D76" s="1035"/>
      <c r="E76" s="1036"/>
      <c r="X76" s="510">
        <v>11</v>
      </c>
    </row>
    <row s="1636" customFormat="1" customHeight="1" ht="11.25" hidden="1">
      <c r="A77" s="2393" t="s">
        <v>1037</v>
      </c>
      <c r="B77" s="512"/>
      <c r="D77" s="666">
        <v>1</v>
      </c>
      <c r="E77" s="667" t="s">
        <v>1038</v>
      </c>
      <c r="F77" s="722" t="s">
        <v>940</v>
      </c>
      <c r="G77" s="725"/>
      <c r="H77" s="1024"/>
      <c r="I77" s="725"/>
      <c r="J77" s="1024"/>
      <c r="K77" s="290" t="s">
        <v>1039</v>
      </c>
      <c r="X77" s="759">
        <v>0</v>
      </c>
    </row>
    <row s="1636" customFormat="1" customHeight="1" ht="11.25" hidden="1">
      <c r="A78" s="2393"/>
      <c r="B78" s="512"/>
      <c r="D78" s="666" t="s">
        <v>107</v>
      </c>
      <c r="E78" s="667" t="s">
        <v>1040</v>
      </c>
      <c r="F78" s="722" t="s">
        <v>940</v>
      </c>
      <c r="G78" s="725"/>
      <c r="H78" s="1024"/>
      <c r="I78" s="725"/>
      <c r="J78" s="1024"/>
      <c r="K78" s="290" t="s">
        <v>1041</v>
      </c>
      <c r="X78" s="759">
        <v>0</v>
      </c>
    </row>
    <row s="1636" customFormat="1" customHeight="1" ht="22.5" hidden="1">
      <c r="A79" s="2393"/>
      <c r="B79" s="512"/>
      <c r="D79" s="666" t="s">
        <v>94</v>
      </c>
      <c r="E79" s="723" t="s">
        <v>1042</v>
      </c>
      <c r="F79" s="661" t="s">
        <v>989</v>
      </c>
      <c r="G79" s="725"/>
      <c r="H79" s="1024"/>
      <c r="I79" s="725"/>
      <c r="J79" s="1024"/>
      <c r="K79" s="290" t="s">
        <v>1043</v>
      </c>
      <c r="X79" s="759">
        <v>0</v>
      </c>
    </row>
    <row s="1636" customFormat="1" customHeight="1" ht="11.25" hidden="1">
      <c r="A80" s="2393"/>
      <c r="B80" s="512"/>
      <c r="D80" s="666" t="s">
        <v>454</v>
      </c>
      <c r="E80" s="724" t="s">
        <v>1044</v>
      </c>
      <c r="F80" s="661" t="s">
        <v>989</v>
      </c>
      <c r="G80" s="725"/>
      <c r="H80" s="1024"/>
      <c r="I80" s="725"/>
      <c r="J80" s="1024"/>
      <c r="K80" s="290"/>
      <c r="X80" s="759">
        <v>0</v>
      </c>
    </row>
    <row s="1636" customFormat="1" customHeight="1" ht="11.25" hidden="1">
      <c r="A81" s="2393"/>
      <c r="B81" s="512"/>
      <c r="D81" s="666" t="s">
        <v>462</v>
      </c>
      <c r="E81" s="724" t="s">
        <v>1045</v>
      </c>
      <c r="F81" s="661" t="s">
        <v>989</v>
      </c>
      <c r="G81" s="725"/>
      <c r="H81" s="1024"/>
      <c r="I81" s="725"/>
      <c r="J81" s="1024"/>
      <c r="K81" s="290"/>
      <c r="X81" s="759">
        <v>0</v>
      </c>
    </row>
    <row s="1636" customFormat="1" customHeight="1" ht="11.25" hidden="1">
      <c r="A82" s="2393"/>
      <c r="B82" s="512"/>
      <c r="D82" s="666" t="s">
        <v>464</v>
      </c>
      <c r="E82" s="724" t="s">
        <v>1046</v>
      </c>
      <c r="F82" s="661" t="s">
        <v>989</v>
      </c>
      <c r="G82" s="725"/>
      <c r="H82" s="1024"/>
      <c r="I82" s="725"/>
      <c r="J82" s="1024"/>
      <c r="K82" s="290"/>
      <c r="X82" s="759">
        <v>0</v>
      </c>
    </row>
    <row s="1636" customFormat="1" customHeight="1" ht="11.25" hidden="1">
      <c r="A83" s="2393"/>
      <c r="B83" s="512"/>
      <c r="D83" s="666" t="s">
        <v>466</v>
      </c>
      <c r="E83" s="724" t="s">
        <v>1047</v>
      </c>
      <c r="F83" s="661" t="s">
        <v>989</v>
      </c>
      <c r="G83" s="725"/>
      <c r="H83" s="1024"/>
      <c r="I83" s="725"/>
      <c r="J83" s="1024"/>
      <c r="K83" s="290"/>
      <c r="X83" s="759">
        <v>0</v>
      </c>
    </row>
    <row s="1636" customFormat="1" customHeight="1" ht="11.25" hidden="1">
      <c r="A84" s="2393"/>
      <c r="B84" s="512"/>
      <c r="D84" s="666" t="s">
        <v>1048</v>
      </c>
      <c r="E84" s="724" t="s">
        <v>1049</v>
      </c>
      <c r="F84" s="661" t="s">
        <v>989</v>
      </c>
      <c r="G84" s="725"/>
      <c r="H84" s="1024"/>
      <c r="I84" s="725"/>
      <c r="J84" s="1024"/>
      <c r="K84" s="290"/>
      <c r="X84" s="759">
        <v>0</v>
      </c>
    </row>
    <row s="1636" customFormat="1" customHeight="1" ht="11.25" hidden="1">
      <c r="A85" s="2393"/>
      <c r="B85" s="512"/>
      <c r="D85" s="666" t="s">
        <v>1050</v>
      </c>
      <c r="E85" s="724" t="s">
        <v>1051</v>
      </c>
      <c r="F85" s="661" t="s">
        <v>989</v>
      </c>
      <c r="G85" s="725"/>
      <c r="H85" s="1024"/>
      <c r="I85" s="725"/>
      <c r="J85" s="1024"/>
      <c r="K85" s="290"/>
      <c r="X85" s="759">
        <v>0</v>
      </c>
    </row>
    <row s="1636" customFormat="1" customHeight="1" ht="11.25" hidden="1">
      <c r="A86" s="2393"/>
      <c r="B86" s="512"/>
      <c r="D86" s="666" t="s">
        <v>1052</v>
      </c>
      <c r="E86" s="724" t="s">
        <v>1053</v>
      </c>
      <c r="F86" s="661" t="s">
        <v>989</v>
      </c>
      <c r="G86" s="725"/>
      <c r="H86" s="1024"/>
      <c r="I86" s="725"/>
      <c r="J86" s="1024"/>
      <c r="K86" s="290"/>
      <c r="X86" s="759">
        <v>0</v>
      </c>
    </row>
    <row s="1636" customFormat="1" customHeight="1" ht="45" hidden="1">
      <c r="A87" s="2393"/>
      <c r="B87" s="512"/>
      <c r="D87" s="666" t="s">
        <v>95</v>
      </c>
      <c r="E87" s="667" t="s">
        <v>1054</v>
      </c>
      <c r="F87" s="661" t="s">
        <v>989</v>
      </c>
      <c r="G87" s="725"/>
      <c r="H87" s="1024"/>
      <c r="I87" s="725"/>
      <c r="J87" s="1024"/>
      <c r="K87" s="290" t="s">
        <v>1055</v>
      </c>
      <c r="X87" s="759">
        <v>0</v>
      </c>
    </row>
    <row s="1636" customFormat="1" customHeight="1" ht="11.25" hidden="1">
      <c r="A88" s="2393"/>
      <c r="B88" s="512"/>
      <c r="D88" s="666" t="s">
        <v>884</v>
      </c>
      <c r="E88" s="724" t="s">
        <v>1044</v>
      </c>
      <c r="F88" s="661" t="s">
        <v>989</v>
      </c>
      <c r="G88" s="725"/>
      <c r="H88" s="1024"/>
      <c r="I88" s="725"/>
      <c r="J88" s="1024"/>
      <c r="K88" s="290"/>
      <c r="X88" s="759">
        <v>0</v>
      </c>
    </row>
    <row s="1636" customFormat="1" customHeight="1" ht="11.25" hidden="1">
      <c r="A89" s="2393"/>
      <c r="B89" s="512"/>
      <c r="D89" s="666" t="s">
        <v>926</v>
      </c>
      <c r="E89" s="724" t="s">
        <v>1045</v>
      </c>
      <c r="F89" s="661" t="s">
        <v>989</v>
      </c>
      <c r="G89" s="725"/>
      <c r="H89" s="1024"/>
      <c r="I89" s="725"/>
      <c r="J89" s="1024"/>
      <c r="K89" s="290"/>
      <c r="X89" s="759">
        <v>0</v>
      </c>
    </row>
    <row s="1636" customFormat="1" customHeight="1" ht="11.25" hidden="1">
      <c r="A90" s="2393"/>
      <c r="B90" s="512"/>
      <c r="D90" s="666" t="s">
        <v>929</v>
      </c>
      <c r="E90" s="724" t="s">
        <v>1046</v>
      </c>
      <c r="F90" s="661" t="s">
        <v>989</v>
      </c>
      <c r="G90" s="725"/>
      <c r="H90" s="1024"/>
      <c r="I90" s="725"/>
      <c r="J90" s="1024"/>
      <c r="K90" s="290"/>
      <c r="X90" s="759">
        <v>0</v>
      </c>
    </row>
    <row s="1636" customFormat="1" customHeight="1" ht="11.25" hidden="1">
      <c r="A91" s="2393"/>
      <c r="B91" s="512"/>
      <c r="D91" s="666" t="s">
        <v>1007</v>
      </c>
      <c r="E91" s="724" t="s">
        <v>1047</v>
      </c>
      <c r="F91" s="661" t="s">
        <v>989</v>
      </c>
      <c r="G91" s="725"/>
      <c r="H91" s="1024"/>
      <c r="I91" s="725"/>
      <c r="J91" s="1024"/>
      <c r="K91" s="290"/>
      <c r="X91" s="759">
        <v>0</v>
      </c>
    </row>
    <row s="1636" customFormat="1" customHeight="1" ht="11.25" hidden="1">
      <c r="A92" s="2393"/>
      <c r="B92" s="512"/>
      <c r="D92" s="666" t="s">
        <v>1009</v>
      </c>
      <c r="E92" s="724" t="s">
        <v>1049</v>
      </c>
      <c r="F92" s="661" t="s">
        <v>989</v>
      </c>
      <c r="G92" s="725"/>
      <c r="H92" s="1024"/>
      <c r="I92" s="725"/>
      <c r="J92" s="1024"/>
      <c r="K92" s="290"/>
      <c r="X92" s="759">
        <v>0</v>
      </c>
    </row>
    <row s="1636" customFormat="1" customHeight="1" ht="11.25" hidden="1">
      <c r="A93" s="2393"/>
      <c r="B93" s="512"/>
      <c r="D93" s="666" t="s">
        <v>1056</v>
      </c>
      <c r="E93" s="724" t="s">
        <v>1051</v>
      </c>
      <c r="F93" s="661" t="s">
        <v>989</v>
      </c>
      <c r="G93" s="725"/>
      <c r="H93" s="1024"/>
      <c r="I93" s="725"/>
      <c r="J93" s="1024"/>
      <c r="K93" s="290"/>
      <c r="X93" s="759">
        <v>0</v>
      </c>
    </row>
    <row s="1636" customFormat="1" customHeight="1" ht="11.25" hidden="1">
      <c r="A94" s="2393"/>
      <c r="B94" s="512"/>
      <c r="D94" s="666" t="s">
        <v>1057</v>
      </c>
      <c r="E94" s="724" t="s">
        <v>1053</v>
      </c>
      <c r="F94" s="661" t="s">
        <v>989</v>
      </c>
      <c r="G94" s="725"/>
      <c r="H94" s="1024"/>
      <c r="I94" s="725"/>
      <c r="J94" s="1024"/>
      <c r="K94" s="290"/>
      <c r="X94" s="759">
        <v>0</v>
      </c>
    </row>
    <row s="1636" customFormat="1" customHeight="1" ht="24.75" hidden="1">
      <c r="A95" s="2393"/>
      <c r="B95" s="512"/>
      <c r="D95" s="666" t="s">
        <v>124</v>
      </c>
      <c r="E95" s="667" t="s">
        <v>1058</v>
      </c>
      <c r="F95" s="726" t="s">
        <v>689</v>
      </c>
      <c r="G95" s="728"/>
      <c r="H95" s="1024"/>
      <c r="I95" s="728"/>
      <c r="J95" s="1024"/>
      <c r="K95" s="290" t="s">
        <v>1059</v>
      </c>
      <c r="X95" s="759">
        <v>0</v>
      </c>
    </row>
    <row s="1636" customFormat="1" customHeight="1" ht="33.75" hidden="1">
      <c r="A96" s="2393"/>
      <c r="B96" s="512"/>
      <c r="D96" s="666" t="s">
        <v>96</v>
      </c>
      <c r="E96" s="667" t="s">
        <v>1060</v>
      </c>
      <c r="F96" s="727" t="s">
        <v>950</v>
      </c>
      <c r="G96" s="729"/>
      <c r="H96" s="1024"/>
      <c r="I96" s="729"/>
      <c r="J96" s="1024"/>
      <c r="K96" s="290"/>
      <c r="X96" s="759">
        <v>0</v>
      </c>
    </row>
    <row s="1636" customFormat="1" customHeight="1" ht="22.5" hidden="1">
      <c r="A97" s="2393"/>
      <c r="B97" s="512" t="s">
        <v>719</v>
      </c>
      <c r="D97" s="666" t="s">
        <v>97</v>
      </c>
      <c r="E97" s="667" t="s">
        <v>1061</v>
      </c>
      <c r="F97" s="727" t="s">
        <v>436</v>
      </c>
      <c r="G97" s="386"/>
      <c r="H97" s="1024"/>
      <c r="I97" s="386"/>
      <c r="J97" s="1024"/>
      <c r="K97" s="290" t="s">
        <v>762</v>
      </c>
      <c r="X97" s="759">
        <v>0</v>
      </c>
    </row>
    <row s="1636" customFormat="1" customHeight="1" ht="45" hidden="1">
      <c r="A98" s="2393"/>
      <c r="B98" s="512" t="s">
        <v>719</v>
      </c>
      <c r="D98" s="666" t="s">
        <v>1062</v>
      </c>
      <c r="E98" s="668" t="s">
        <v>1063</v>
      </c>
      <c r="F98" s="722" t="s">
        <v>436</v>
      </c>
      <c r="G98" s="386"/>
      <c r="H98" s="1024"/>
      <c r="I98" s="386"/>
      <c r="J98" s="1024"/>
      <c r="K98" s="290" t="s">
        <v>762</v>
      </c>
      <c r="X98" s="759">
        <v>0</v>
      </c>
    </row>
    <row s="1636" customFormat="1" customHeight="1" ht="95.25" hidden="1">
      <c r="A99" s="2393"/>
      <c r="B99" s="512" t="s">
        <v>719</v>
      </c>
      <c r="D99" s="666" t="s">
        <v>125</v>
      </c>
      <c r="E99" s="667" t="s">
        <v>1064</v>
      </c>
      <c r="F99" s="722" t="s">
        <v>436</v>
      </c>
      <c r="G99" s="386"/>
      <c r="H99" s="1024"/>
      <c r="I99" s="386"/>
      <c r="J99" s="1024"/>
      <c r="K99" s="290" t="s">
        <v>762</v>
      </c>
      <c r="X99" s="759">
        <v>0</v>
      </c>
    </row>
    <row s="1636" customFormat="1" customHeight="1" ht="22.5" hidden="1">
      <c r="A100" s="2393"/>
      <c r="B100" s="512" t="s">
        <v>719</v>
      </c>
      <c r="D100" s="666" t="s">
        <v>161</v>
      </c>
      <c r="E100" s="667" t="s">
        <v>1065</v>
      </c>
      <c r="F100" s="722" t="s">
        <v>436</v>
      </c>
      <c r="G100" s="386"/>
      <c r="H100" s="1024"/>
      <c r="I100" s="386"/>
      <c r="J100" s="1024"/>
      <c r="K100" s="290" t="s">
        <v>762</v>
      </c>
      <c r="X100" s="759">
        <v>0</v>
      </c>
    </row>
    <row s="1636" customFormat="1" customHeight="1" ht="11.549999999999999">
      <c r="A101" s="1034"/>
      <c r="B101" s="519"/>
      <c r="D101" s="1035"/>
      <c r="E101" s="1036"/>
      <c r="X101" s="510">
        <v>11</v>
      </c>
    </row>
    <row customHeight="1" ht="22.5" hidden="1">
      <c r="A102" s="537" t="s">
        <v>86</v>
      </c>
      <c r="B102" s="512">
        <v>0</v>
      </c>
      <c r="C102" s="506">
        <v>3</v>
      </c>
      <c r="D102" s="506">
        <v>7</v>
      </c>
      <c r="E102" s="506">
        <v>69</v>
      </c>
      <c r="F102" s="506">
        <v>10</v>
      </c>
      <c r="G102" s="506">
        <v>0</v>
      </c>
      <c r="H102" s="506">
        <v>0</v>
      </c>
      <c r="I102" s="759">
        <v>43</v>
      </c>
      <c r="J102" s="759">
        <v>43</v>
      </c>
      <c r="K102" s="506">
        <v>73</v>
      </c>
      <c r="L102" s="506">
        <v>3</v>
      </c>
      <c r="M102" s="506">
        <v>10</v>
      </c>
      <c r="N102" s="506">
        <v>10</v>
      </c>
      <c r="O102" s="506">
        <v>10</v>
      </c>
      <c r="P102" s="506">
        <v>10</v>
      </c>
      <c r="Q102" s="506">
        <v>10</v>
      </c>
      <c r="R102" s="506">
        <v>10</v>
      </c>
      <c r="S102" s="506">
        <v>10</v>
      </c>
      <c r="T102" s="506">
        <v>10</v>
      </c>
      <c r="U102" s="506">
        <v>10</v>
      </c>
      <c r="V102" s="506">
        <v>10</v>
      </c>
      <c r="W102" s="506">
        <v>10</v>
      </c>
      <c r="X102" s="506">
        <v>23</v>
      </c>
    </row>
  </sheetData>
  <sheetProtection formatColumns="0" formatRows="0" autoFilter="0" sort="0" insertRows="0" insertColumns="1" deleteRows="0" deleteColumns="0"/>
  <mergeCells count="18">
    <mergeCell ref="D3:F3"/>
    <mergeCell ref="K7:K11"/>
    <mergeCell ref="G7:H7"/>
    <mergeCell ref="E7:F7"/>
    <mergeCell ref="E8:F8"/>
    <mergeCell ref="E9:F9"/>
    <mergeCell ref="G8:H8"/>
    <mergeCell ref="G9:H9"/>
    <mergeCell ref="D4:F4"/>
    <mergeCell ref="I7:J7"/>
    <mergeCell ref="I8:J8"/>
    <mergeCell ref="I9:J9"/>
    <mergeCell ref="D10:J10"/>
    <mergeCell ref="A37:A63"/>
    <mergeCell ref="A65:A75"/>
    <mergeCell ref="A77:A100"/>
    <mergeCell ref="A13:A35"/>
    <mergeCell ref="A11:B11"/>
  </mergeCells>
  <dataValidations count="6">
    <dataValidation type="textLength" operator="lessThanOrEqual" allowBlank="1" showInputMessage="1" showErrorMessage="1" errorTitle="Ошибка" error="Допускается ввод не более 900 символов!" sqref="H21:H22 H29:H30 H24 H26:H27 H15:H18 J26:J27 J15:J18 J21:J22 J29:J30 J24">
      <formula1>900</formula1>
    </dataValidation>
    <dataValidation type="whole" allowBlank="1" showErrorMessage="1" errorTitle="Ошибка" error="Допускается ввод только неотрицательных целых чисел!" sqref="G16:G17 I16:I17">
      <formula1>0</formula1>
      <formula2>9.99999999999999E+23</formula2>
    </dataValidation>
    <dataValidation type="decimal" allowBlank="1" showErrorMessage="1" errorTitle="Ошибка" error="Допускается ввод только неотрицательных чисел!" sqref="G32 G67:G68 G39:G40 G37 G44:G59 G61 G77:G94 G73 G71 G96 G65 G18 G13:G14 G29:G30 G26:G27 I32 I67:I68 I39:I40 I37 I44:I59 I61 I77:I94 I73 I71 I96 I65 I18 I13:I14 I29:I30 I26:I27 I21:I22 G24 G21:G22 I24">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31:H32 J31:J32 G62:G63 G74:G75 G97:G100 I62:I63 I74:I75 I97:I100 H13:H14 H19 J19 J13:J14">
      <formula1>900</formula1>
    </dataValidation>
    <dataValidation type="decimal" allowBlank="1" showErrorMessage="1" errorTitle="Ошибка" error="Введите значение от 0 до 100%" sqref="G31 G95 G60 G72 G42:G43 G69:G70 I31 I95 I60 I72 I42:I43 I69:I70">
      <formula1>0</formula1>
      <formula2>100</formula2>
    </dataValidation>
    <dataValidation type="list" allowBlank="1" showInputMessage="1" errorTitle="Ошибка" error="Укажите значение вручную или выберите из списка!" prompt="Укажите значение вручную или выберите из списка" sqref="G19 I19">
      <formula1>"Не утверждены"</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3523AF8-22B8-B228-A8D8-F81F7A1593F8}" mc:Ignorable="x14ac xr xr2 xr3">
  <sheetPr>
    <tabColor rgb="FFCCCCFF"/>
  </sheetPr>
  <dimension ref="A1:AM17"/>
  <sheetViews>
    <sheetView showGridLines="0" zoomScale="90" workbookViewId="0">
      <pane xSplit="4" ySplit="12" topLeftCell="E13" activePane="bottomRight" state="frozen"/>
      <selection pane="bottomLeft" activeCell="A13" sqref="A13"/>
      <selection pane="topRight" activeCell="E1" sqref="E1"/>
      <selection pane="bottomRight" activeCell="A1" sqref="A1"/>
    </sheetView>
  </sheetViews>
  <sheetFormatPr defaultColWidth="9.140625" customHeight="1" defaultRowHeight="11.25"/>
  <cols>
    <col min="1" max="1" style="1854" width="6.421875" hidden="1" customWidth="1"/>
    <col min="2" max="2" style="1854" width="2.00390625" hidden="1" customWidth="1"/>
    <col min="3" max="3" style="1854" width="3.00390625" customWidth="1"/>
    <col min="4" max="4" style="1854" width="4.00390625" customWidth="1"/>
    <col min="5" max="5" style="1854" width="44.00390625" customWidth="1"/>
    <col min="6" max="6" style="1854" width="6.421875" customWidth="1"/>
    <col min="7" max="7" style="1854" width="4.00390625" customWidth="1"/>
    <col min="8" max="8" style="1854" width="5.00390625" customWidth="1"/>
    <col min="9" max="9" style="1854" width="52.00390625" customWidth="1"/>
    <col min="10" max="10" style="1854" width="7.00390625" customWidth="1"/>
    <col min="11" max="11" style="1854" width="3.00390625" customWidth="1"/>
    <col min="12" max="12" style="1854" width="6.00390625" customWidth="1"/>
    <col min="13" max="13" style="1854" width="56.00390625" customWidth="1"/>
    <col min="14" max="14" style="1371" width="8.00390625" customWidth="1"/>
    <col min="15" max="20" style="1625" width="9.140625" hidden="1"/>
    <col min="21" max="24" style="1267" width="9.140625" hidden="1"/>
    <col min="25" max="37" style="1371" width="9.140625" hidden="1"/>
    <col min="38" max="38" style="1371" width="8.00390625" customWidth="1"/>
    <col min="39" max="39" style="1854" width="9.140625" hidden="1"/>
  </cols>
  <sheetData>
    <row customHeight="1" ht="11.25" hidden="1">
      <c r="AM1" s="584" t="s">
        <v>14</v>
      </c>
    </row>
    <row customHeight="1" ht="11.25" hidden="1">
      <c r="AM2" s="584">
        <v>0</v>
      </c>
    </row>
    <row customHeight="1" ht="11.549999999999999">
      <c r="AM3" s="584">
        <v>11</v>
      </c>
    </row>
    <row customHeight="1" ht="35.699999999999996">
      <c r="A4" s="586"/>
      <c r="B4" s="586"/>
      <c r="D4" s="2120" t="str">
        <f>Титульный!E5</f>
        <v>Показатели, подлежащие раскрытию в сфере теплоснабжения (цены и тарифы)</v>
      </c>
      <c r="E4" s="2121"/>
      <c r="F4" s="2121"/>
      <c r="G4" s="2121"/>
      <c r="H4" s="2121"/>
      <c r="I4" s="2122"/>
      <c r="J4" s="585"/>
      <c r="K4" s="585"/>
      <c r="L4" s="585"/>
      <c r="M4" s="585"/>
      <c r="AM4" s="584">
        <v>34</v>
      </c>
    </row>
    <row s="590" customFormat="1" customHeight="1" ht="14.699999999999998">
      <c r="A5" s="586"/>
      <c r="B5" s="586"/>
      <c r="C5" s="586"/>
      <c r="D5" s="2123" t="str">
        <f>IF(org=0,"Не определено",org)</f>
        <v>ПАО "ТГК-1" (филиал "Кольский")</v>
      </c>
      <c r="E5" s="2124"/>
      <c r="F5" s="2124"/>
      <c r="G5" s="2124"/>
      <c r="H5" s="2124"/>
      <c r="I5" s="2125"/>
      <c r="J5" s="587"/>
      <c r="K5" s="587"/>
      <c r="L5" s="587"/>
      <c r="M5" s="587"/>
      <c r="N5" s="587"/>
      <c r="O5" s="871"/>
      <c r="P5" s="871"/>
      <c r="Q5" s="871"/>
      <c r="R5" s="871"/>
      <c r="S5" s="871"/>
      <c r="T5" s="871"/>
      <c r="U5" s="1262"/>
      <c r="V5" s="1262"/>
      <c r="W5" s="1262"/>
      <c r="X5" s="1262"/>
      <c r="Y5" s="587"/>
      <c r="Z5" s="587"/>
      <c r="AA5" s="587"/>
      <c r="AB5" s="587"/>
      <c r="AC5" s="587"/>
      <c r="AD5" s="587"/>
      <c r="AE5" s="587"/>
      <c r="AF5" s="587"/>
      <c r="AG5" s="587"/>
      <c r="AH5" s="587"/>
      <c r="AI5" s="587"/>
      <c r="AJ5" s="587"/>
      <c r="AK5" s="587"/>
      <c r="AL5" s="587"/>
      <c r="AM5" s="588">
        <v>14</v>
      </c>
    </row>
    <row s="590" customFormat="1" customHeight="1" ht="6.3">
      <c r="A6" s="2126"/>
      <c r="B6" s="2126"/>
      <c r="C6" s="2126"/>
      <c r="D6" s="2126"/>
      <c r="E6" s="2126"/>
      <c r="F6" s="2126"/>
      <c r="G6" s="589"/>
      <c r="H6" s="589"/>
      <c r="I6" s="589"/>
      <c r="J6" s="589"/>
      <c r="K6" s="589"/>
      <c r="N6" s="591"/>
      <c r="O6" s="1415"/>
      <c r="P6" s="1415"/>
      <c r="Q6" s="1415"/>
      <c r="R6" s="1415"/>
      <c r="S6" s="1415"/>
      <c r="T6" s="1415"/>
      <c r="U6" s="1265"/>
      <c r="V6" s="1265"/>
      <c r="W6" s="1265"/>
      <c r="X6" s="1265"/>
      <c r="Y6" s="591"/>
      <c r="Z6" s="591"/>
      <c r="AA6" s="591"/>
      <c r="AB6" s="591"/>
      <c r="AC6" s="591"/>
      <c r="AD6" s="591"/>
      <c r="AE6" s="591"/>
      <c r="AF6" s="591"/>
      <c r="AG6" s="591"/>
      <c r="AH6" s="591"/>
      <c r="AI6" s="591"/>
      <c r="AJ6" s="591"/>
      <c r="AK6" s="591"/>
      <c r="AL6" s="591"/>
      <c r="AM6" s="590">
        <v>6</v>
      </c>
    </row>
    <row customHeight="1" ht="45.75" hidden="1">
      <c r="E7" s="2131" t="str">
        <f>"1. В случае дифференциации раскрываемой информации по системам "&amp;TEMPLATE_SPHERE_RUS&amp;" для каждой системы "&amp;TEMPLATE_SPHERE_RUS&amp;"должна быть указана территория, в которую входят только те муниципальные районы и муниципальные образования, на которой расположена данная система. На веб-портале РИ системы "&amp;TEMPLATE_SPHERE_RUS&amp;"будут отображены во всех МР/МО, входящих в указанную для них территорию.
2. Для каждого вида деятельности также необходимо указывать только те территории, на которых осуществляется данный вид деятельности."</f>
        <v>1. В случае дифференциации раскрываемой информации по системам теплоснабжения для каждой системы теплоснабжениядолжна быть указана территория, в которую входят только те муниципальные районы и муниципальные образования, на которой расположена данная система. На веб-портале РИ системы теплоснабжениябудут отображены во всех МР/МО, входящих в указанную для них территорию.
2. Для каждого вида деятельности также необходимо указывать только те территории, на которых осуществляется данный вид деятельности.</v>
      </c>
      <c r="F7" s="2132"/>
      <c r="G7" s="2132"/>
      <c r="H7" s="2132"/>
      <c r="I7" s="2132"/>
      <c r="J7" s="2132"/>
      <c r="K7" s="2132"/>
      <c r="L7" s="2132"/>
      <c r="M7" s="2132"/>
      <c r="AM7" s="584">
        <v>0</v>
      </c>
    </row>
    <row s="590" customFormat="1" customHeight="1" ht="6.3">
      <c r="A8" s="592"/>
      <c r="B8" s="592"/>
      <c r="C8" s="592"/>
      <c r="D8" s="592"/>
      <c r="E8" s="592"/>
      <c r="F8" s="592"/>
      <c r="G8" s="592"/>
      <c r="H8" s="592"/>
      <c r="I8" s="592"/>
      <c r="J8" s="592"/>
      <c r="K8" s="592"/>
      <c r="L8" s="592"/>
      <c r="M8" s="590"/>
      <c r="N8" s="587"/>
      <c r="O8" s="871"/>
      <c r="P8" s="871"/>
      <c r="Q8" s="871"/>
      <c r="R8" s="871"/>
      <c r="S8" s="871"/>
      <c r="T8" s="871"/>
      <c r="U8" s="1262"/>
      <c r="V8" s="1262"/>
      <c r="W8" s="1262"/>
      <c r="X8" s="1262"/>
      <c r="Y8" s="587"/>
      <c r="Z8" s="587"/>
      <c r="AA8" s="587"/>
      <c r="AB8" s="587"/>
      <c r="AC8" s="587"/>
      <c r="AD8" s="587"/>
      <c r="AE8" s="587"/>
      <c r="AF8" s="587"/>
      <c r="AG8" s="587"/>
      <c r="AH8" s="587"/>
      <c r="AI8" s="587"/>
      <c r="AJ8" s="587"/>
      <c r="AK8" s="587"/>
      <c r="AL8" s="587"/>
      <c r="AM8" s="588">
        <v>6</v>
      </c>
    </row>
    <row customHeight="1" ht="18.75">
      <c r="A9" s="2127"/>
      <c r="B9" s="324"/>
      <c r="C9" s="324"/>
      <c r="D9" s="2128" t="s">
        <v>119</v>
      </c>
      <c r="E9" s="2128"/>
      <c r="F9" s="2129" t="s">
        <v>120</v>
      </c>
      <c r="G9" s="2130"/>
      <c r="H9" s="2130"/>
      <c r="I9" s="2130"/>
      <c r="J9" s="2133" t="s">
        <v>121</v>
      </c>
      <c r="K9" s="2133"/>
      <c r="L9" s="2133"/>
      <c r="M9" s="2133"/>
      <c r="AM9" s="584">
        <v>18</v>
      </c>
    </row>
    <row customHeight="1" ht="24">
      <c r="A10" s="2127"/>
      <c r="B10" s="593"/>
      <c r="C10" s="526"/>
      <c r="D10" s="524" t="s">
        <v>92</v>
      </c>
      <c r="E10" s="524" t="s">
        <v>93</v>
      </c>
      <c r="F10" s="524" t="s">
        <v>122</v>
      </c>
      <c r="G10" s="2134" t="s">
        <v>92</v>
      </c>
      <c r="H10" s="2135"/>
      <c r="I10" s="524" t="s">
        <v>93</v>
      </c>
      <c r="J10" s="524" t="s">
        <v>122</v>
      </c>
      <c r="K10" s="2134" t="s">
        <v>92</v>
      </c>
      <c r="L10" s="2135"/>
      <c r="M10" s="524" t="s">
        <v>93</v>
      </c>
      <c r="N10" s="1628"/>
      <c r="AM10" s="584">
        <v>23</v>
      </c>
    </row>
    <row s="1854" customFormat="1" customHeight="1" ht="11.25" hidden="1">
      <c r="A11" s="594"/>
      <c r="B11" s="594"/>
      <c r="C11" s="594"/>
      <c r="D11" s="595" t="s">
        <v>123</v>
      </c>
      <c r="E11" s="595" t="s">
        <v>107</v>
      </c>
      <c r="F11" s="595" t="s">
        <v>94</v>
      </c>
      <c r="G11" s="2116" t="s">
        <v>95</v>
      </c>
      <c r="H11" s="2117"/>
      <c r="I11" s="595" t="s">
        <v>124</v>
      </c>
      <c r="J11" s="595" t="s">
        <v>96</v>
      </c>
      <c r="K11" s="2118" t="s">
        <v>97</v>
      </c>
      <c r="L11" s="2119"/>
      <c r="M11" s="595" t="s">
        <v>125</v>
      </c>
      <c r="N11" s="1627"/>
      <c r="O11" s="1414"/>
      <c r="P11" s="1416"/>
      <c r="Q11" s="1416"/>
      <c r="R11" s="1416"/>
      <c r="S11" s="1416"/>
      <c r="T11" s="1416"/>
      <c r="U11" s="1266"/>
      <c r="V11" s="1266"/>
      <c r="W11" s="1266"/>
      <c r="X11" s="1266"/>
      <c r="Y11" s="596"/>
      <c r="Z11" s="596"/>
      <c r="AA11" s="596"/>
      <c r="AB11" s="596"/>
      <c r="AC11" s="596"/>
      <c r="AD11" s="596"/>
      <c r="AE11" s="596"/>
      <c r="AF11" s="596"/>
      <c r="AG11" s="596"/>
      <c r="AH11" s="596"/>
      <c r="AI11" s="596"/>
      <c r="AJ11" s="596"/>
      <c r="AK11" s="596"/>
      <c r="AL11" s="596"/>
      <c r="AM11" s="597">
        <v>0</v>
      </c>
    </row>
    <row customHeight="1" ht="1.05">
      <c r="A12" s="598"/>
      <c r="B12" s="599"/>
      <c r="C12" s="599"/>
      <c r="D12" s="600"/>
      <c r="E12" s="368"/>
      <c r="F12" s="601"/>
      <c r="G12" s="1060"/>
      <c r="H12" s="1060"/>
      <c r="I12" s="601"/>
      <c r="J12" s="601"/>
      <c r="K12" s="175"/>
      <c r="L12" s="368"/>
      <c r="M12" s="602"/>
      <c r="N12" s="1628"/>
      <c r="O12" s="1414" t="s">
        <v>126</v>
      </c>
      <c r="P12" s="1414" t="s">
        <v>127</v>
      </c>
      <c r="Q12" s="1414" t="s">
        <v>128</v>
      </c>
      <c r="R12" s="1414" t="s">
        <v>129</v>
      </c>
      <c r="AM12" s="584">
        <v>1</v>
      </c>
    </row>
    <row s="1854" customFormat="1" customHeight="1" ht="15.75">
      <c r="A13" s="294"/>
      <c r="B13" s="294"/>
      <c r="C13" s="527"/>
      <c r="D13" s="2109" t="s">
        <v>123</v>
      </c>
      <c r="E13" s="2110"/>
      <c r="F13" s="2113" t="s">
        <v>65</v>
      </c>
      <c r="G13" s="2114"/>
      <c r="H13" s="2115">
        <v>1</v>
      </c>
      <c r="I13" s="2106" t="str">
        <f>IF(U13="","",INDEX(TERRITORY_MR_LIST,MATCH(U13,TERRITORY_LIST_ID,0)))</f>
        <v/>
      </c>
      <c r="J13" s="2108" t="s">
        <v>19</v>
      </c>
      <c r="K13" s="603"/>
      <c r="L13" s="528" t="s">
        <v>123</v>
      </c>
      <c r="M13" s="604" t="s">
        <v>28</v>
      </c>
      <c r="N13" s="813"/>
      <c r="O13" s="1417" t="s">
        <v>130</v>
      </c>
      <c r="P13" s="1414">
        <f>$E$13</f>
        <v>0</v>
      </c>
      <c r="Q13" s="1414" t="str">
        <f>IF($F$13="нет","без дифференциации",$I$13)</f>
        <v/>
      </c>
      <c r="R13" s="1414" t="str">
        <f>IF($J$13="нет","без дифференциации",M13)</f>
        <v>без дифференциации</v>
      </c>
      <c r="S13" s="1417"/>
      <c r="T13" s="1417"/>
      <c r="U13" s="1267"/>
      <c r="V13" s="1267"/>
      <c r="W13" s="1267"/>
      <c r="X13" s="1267"/>
      <c r="Y13" s="605" t="s">
        <v>131</v>
      </c>
      <c r="Z13" s="605">
        <v>1705000</v>
      </c>
      <c r="AA13" s="605"/>
      <c r="AB13" s="605"/>
      <c r="AC13" s="605"/>
      <c r="AD13" s="605"/>
      <c r="AE13" s="605"/>
      <c r="AF13" s="605"/>
      <c r="AG13" s="605"/>
      <c r="AH13" s="605"/>
      <c r="AI13" s="605"/>
      <c r="AJ13" s="605"/>
      <c r="AK13" s="605"/>
      <c r="AL13" s="605"/>
      <c r="AM13" s="607">
        <v>15</v>
      </c>
    </row>
    <row s="1854" customFormat="1" customHeight="1" ht="15.75">
      <c r="A14" s="294"/>
      <c r="B14" s="294"/>
      <c r="C14" s="177"/>
      <c r="D14" s="2109"/>
      <c r="E14" s="2111"/>
      <c r="F14" s="2108"/>
      <c r="G14" s="2114"/>
      <c r="H14" s="2115"/>
      <c r="I14" s="2107"/>
      <c r="J14" s="2108"/>
      <c r="K14" s="422"/>
      <c r="L14" s="178"/>
      <c r="M14" s="608" t="s">
        <v>132</v>
      </c>
      <c r="N14" s="813"/>
      <c r="O14" s="1417"/>
      <c r="P14" s="1414"/>
      <c r="Q14" s="1414"/>
      <c r="R14" s="1414"/>
      <c r="S14" s="1417"/>
      <c r="T14" s="1417"/>
      <c r="U14" s="1267"/>
      <c r="V14" s="1267"/>
      <c r="W14" s="1267"/>
      <c r="X14" s="1267"/>
      <c r="Y14" s="605"/>
      <c r="Z14" s="605"/>
      <c r="AA14" s="605"/>
      <c r="AB14" s="605"/>
      <c r="AC14" s="605"/>
      <c r="AD14" s="605"/>
      <c r="AE14" s="605"/>
      <c r="AF14" s="605"/>
      <c r="AG14" s="605"/>
      <c r="AH14" s="605"/>
      <c r="AI14" s="605"/>
      <c r="AJ14" s="605"/>
      <c r="AK14" s="605"/>
      <c r="AL14" s="605"/>
      <c r="AM14" s="607">
        <v>15</v>
      </c>
    </row>
    <row s="1854" customFormat="1" customHeight="1" ht="15.75">
      <c r="A15" s="294"/>
      <c r="B15" s="294"/>
      <c r="C15" s="177"/>
      <c r="D15" s="2109"/>
      <c r="E15" s="2112"/>
      <c r="F15" s="2108"/>
      <c r="G15" s="1061"/>
      <c r="H15" s="1062"/>
      <c r="I15" s="581" t="s">
        <v>133</v>
      </c>
      <c r="J15" s="178"/>
      <c r="K15" s="178"/>
      <c r="L15" s="178"/>
      <c r="M15" s="609"/>
      <c r="N15" s="813"/>
      <c r="O15" s="1417"/>
      <c r="P15" s="1414"/>
      <c r="Q15" s="1414"/>
      <c r="R15" s="1414"/>
      <c r="S15" s="1417"/>
      <c r="T15" s="1417"/>
      <c r="U15" s="1267"/>
      <c r="V15" s="1267"/>
      <c r="W15" s="1267"/>
      <c r="X15" s="1267"/>
      <c r="Y15" s="605"/>
      <c r="Z15" s="605"/>
      <c r="AA15" s="605"/>
      <c r="AB15" s="605"/>
      <c r="AC15" s="605"/>
      <c r="AD15" s="605"/>
      <c r="AE15" s="605"/>
      <c r="AF15" s="605"/>
      <c r="AG15" s="605"/>
      <c r="AH15" s="605"/>
      <c r="AI15" s="605"/>
      <c r="AJ15" s="605"/>
      <c r="AK15" s="605"/>
      <c r="AL15" s="605"/>
      <c r="AM15" s="607">
        <v>15</v>
      </c>
    </row>
    <row customHeight="1" ht="15.75">
      <c r="A16" s="610"/>
      <c r="B16" s="136"/>
      <c r="C16" s="807"/>
      <c r="D16" s="422"/>
      <c r="E16" s="572" t="s">
        <v>134</v>
      </c>
      <c r="F16" s="178"/>
      <c r="G16" s="178"/>
      <c r="H16" s="178"/>
      <c r="I16" s="178"/>
      <c r="J16" s="178"/>
      <c r="K16" s="178" t="s">
        <v>28</v>
      </c>
      <c r="L16" s="178"/>
      <c r="M16" s="609"/>
      <c r="N16" s="1628"/>
      <c r="AM16" s="584">
        <v>15</v>
      </c>
    </row>
    <row customHeight="1" ht="11.25" hidden="1">
      <c r="A17" s="584" t="s">
        <v>86</v>
      </c>
      <c r="B17" s="584">
        <v>0</v>
      </c>
      <c r="C17" s="584">
        <v>3</v>
      </c>
      <c r="D17" s="584">
        <v>4</v>
      </c>
      <c r="E17" s="584">
        <v>44</v>
      </c>
      <c r="F17" s="584">
        <v>6</v>
      </c>
      <c r="G17" s="584">
        <v>4</v>
      </c>
      <c r="H17" s="584">
        <v>5</v>
      </c>
      <c r="I17" s="584">
        <v>52</v>
      </c>
      <c r="J17" s="584">
        <v>6</v>
      </c>
      <c r="K17" s="584">
        <v>3</v>
      </c>
      <c r="L17" s="584">
        <v>6</v>
      </c>
      <c r="M17" s="584">
        <v>56</v>
      </c>
      <c r="N17" s="585">
        <v>8</v>
      </c>
      <c r="O17" s="1414">
        <v>0</v>
      </c>
      <c r="P17" s="1414">
        <v>0</v>
      </c>
      <c r="Q17" s="1414">
        <v>0</v>
      </c>
      <c r="R17" s="1414">
        <v>0</v>
      </c>
      <c r="S17" s="1414">
        <v>0</v>
      </c>
      <c r="T17" s="1414">
        <v>0</v>
      </c>
      <c r="U17" s="1264">
        <v>0</v>
      </c>
      <c r="V17" s="1264">
        <v>0</v>
      </c>
      <c r="W17" s="1264">
        <v>0</v>
      </c>
      <c r="X17" s="1264">
        <v>0</v>
      </c>
      <c r="Y17" s="585">
        <v>0</v>
      </c>
      <c r="Z17" s="585">
        <v>0</v>
      </c>
      <c r="AA17" s="585">
        <v>0</v>
      </c>
      <c r="AB17" s="585">
        <v>0</v>
      </c>
      <c r="AC17" s="585">
        <v>0</v>
      </c>
      <c r="AD17" s="585">
        <v>0</v>
      </c>
      <c r="AE17" s="585">
        <v>0</v>
      </c>
      <c r="AF17" s="585">
        <v>0</v>
      </c>
      <c r="AG17" s="585">
        <v>0</v>
      </c>
      <c r="AH17" s="585">
        <v>0</v>
      </c>
      <c r="AI17" s="585">
        <v>0</v>
      </c>
      <c r="AJ17" s="585">
        <v>0</v>
      </c>
      <c r="AK17" s="585">
        <v>0</v>
      </c>
      <c r="AL17" s="585">
        <v>8</v>
      </c>
      <c r="AM17" s="584">
        <v>11</v>
      </c>
    </row>
  </sheetData>
  <sheetProtection formatColumns="0" formatRows="0" autoFilter="0" sort="0" insertRows="0" insertColumns="1" deleteRows="0" deleteColumns="0"/>
  <mergeCells count="19">
    <mergeCell ref="G11:H11"/>
    <mergeCell ref="K11:L11"/>
    <mergeCell ref="D4:I4"/>
    <mergeCell ref="D5:I5"/>
    <mergeCell ref="A6:F6"/>
    <mergeCell ref="A9:A10"/>
    <mergeCell ref="D9:E9"/>
    <mergeCell ref="F9:I9"/>
    <mergeCell ref="E7:M7"/>
    <mergeCell ref="J9:M9"/>
    <mergeCell ref="G10:H10"/>
    <mergeCell ref="K10:L10"/>
    <mergeCell ref="I13:I14"/>
    <mergeCell ref="J13:J14"/>
    <mergeCell ref="D13:D15"/>
    <mergeCell ref="E13:E15"/>
    <mergeCell ref="F13:F15"/>
    <mergeCell ref="G13:G14"/>
    <mergeCell ref="H13:H14"/>
  </mergeCells>
  <dataValidations count="1">
    <dataValidation type="textLength" operator="lessThan" allowBlank="1" showInputMessage="1" showErrorMessage="1" error="Допускается ввод не более 900 символов!" sqref="M13">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drawing r:id="rId1"/>
</worksheet>
</file>

<file path=xl/worksheets/sheet4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12E8058-9318-87B5-742B-7BD6C7939548}" mc:Ignorable="x14ac xr xr2 xr3">
  <sheetPr>
    <tabColor rgb="FFE26B0A"/>
  </sheetPr>
  <dimension ref="A1:V40"/>
  <sheetViews>
    <sheetView showGridLines="0" zoomScale="90" workbookViewId="0">
      <pane xSplit="8" ySplit="31" topLeftCell="I32" activePane="bottomRight" state="frozen"/>
      <selection pane="bottomLeft" activeCell="A32" sqref="A32"/>
      <selection pane="topRight" activeCell="I1" sqref="I1"/>
      <selection pane="bottomRight" activeCell="A1" sqref="A1"/>
    </sheetView>
  </sheetViews>
  <sheetFormatPr defaultColWidth="10.57421875" customHeight="1" defaultRowHeight="15"/>
  <cols>
    <col min="1" max="1" style="1633" width="9.140625" hidden="1" customWidth="1"/>
    <col min="2" max="2" style="1636" width="9.140625" hidden="1" customWidth="1"/>
    <col min="3" max="3" style="684" width="4.00390625" customWidth="1"/>
    <col min="4" max="4" style="1636" width="6.00390625" customWidth="1"/>
    <col min="5" max="5" style="1636" width="36.00390625" customWidth="1"/>
    <col min="6" max="6" style="1636" width="9.00390625" customWidth="1"/>
    <col min="7" max="7" style="1636" width="25.7109375" hidden="1" customWidth="1"/>
    <col min="8" max="8" style="1636" width="33.7109375" hidden="1" customWidth="1"/>
    <col min="9" max="9" style="1636" width="25.7109375" customWidth="1"/>
    <col min="10" max="10" style="1636" width="33.00390625" customWidth="1"/>
    <col min="11" max="11" style="1367" width="93.00390625" customWidth="1"/>
    <col min="12" max="20" style="1636" width="10.00390625" customWidth="1"/>
    <col min="21" max="21" style="676" width="10.00390625" customWidth="1"/>
    <col min="22" max="22" style="1636" width="10.57421875" hidden="1"/>
  </cols>
  <sheetData>
    <row s="1367" customFormat="1" customHeight="1" ht="22.5" hidden="1">
      <c r="C1" s="673"/>
      <c r="G1" s="418">
        <v>4</v>
      </c>
      <c r="I1" s="418">
        <v>4</v>
      </c>
      <c r="U1" s="421"/>
      <c r="V1" s="418" t="s">
        <v>14</v>
      </c>
    </row>
    <row s="1367" customFormat="1" customHeight="1" ht="15" hidden="1">
      <c r="C2" s="673"/>
      <c r="U2" s="421"/>
      <c r="V2" s="418">
        <v>0</v>
      </c>
    </row>
    <row customHeight="1" ht="22.5" hidden="1">
      <c r="A3" s="506"/>
      <c r="B3" s="2398"/>
      <c r="C3" s="2399" t="s">
        <v>108</v>
      </c>
      <c r="D3" s="690" t="str">
        <f>B3&amp;".1"</f>
        <v>.1</v>
      </c>
      <c r="E3" s="691" t="s">
        <v>1066</v>
      </c>
      <c r="F3" s="692" t="s">
        <v>436</v>
      </c>
      <c r="G3" s="687"/>
      <c r="H3" s="402"/>
      <c r="I3" s="687"/>
      <c r="J3" s="402"/>
      <c r="K3" s="290" t="s">
        <v>1067</v>
      </c>
      <c r="V3" s="506">
        <v>0</v>
      </c>
    </row>
    <row customHeight="1" ht="15" hidden="1">
      <c r="A4" s="506"/>
      <c r="B4" s="2398"/>
      <c r="C4" s="2399"/>
      <c r="D4" s="690" t="str">
        <f>B3&amp;".2"</f>
        <v>.2</v>
      </c>
      <c r="E4" s="691" t="s">
        <v>1068</v>
      </c>
      <c r="F4" s="692" t="s">
        <v>436</v>
      </c>
      <c r="G4" s="1739" t="s">
        <v>28</v>
      </c>
      <c r="H4" s="402"/>
      <c r="I4" s="1739" t="s">
        <v>28</v>
      </c>
      <c r="J4" s="402"/>
      <c r="K4" s="290" t="s">
        <v>1069</v>
      </c>
      <c r="V4" s="506">
        <v>0</v>
      </c>
    </row>
    <row s="1367" customFormat="1" customHeight="1" ht="15" hidden="1">
      <c r="C5" s="673"/>
      <c r="U5" s="421"/>
      <c r="V5" s="418">
        <v>0</v>
      </c>
    </row>
    <row customHeight="1" ht="22.5" hidden="1">
      <c r="A6" s="506"/>
      <c r="B6" s="2398"/>
      <c r="C6" s="2399" t="s">
        <v>108</v>
      </c>
      <c r="D6" s="690" t="str">
        <f>B6&amp;".1"</f>
        <v>.1</v>
      </c>
      <c r="E6" s="691" t="s">
        <v>1070</v>
      </c>
      <c r="F6" s="692" t="s">
        <v>436</v>
      </c>
      <c r="G6" s="687"/>
      <c r="H6" s="402"/>
      <c r="I6" s="687"/>
      <c r="J6" s="402"/>
      <c r="K6" s="290" t="s">
        <v>1071</v>
      </c>
      <c r="V6" s="506">
        <v>0</v>
      </c>
    </row>
    <row customHeight="1" ht="15" hidden="1">
      <c r="A7" s="506"/>
      <c r="B7" s="2398"/>
      <c r="C7" s="2399"/>
      <c r="D7" s="690" t="str">
        <f>B6&amp;".2"</f>
        <v>.2</v>
      </c>
      <c r="E7" s="691" t="s">
        <v>1068</v>
      </c>
      <c r="F7" s="692" t="s">
        <v>436</v>
      </c>
      <c r="G7" s="1739" t="s">
        <v>28</v>
      </c>
      <c r="H7" s="402"/>
      <c r="I7" s="1739" t="s">
        <v>28</v>
      </c>
      <c r="J7" s="402"/>
      <c r="K7" s="290" t="s">
        <v>1069</v>
      </c>
      <c r="V7" s="506">
        <v>0</v>
      </c>
    </row>
    <row s="1367" customFormat="1" customHeight="1" ht="15" hidden="1">
      <c r="C8" s="673"/>
      <c r="U8" s="421"/>
      <c r="V8" s="418">
        <v>0</v>
      </c>
    </row>
    <row customHeight="1" ht="22.5" hidden="1">
      <c r="A9" s="506"/>
      <c r="B9" s="2398"/>
      <c r="C9" s="2399" t="s">
        <v>108</v>
      </c>
      <c r="D9" s="690" t="str">
        <f>B9&amp;".1"</f>
        <v>.1</v>
      </c>
      <c r="E9" s="691" t="s">
        <v>1072</v>
      </c>
      <c r="F9" s="692" t="s">
        <v>436</v>
      </c>
      <c r="G9" s="698" t="s">
        <v>28</v>
      </c>
      <c r="H9" s="402" t="s">
        <v>28</v>
      </c>
      <c r="I9" s="698" t="s">
        <v>28</v>
      </c>
      <c r="J9" s="402" t="s">
        <v>28</v>
      </c>
      <c r="K9" s="290"/>
      <c r="V9" s="506">
        <v>0</v>
      </c>
    </row>
    <row customHeight="1" ht="15" hidden="1">
      <c r="A10" s="506"/>
      <c r="B10" s="2398"/>
      <c r="C10" s="2399"/>
      <c r="D10" s="690" t="str">
        <f>B9&amp;".2"</f>
        <v>.2</v>
      </c>
      <c r="E10" s="691" t="s">
        <v>1073</v>
      </c>
      <c r="F10" s="692" t="s">
        <v>436</v>
      </c>
      <c r="G10" s="1733" t="s">
        <v>28</v>
      </c>
      <c r="H10" s="402" t="s">
        <v>28</v>
      </c>
      <c r="I10" s="1733" t="s">
        <v>28</v>
      </c>
      <c r="J10" s="402" t="s">
        <v>28</v>
      </c>
      <c r="K10" s="290" t="s">
        <v>1074</v>
      </c>
      <c r="V10" s="506">
        <v>0</v>
      </c>
    </row>
    <row customHeight="1" ht="15" hidden="1">
      <c r="A11" s="506"/>
      <c r="B11" s="2398"/>
      <c r="C11" s="2399"/>
      <c r="D11" s="690" t="str">
        <f>B9&amp;".3"</f>
        <v>.3</v>
      </c>
      <c r="E11" s="691" t="s">
        <v>1075</v>
      </c>
      <c r="F11" s="692" t="s">
        <v>436</v>
      </c>
      <c r="G11" s="1733" t="s">
        <v>28</v>
      </c>
      <c r="H11" s="402" t="s">
        <v>28</v>
      </c>
      <c r="I11" s="1733" t="s">
        <v>28</v>
      </c>
      <c r="J11" s="402" t="s">
        <v>28</v>
      </c>
      <c r="K11" s="290" t="s">
        <v>1076</v>
      </c>
      <c r="V11" s="506">
        <v>0</v>
      </c>
    </row>
    <row s="1367" customFormat="1" customHeight="1" ht="15" hidden="1">
      <c r="C12" s="673"/>
      <c r="U12" s="421"/>
      <c r="V12" s="418">
        <v>0</v>
      </c>
    </row>
    <row customHeight="1" ht="33.75" hidden="1">
      <c r="A13" s="506"/>
      <c r="B13" s="2398"/>
      <c r="C13" s="2399" t="s">
        <v>108</v>
      </c>
      <c r="D13" s="690" t="str">
        <f>B13&amp;".1"</f>
        <v>.1</v>
      </c>
      <c r="E13" s="691" t="s">
        <v>1077</v>
      </c>
      <c r="F13" s="692" t="s">
        <v>436</v>
      </c>
      <c r="G13" s="698" t="s">
        <v>28</v>
      </c>
      <c r="H13" s="402" t="s">
        <v>28</v>
      </c>
      <c r="I13" s="698" t="s">
        <v>28</v>
      </c>
      <c r="J13" s="402" t="s">
        <v>28</v>
      </c>
      <c r="K13" s="290" t="s">
        <v>1078</v>
      </c>
      <c r="V13" s="506">
        <v>0</v>
      </c>
    </row>
    <row customHeight="1" ht="15" hidden="1">
      <c r="B14" s="2398"/>
      <c r="C14" s="2399"/>
      <c r="D14" s="690" t="str">
        <f>B13&amp;".2"</f>
        <v>.2</v>
      </c>
      <c r="E14" s="691" t="s">
        <v>1079</v>
      </c>
      <c r="F14" s="692" t="s">
        <v>436</v>
      </c>
      <c r="G14" s="1733" t="s">
        <v>28</v>
      </c>
      <c r="H14" s="402" t="s">
        <v>28</v>
      </c>
      <c r="I14" s="1733" t="s">
        <v>28</v>
      </c>
      <c r="J14" s="402" t="s">
        <v>28</v>
      </c>
      <c r="K14" s="290" t="s">
        <v>1080</v>
      </c>
      <c r="V14" s="506">
        <v>0</v>
      </c>
    </row>
    <row s="1367" customFormat="1" customHeight="1" ht="15" hidden="1">
      <c r="C15" s="673"/>
      <c r="U15" s="421"/>
      <c r="V15" s="418">
        <v>0</v>
      </c>
    </row>
    <row s="1367" customFormat="1" customHeight="1" ht="15" hidden="1">
      <c r="C16" s="673"/>
      <c r="U16" s="421"/>
      <c r="V16" s="418">
        <v>0</v>
      </c>
    </row>
    <row s="1367" customFormat="1" customHeight="1" ht="15" hidden="1">
      <c r="C17" s="673"/>
      <c r="U17" s="421"/>
      <c r="V17" s="418">
        <v>0</v>
      </c>
    </row>
    <row s="1367" customFormat="1" customHeight="1" ht="15" hidden="1">
      <c r="C18" s="673"/>
      <c r="U18" s="421"/>
      <c r="V18" s="418">
        <v>0</v>
      </c>
    </row>
    <row s="1367" customFormat="1" customHeight="1" ht="15" hidden="1">
      <c r="C19" s="673"/>
      <c r="U19" s="421"/>
      <c r="V19" s="418">
        <v>0</v>
      </c>
    </row>
    <row s="1367" customFormat="1" customHeight="1" ht="15" hidden="1">
      <c r="C20" s="673"/>
      <c r="U20" s="421"/>
      <c r="V20" s="418">
        <v>0</v>
      </c>
    </row>
    <row customHeight="1" ht="15.75">
      <c r="C21" s="177"/>
      <c r="D21" s="510"/>
      <c r="E21" s="510"/>
      <c r="F21" s="510"/>
      <c r="G21" s="510"/>
      <c r="H21" s="510"/>
      <c r="I21" s="510"/>
      <c r="J21" s="510"/>
      <c r="V21" s="506">
        <v>15</v>
      </c>
    </row>
    <row customHeight="1" ht="23.25">
      <c r="C22" s="177"/>
      <c r="D22" s="2238" t="str">
        <f>KNE_NAME_FORM</f>
        <v>Форма 12. Информация об основных потребительских характеристиках товаров, услуг регулируемой организации, цены (тарифы) в сфере теплоснабжения на которые подлежат регулированию, об основных потребительских характеристиках товаров (услуг), поставляемых (оказываемых) единой теплоснабжающей организацией в ценовых зонах теплоснабжения, об основных потребительских характеристиках товаров (услуг), поставляемых (оказываемых) теплоснабжающей организацией в ценовых зонах теплоснабжения и теплосетевой организацией в ценовых зонах теплоснабжения</v>
      </c>
      <c r="E22" s="2238"/>
      <c r="F22" s="2238"/>
      <c r="G22" s="2238"/>
      <c r="H22" s="2238"/>
      <c r="I22" s="2238"/>
      <c r="J22" s="677"/>
      <c r="K22" s="538"/>
      <c r="V22" s="506">
        <v>22</v>
      </c>
    </row>
    <row customHeight="1" ht="15.75">
      <c r="C23" s="177"/>
      <c r="D23" s="2177" t="str">
        <f>IF(org=0,"Не определено",org)</f>
        <v>ПАО "ТГК-1" (филиал "Кольский")</v>
      </c>
      <c r="E23" s="2177"/>
      <c r="F23" s="2177"/>
      <c r="G23" s="2177"/>
      <c r="H23" s="2177"/>
      <c r="I23" s="2177"/>
      <c r="J23" s="677"/>
      <c r="K23" s="538"/>
      <c r="V23" s="506">
        <v>15</v>
      </c>
    </row>
    <row customHeight="1" ht="15.75">
      <c r="C24" s="177"/>
      <c r="D24" s="510"/>
      <c r="E24" s="510"/>
      <c r="F24" s="510"/>
      <c r="G24" s="538">
        <v>22</v>
      </c>
      <c r="H24" s="753"/>
      <c r="I24" s="538">
        <v>22</v>
      </c>
      <c r="J24" s="753"/>
      <c r="V24" s="506">
        <v>15</v>
      </c>
    </row>
    <row s="1636" customFormat="1" customHeight="1" ht="1.05">
      <c r="A25" s="760"/>
      <c r="C25" s="177"/>
      <c r="D25" s="510"/>
      <c r="E25" s="510"/>
      <c r="F25" s="510"/>
      <c r="G25" s="538"/>
      <c r="H25" s="753"/>
      <c r="I25" s="538" t="s">
        <v>130</v>
      </c>
      <c r="J25" s="753"/>
      <c r="K25" s="418"/>
      <c r="U25" s="676"/>
      <c r="V25" s="759">
        <v>1</v>
      </c>
    </row>
    <row customHeight="1" ht="15.75">
      <c r="C26" s="177"/>
      <c r="D26" s="712"/>
      <c r="E26" s="2368" t="s">
        <v>119</v>
      </c>
      <c r="F26" s="2369"/>
      <c r="G26" s="2396" t="str">
        <f>IF(G25="","",INDEX(DIFFERENTIATION_UNMERGE_VD,MATCH(G25,DIFFERENTIATION_ID_DIFF,0)))</f>
        <v/>
      </c>
      <c r="H26" s="2397"/>
      <c r="I26" s="2396">
        <f>IF(I25="","",INDEX(DIFFERENTIATION_UNMERGE_VD,MATCH(I25,DIFFERENTIATION_ID_DIFF,0)))</f>
        <v>0</v>
      </c>
      <c r="J26" s="2397"/>
      <c r="K26" s="2176" t="s">
        <v>431</v>
      </c>
      <c r="V26" s="506">
        <v>15</v>
      </c>
    </row>
    <row s="1636" customFormat="1" customHeight="1" ht="15.75">
      <c r="A27" s="760"/>
      <c r="C27" s="177"/>
      <c r="D27" s="712"/>
      <c r="E27" s="2368" t="s">
        <v>695</v>
      </c>
      <c r="F27" s="2369"/>
      <c r="G27" s="2396" t="str">
        <f>IF(G25="","",INDEX(DIFFERENTIATION_UNMERGE_AREA,MATCH(G25,DIFFERENTIATION_ID_DIFF,0)))</f>
        <v/>
      </c>
      <c r="H27" s="2397"/>
      <c r="I27" s="2396" t="str">
        <f>IF(I25="","",INDEX(DIFFERENTIATION_UNMERGE_AREA,MATCH(I25,DIFFERENTIATION_ID_DIFF,0)))</f>
        <v/>
      </c>
      <c r="J27" s="2397"/>
      <c r="K27" s="2196"/>
      <c r="U27" s="676"/>
      <c r="V27" s="759">
        <v>15</v>
      </c>
    </row>
    <row s="1636" customFormat="1" customHeight="1" ht="15.75">
      <c r="A28" s="760"/>
      <c r="C28" s="177"/>
      <c r="D28" s="712"/>
      <c r="E28" s="2368" t="s">
        <v>696</v>
      </c>
      <c r="F28" s="2369"/>
      <c r="G28" s="2396" t="str">
        <f>IF(G25="","",INDEX(DIFFERENTIATION_UNMERGE_SYSTEM,MATCH(G25,DIFFERENTIATION_ID_DIFF,0)))</f>
        <v/>
      </c>
      <c r="H28" s="2397"/>
      <c r="I28" s="2396" t="str">
        <f>IF(I25="","",INDEX(DIFFERENTIATION_UNMERGE_SYSTEM,MATCH(I25,DIFFERENTIATION_ID_DIFF,0)))</f>
        <v>без дифференциации</v>
      </c>
      <c r="J28" s="2397"/>
      <c r="K28" s="2196"/>
      <c r="U28" s="676"/>
      <c r="V28" s="759">
        <v>15</v>
      </c>
    </row>
    <row s="1636" customFormat="1" customHeight="1" ht="15.75">
      <c r="A29" s="760"/>
      <c r="C29" s="177"/>
      <c r="D29" s="2370" t="s">
        <v>430</v>
      </c>
      <c r="E29" s="2371"/>
      <c r="F29" s="2371"/>
      <c r="G29" s="888"/>
      <c r="H29" s="888"/>
      <c r="I29" s="888"/>
      <c r="J29" s="889"/>
      <c r="K29" s="2196"/>
      <c r="U29" s="676"/>
      <c r="V29" s="759">
        <v>15</v>
      </c>
    </row>
    <row customHeight="1" ht="35.699999999999996">
      <c r="C30" s="177"/>
      <c r="D30" s="762" t="s">
        <v>92</v>
      </c>
      <c r="E30" s="761" t="s">
        <v>432</v>
      </c>
      <c r="F30" s="761" t="s">
        <v>697</v>
      </c>
      <c r="G30" s="809" t="s">
        <v>433</v>
      </c>
      <c r="H30" s="808" t="s">
        <v>520</v>
      </c>
      <c r="I30" s="685" t="s">
        <v>433</v>
      </c>
      <c r="J30" s="466" t="s">
        <v>520</v>
      </c>
      <c r="K30" s="2202"/>
      <c r="V30" s="506">
        <v>34</v>
      </c>
    </row>
    <row customHeight="1" ht="15" hidden="1">
      <c r="C31" s="177"/>
      <c r="D31" s="594"/>
      <c r="E31" s="594"/>
      <c r="F31" s="594"/>
      <c r="G31" s="660"/>
      <c r="H31" s="660"/>
      <c r="I31" s="660"/>
      <c r="J31" s="660"/>
      <c r="K31" s="290"/>
      <c r="V31" s="506">
        <v>0</v>
      </c>
    </row>
    <row customHeight="1" ht="24">
      <c r="A32" s="506"/>
      <c r="B32" s="506" t="s">
        <v>1081</v>
      </c>
      <c r="C32" s="527"/>
      <c r="D32" s="693">
        <v>1</v>
      </c>
      <c r="E32" s="694" t="s">
        <v>1082</v>
      </c>
      <c r="F32" s="692" t="s">
        <v>436</v>
      </c>
      <c r="G32" s="814" t="s">
        <v>436</v>
      </c>
      <c r="H32" s="814" t="s">
        <v>436</v>
      </c>
      <c r="I32" s="692" t="s">
        <v>436</v>
      </c>
      <c r="J32" s="692" t="s">
        <v>436</v>
      </c>
      <c r="K32" s="290"/>
      <c r="V32" s="506">
        <v>23</v>
      </c>
    </row>
    <row customHeight="1" ht="11.549999999999999">
      <c r="A33" s="506"/>
      <c r="C33" s="506"/>
      <c r="D33" s="348"/>
      <c r="E33" s="581" t="s">
        <v>717</v>
      </c>
      <c r="F33" s="573"/>
      <c r="G33" s="573"/>
      <c r="H33" s="573"/>
      <c r="I33" s="573"/>
      <c r="J33" s="573"/>
      <c r="K33" s="574"/>
      <c r="U33" s="506"/>
      <c r="V33" s="506">
        <v>11</v>
      </c>
    </row>
    <row customHeight="1" ht="24">
      <c r="A34" s="506"/>
      <c r="B34" s="582" t="s">
        <v>767</v>
      </c>
      <c r="C34" s="527"/>
      <c r="D34" s="693">
        <v>2</v>
      </c>
      <c r="E34" s="694" t="s">
        <v>1083</v>
      </c>
      <c r="F34" s="821" t="s">
        <v>436</v>
      </c>
      <c r="G34" s="821" t="s">
        <v>436</v>
      </c>
      <c r="H34" s="821" t="s">
        <v>436</v>
      </c>
      <c r="I34" s="692"/>
      <c r="J34" s="692"/>
      <c r="K34" s="290"/>
      <c r="V34" s="506">
        <v>23</v>
      </c>
    </row>
    <row customHeight="1" ht="11.549999999999999">
      <c r="A35" s="506"/>
      <c r="C35" s="506"/>
      <c r="D35" s="348"/>
      <c r="E35" s="581" t="s">
        <v>1084</v>
      </c>
      <c r="F35" s="573"/>
      <c r="G35" s="695"/>
      <c r="H35" s="573"/>
      <c r="I35" s="695"/>
      <c r="J35" s="573"/>
      <c r="K35" s="574"/>
      <c r="U35" s="506"/>
      <c r="V35" s="506">
        <v>11</v>
      </c>
    </row>
    <row customHeight="1" ht="71.25">
      <c r="A36" s="506"/>
      <c r="B36" s="506" t="s">
        <v>1085</v>
      </c>
      <c r="C36" s="527"/>
      <c r="D36" s="693">
        <v>3</v>
      </c>
      <c r="E36" s="694" t="s">
        <v>1086</v>
      </c>
      <c r="F36" s="696" t="s">
        <v>436</v>
      </c>
      <c r="G36" s="815" t="s">
        <v>1087</v>
      </c>
      <c r="H36" s="814" t="s">
        <v>436</v>
      </c>
      <c r="I36" s="525" t="s">
        <v>1087</v>
      </c>
      <c r="J36" s="692" t="s">
        <v>436</v>
      </c>
      <c r="K36" s="290" t="s">
        <v>1088</v>
      </c>
      <c r="V36" s="506">
        <v>68</v>
      </c>
    </row>
    <row customHeight="1" ht="11.549999999999999">
      <c r="A37" s="506"/>
      <c r="C37" s="506"/>
      <c r="D37" s="348"/>
      <c r="E37" s="581" t="s">
        <v>1089</v>
      </c>
      <c r="F37" s="573"/>
      <c r="G37" s="695"/>
      <c r="H37" s="695"/>
      <c r="I37" s="695"/>
      <c r="J37" s="695"/>
      <c r="K37" s="574"/>
      <c r="U37" s="506"/>
      <c r="V37" s="506">
        <v>11</v>
      </c>
    </row>
    <row customHeight="1" ht="71.25">
      <c r="A38" s="506"/>
      <c r="B38" s="506" t="s">
        <v>1090</v>
      </c>
      <c r="C38" s="527"/>
      <c r="D38" s="693">
        <v>4</v>
      </c>
      <c r="E38" s="694" t="s">
        <v>1091</v>
      </c>
      <c r="F38" s="696" t="s">
        <v>436</v>
      </c>
      <c r="G38" s="815" t="s">
        <v>1087</v>
      </c>
      <c r="H38" s="816" t="s">
        <v>436</v>
      </c>
      <c r="I38" s="525" t="s">
        <v>1087</v>
      </c>
      <c r="J38" s="522" t="s">
        <v>436</v>
      </c>
      <c r="K38" s="680" t="s">
        <v>1092</v>
      </c>
      <c r="V38" s="506">
        <v>68</v>
      </c>
    </row>
    <row customHeight="1" ht="11.549999999999999">
      <c r="A39" s="506"/>
      <c r="C39" s="506"/>
      <c r="D39" s="348"/>
      <c r="E39" s="581" t="s">
        <v>1093</v>
      </c>
      <c r="F39" s="573"/>
      <c r="G39" s="573"/>
      <c r="H39" s="697"/>
      <c r="I39" s="573"/>
      <c r="J39" s="697"/>
      <c r="K39" s="574"/>
      <c r="U39" s="506"/>
      <c r="V39" s="506">
        <v>11</v>
      </c>
    </row>
    <row customHeight="1" ht="22.5" hidden="1">
      <c r="A40" s="450" t="s">
        <v>86</v>
      </c>
      <c r="B40" s="506">
        <v>0</v>
      </c>
      <c r="C40" s="684">
        <v>4</v>
      </c>
      <c r="D40" s="506">
        <v>6</v>
      </c>
      <c r="E40" s="506">
        <v>36</v>
      </c>
      <c r="F40" s="506">
        <v>9</v>
      </c>
      <c r="G40" s="759">
        <v>0</v>
      </c>
      <c r="H40" s="759">
        <v>0</v>
      </c>
      <c r="I40" s="506">
        <v>25</v>
      </c>
      <c r="J40" s="506">
        <v>33</v>
      </c>
      <c r="K40" s="418">
        <v>93</v>
      </c>
      <c r="L40" s="506">
        <v>10</v>
      </c>
      <c r="M40" s="506">
        <v>10</v>
      </c>
      <c r="N40" s="506">
        <v>10</v>
      </c>
      <c r="O40" s="506">
        <v>10</v>
      </c>
      <c r="P40" s="506">
        <v>10</v>
      </c>
      <c r="Q40" s="506">
        <v>10</v>
      </c>
      <c r="R40" s="506">
        <v>10</v>
      </c>
      <c r="S40" s="506">
        <v>10</v>
      </c>
      <c r="T40" s="506">
        <v>10</v>
      </c>
      <c r="U40" s="676">
        <v>10</v>
      </c>
      <c r="V40" s="506">
        <v>23</v>
      </c>
    </row>
  </sheetData>
  <sheetProtection formatColumns="0" formatRows="0" autoFilter="0" sort="0" insertRows="0" insertColumns="1" deleteRows="0" deleteColumns="0"/>
  <mergeCells count="21">
    <mergeCell ref="B3:B4"/>
    <mergeCell ref="C3:C4"/>
    <mergeCell ref="B6:B7"/>
    <mergeCell ref="C6:C7"/>
    <mergeCell ref="B9:B11"/>
    <mergeCell ref="C9:C11"/>
    <mergeCell ref="B13:B14"/>
    <mergeCell ref="C13:C14"/>
    <mergeCell ref="D22:I22"/>
    <mergeCell ref="D23:I23"/>
    <mergeCell ref="I26:J26"/>
    <mergeCell ref="E26:F26"/>
    <mergeCell ref="G28:H28"/>
    <mergeCell ref="K26:K30"/>
    <mergeCell ref="E27:F27"/>
    <mergeCell ref="E28:F28"/>
    <mergeCell ref="I27:J27"/>
    <mergeCell ref="I28:J28"/>
    <mergeCell ref="G26:H26"/>
    <mergeCell ref="G27:H27"/>
    <mergeCell ref="D29:F29"/>
  </mergeCells>
  <dataValidations count="5">
    <dataValidation allowBlank="1" showInputMessage="1" showErrorMessage="1" prompt="Количество поданных заявок на подключение (технологическое присоединение) к системе теплоснабжения в течение квартала, шт." sqref="E30"/>
    <dataValidation type="textLength" operator="lessThanOrEqual" allowBlank="1" showInputMessage="1" showErrorMessage="1" errorTitle="Ошибка" error="Допускается ввод не более 900 символов!" sqref="I3 I6 I9 I13 G6 G13 G9 G3">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I14 I4 I10:I11 G7 G14 I7 G10:G11 G4"/>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3:H4 J3:J4 H6:H7 J6:J7 J9:J11 H9:H11 J13:J14 H13:H14">
      <formula1>900</formula1>
    </dataValidation>
    <dataValidation allowBlank="1" showInputMessage="1" showErrorMessage="1" prompt="Для выбора выполните двойной щелчок левой клавиши мыши по ячейке." sqref="I36 G38 I38 G36"/>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554EB08-6DE8-1D28-8E08-45BCC0BB3E7F}" mc:Ignorable="x14ac xr xr2 xr3">
  <sheetPr>
    <tabColor theme="9" tint="-0.25"/>
  </sheetPr>
  <dimension ref="A1:AE16"/>
  <sheetViews>
    <sheetView showGridLines="0" zoomScale="85" workbookViewId="0">
      <pane xSplit="7" ySplit="10" topLeftCell="H11" activePane="bottomRight" state="frozen"/>
      <selection pane="bottomLeft" activeCell="A11" sqref="A11"/>
      <selection pane="topRight" activeCell="H1" sqref="H1"/>
      <selection pane="bottomRight" activeCell="A1" sqref="A1"/>
    </sheetView>
  </sheetViews>
  <sheetFormatPr defaultColWidth="9.140625" customHeight="1" defaultRowHeight="10.5"/>
  <cols>
    <col min="1" max="3" style="1167" width="6.7109375" hidden="1" customWidth="1"/>
    <col min="4" max="4" style="1367" width="6.7109375" hidden="1" customWidth="1"/>
    <col min="5" max="5" style="1636" width="3.00390625" customWidth="1"/>
    <col min="6" max="6" style="1636" width="6.00390625" customWidth="1"/>
    <col min="7" max="7" style="1636" width="37.00390625" customWidth="1"/>
    <col min="8" max="8" style="1636" width="16.00390625" customWidth="1"/>
    <col min="9" max="10" style="1636" width="19.00390625" customWidth="1"/>
    <col min="11" max="11" style="1636" width="24.00390625" customWidth="1"/>
    <col min="12" max="13" style="1636" width="25.00390625" customWidth="1"/>
    <col min="14" max="16" style="1636" width="17.00390625" customWidth="1"/>
    <col min="17" max="24" style="1636" width="19.00390625" customWidth="1"/>
    <col min="25" max="25" style="1636" width="7.00390625" customWidth="1"/>
    <col min="26" max="26" style="1636" width="3.00390625" customWidth="1"/>
    <col min="27" max="27" style="1636" width="6.00390625" customWidth="1"/>
    <col min="28" max="28" style="1636" width="34.00390625" customWidth="1"/>
    <col min="29" max="30" style="1636" width="8.00390625" customWidth="1"/>
    <col min="31" max="31" style="1636" width="9.140625" hidden="1"/>
  </cols>
  <sheetData>
    <row s="1367" customFormat="1" customHeight="1" ht="10.5" hidden="1">
      <c r="A1" s="896"/>
      <c r="B1" s="896"/>
      <c r="C1" s="896"/>
      <c r="E1" s="538"/>
      <c r="H1" s="1161"/>
      <c r="AE1" s="418" t="s">
        <v>14</v>
      </c>
    </row>
    <row customHeight="1" ht="10.5" hidden="1">
      <c r="AE2" s="759">
        <v>0</v>
      </c>
    </row>
    <row s="1633" customFormat="1" customHeight="1" ht="10.5" hidden="1">
      <c r="A3" s="896"/>
      <c r="B3" s="896"/>
      <c r="C3" s="896"/>
      <c r="D3" s="418"/>
      <c r="E3" s="363"/>
      <c r="G3" s="1633" t="s">
        <v>1094</v>
      </c>
      <c r="H3" s="1157"/>
      <c r="AE3" s="760">
        <v>0</v>
      </c>
    </row>
    <row customHeight="1" ht="3">
      <c r="AE4" s="759">
        <v>3</v>
      </c>
    </row>
    <row customHeight="1" ht="27.299999999999997">
      <c r="F5" s="2249" t="str">
        <f>IP_NAME_FORM</f>
        <v>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v>
      </c>
      <c r="G5" s="2249"/>
      <c r="H5" s="2249"/>
      <c r="I5" s="2249"/>
      <c r="J5" s="2249"/>
      <c r="K5" s="2249"/>
      <c r="M5" s="583"/>
      <c r="AB5" s="907"/>
      <c r="AE5" s="759">
        <v>26</v>
      </c>
    </row>
    <row s="1636" customFormat="1" customHeight="1" ht="16.8">
      <c r="A6" s="1167"/>
      <c r="B6" s="1167"/>
      <c r="C6" s="1167"/>
      <c r="D6" s="1161"/>
      <c r="E6" s="1636"/>
      <c r="F6" s="2250" t="str">
        <f>IF(org=0,"Не определено",org)</f>
        <v>ПАО "ТГК-1" (филиал "Кольский")</v>
      </c>
      <c r="G6" s="2250"/>
      <c r="H6" s="2250"/>
      <c r="I6" s="2250"/>
      <c r="J6" s="2250"/>
      <c r="K6" s="2250"/>
      <c r="M6" s="583"/>
      <c r="AB6" s="1149"/>
      <c r="AE6" s="1632">
        <v>16</v>
      </c>
    </row>
    <row customHeight="1" ht="10.5">
      <c r="AE7" s="759">
        <v>10</v>
      </c>
    </row>
    <row customHeight="1" ht="10.5">
      <c r="A8" s="1052"/>
      <c r="B8" s="1052"/>
      <c r="C8" s="1052"/>
      <c r="F8" s="2102" t="s">
        <v>430</v>
      </c>
      <c r="G8" s="2103"/>
      <c r="H8" s="2103"/>
      <c r="I8" s="2103"/>
      <c r="J8" s="2103"/>
      <c r="K8" s="2103"/>
      <c r="L8" s="2103"/>
      <c r="M8" s="2103"/>
      <c r="N8" s="2103"/>
      <c r="O8" s="2103"/>
      <c r="P8" s="2103"/>
      <c r="Q8" s="2103"/>
      <c r="R8" s="2103"/>
      <c r="S8" s="2103"/>
      <c r="T8" s="2103"/>
      <c r="U8" s="2103"/>
      <c r="V8" s="2103"/>
      <c r="W8" s="2103"/>
      <c r="X8" s="2103"/>
      <c r="Y8" s="2103"/>
      <c r="Z8" s="2103"/>
      <c r="AA8" s="2103"/>
      <c r="AB8" s="2104"/>
      <c r="AE8" s="759">
        <v>10</v>
      </c>
    </row>
    <row customHeight="1" ht="43.050000000000004">
      <c r="A9" s="906"/>
      <c r="B9" s="906"/>
      <c r="C9" s="906"/>
      <c r="F9" s="2128" t="s">
        <v>92</v>
      </c>
      <c r="G9" s="2128" t="s">
        <v>1094</v>
      </c>
      <c r="H9" s="2176" t="s">
        <v>1095</v>
      </c>
      <c r="I9" s="2128" t="s">
        <v>1096</v>
      </c>
      <c r="J9" s="2128" t="s">
        <v>1097</v>
      </c>
      <c r="K9" s="2128" t="s">
        <v>1098</v>
      </c>
      <c r="L9" s="2128" t="s">
        <v>1099</v>
      </c>
      <c r="M9" s="2128" t="s">
        <v>1100</v>
      </c>
      <c r="N9" s="2210" t="s">
        <v>1101</v>
      </c>
      <c r="O9" s="2210"/>
      <c r="P9" s="2210"/>
      <c r="Q9" s="2400" t="s">
        <v>1102</v>
      </c>
      <c r="R9" s="2401"/>
      <c r="S9" s="2401"/>
      <c r="T9" s="2402"/>
      <c r="U9" s="2400" t="s">
        <v>1103</v>
      </c>
      <c r="V9" s="2401"/>
      <c r="W9" s="2401"/>
      <c r="X9" s="2402"/>
      <c r="Y9" s="2102" t="s">
        <v>1104</v>
      </c>
      <c r="Z9" s="2103"/>
      <c r="AA9" s="2103"/>
      <c r="AB9" s="2104"/>
      <c r="AE9" s="759">
        <v>41</v>
      </c>
    </row>
    <row customHeight="1" ht="43.050000000000004">
      <c r="A10" s="906"/>
      <c r="B10" s="906"/>
      <c r="C10" s="906"/>
      <c r="F10" s="2176"/>
      <c r="G10" s="2176"/>
      <c r="H10" s="2233"/>
      <c r="I10" s="2176"/>
      <c r="J10" s="2176"/>
      <c r="K10" s="2176"/>
      <c r="L10" s="2176"/>
      <c r="M10" s="2176"/>
      <c r="N10" s="904" t="s">
        <v>1105</v>
      </c>
      <c r="O10" s="904" t="s">
        <v>1106</v>
      </c>
      <c r="P10" s="905" t="s">
        <v>1107</v>
      </c>
      <c r="Q10" s="916" t="s">
        <v>93</v>
      </c>
      <c r="R10" s="916" t="s">
        <v>1108</v>
      </c>
      <c r="S10" s="916" t="s">
        <v>1109</v>
      </c>
      <c r="T10" s="917" t="s">
        <v>1110</v>
      </c>
      <c r="U10" s="916" t="s">
        <v>93</v>
      </c>
      <c r="V10" s="916" t="s">
        <v>1111</v>
      </c>
      <c r="W10" s="916" t="s">
        <v>1109</v>
      </c>
      <c r="X10" s="917" t="s">
        <v>1110</v>
      </c>
      <c r="Y10" s="302" t="s">
        <v>1112</v>
      </c>
      <c r="Z10" s="2102" t="s">
        <v>92</v>
      </c>
      <c r="AA10" s="2104"/>
      <c r="AB10" s="1050" t="s">
        <v>1113</v>
      </c>
      <c r="AE10" s="759">
        <v>41</v>
      </c>
    </row>
    <row s="1643" customFormat="1" customHeight="1" ht="5.25" hidden="1">
      <c r="A11" s="1053"/>
      <c r="B11" s="1053"/>
      <c r="C11" s="1053"/>
      <c r="E11" s="1051"/>
      <c r="F11" s="2407" t="s">
        <v>506</v>
      </c>
      <c r="G11" s="2404"/>
      <c r="H11" s="2403"/>
      <c r="I11" s="2403"/>
      <c r="J11" s="2403"/>
      <c r="K11" s="2405"/>
      <c r="L11" s="2405"/>
      <c r="M11" s="2405"/>
      <c r="N11" s="2403"/>
      <c r="O11" s="2403"/>
      <c r="P11" s="2128"/>
      <c r="Q11" s="2180"/>
      <c r="R11" s="2180"/>
      <c r="S11" s="2180"/>
      <c r="T11" s="2403"/>
      <c r="U11" s="2180"/>
      <c r="V11" s="2180"/>
      <c r="W11" s="2180"/>
      <c r="X11" s="2403"/>
      <c r="Y11" s="2109"/>
      <c r="Z11" s="2109"/>
      <c r="AA11" s="2109"/>
      <c r="AB11" s="2109"/>
      <c r="AD11" s="512" t="s">
        <v>1114</v>
      </c>
      <c r="AE11" s="512">
        <v>0</v>
      </c>
    </row>
    <row s="1643" customFormat="1" customHeight="1" ht="5.25" hidden="1">
      <c r="A12" s="897"/>
      <c r="B12" s="897"/>
      <c r="C12" s="897"/>
      <c r="E12" s="519"/>
      <c r="F12" s="2407"/>
      <c r="G12" s="2404"/>
      <c r="H12" s="2403"/>
      <c r="I12" s="2403"/>
      <c r="J12" s="2403"/>
      <c r="K12" s="2405"/>
      <c r="L12" s="2405"/>
      <c r="M12" s="2405"/>
      <c r="N12" s="2403"/>
      <c r="O12" s="2403"/>
      <c r="P12" s="2128"/>
      <c r="Q12" s="2180"/>
      <c r="R12" s="2180"/>
      <c r="S12" s="2180"/>
      <c r="T12" s="2403"/>
      <c r="U12" s="2180"/>
      <c r="V12" s="2180"/>
      <c r="W12" s="2180"/>
      <c r="X12" s="2403"/>
      <c r="Y12" s="2406"/>
      <c r="Z12" s="2406"/>
      <c r="AA12" s="2406"/>
      <c r="AB12" s="2406"/>
      <c r="AE12" s="512">
        <v>0</v>
      </c>
    </row>
    <row customHeight="1" ht="10.5">
      <c r="F13" s="903"/>
      <c r="G13" s="651" t="s">
        <v>1115</v>
      </c>
      <c r="H13" s="1169"/>
      <c r="I13" s="573"/>
      <c r="J13" s="573"/>
      <c r="K13" s="573"/>
      <c r="L13" s="573"/>
      <c r="M13" s="573"/>
      <c r="N13" s="573"/>
      <c r="O13" s="573"/>
      <c r="P13" s="573"/>
      <c r="Q13" s="573"/>
      <c r="R13" s="573"/>
      <c r="S13" s="573"/>
      <c r="T13" s="573"/>
      <c r="U13" s="573"/>
      <c r="V13" s="573"/>
      <c r="W13" s="573"/>
      <c r="X13" s="573"/>
      <c r="Y13" s="573"/>
      <c r="Z13" s="697"/>
      <c r="AA13" s="697"/>
      <c r="AB13" s="918"/>
      <c r="AE13" s="759">
        <v>10</v>
      </c>
    </row>
    <row customHeight="1" ht="10.5">
      <c r="AE14" s="759">
        <v>10</v>
      </c>
    </row>
    <row s="1643" customFormat="1" customHeight="1" ht="10.5">
      <c r="A15" s="1168"/>
      <c r="B15" s="1168"/>
      <c r="C15" s="1168"/>
      <c r="E15" s="519"/>
      <c r="H15" s="512">
        <f>_xlfn.IFERROR(MATCH("нет",IP_MAIN_DIFFERENTIATION_EVENTS_FLAG,0),0)</f>
        <v>0</v>
      </c>
      <c r="AE15" s="512">
        <v>10</v>
      </c>
    </row>
    <row customHeight="1" ht="10.5" hidden="1">
      <c r="A16" s="896" t="s">
        <v>86</v>
      </c>
      <c r="B16" s="896">
        <v>0</v>
      </c>
      <c r="C16" s="896">
        <v>0</v>
      </c>
      <c r="D16" s="418">
        <v>0</v>
      </c>
      <c r="E16" s="510">
        <v>3</v>
      </c>
      <c r="F16" s="759">
        <v>6</v>
      </c>
      <c r="G16" s="759">
        <v>37</v>
      </c>
      <c r="H16" s="1156">
        <v>16</v>
      </c>
      <c r="I16" s="759">
        <v>19</v>
      </c>
      <c r="J16" s="759">
        <v>19</v>
      </c>
      <c r="K16" s="759">
        <v>24</v>
      </c>
      <c r="L16" s="759">
        <v>25</v>
      </c>
      <c r="M16" s="759">
        <v>25</v>
      </c>
      <c r="N16" s="759">
        <v>17</v>
      </c>
      <c r="O16" s="759">
        <v>17</v>
      </c>
      <c r="P16" s="759">
        <v>17</v>
      </c>
      <c r="Q16" s="759">
        <v>19</v>
      </c>
      <c r="R16" s="759">
        <v>19</v>
      </c>
      <c r="S16" s="759">
        <v>19</v>
      </c>
      <c r="T16" s="759">
        <v>19</v>
      </c>
      <c r="U16" s="759">
        <v>19</v>
      </c>
      <c r="V16" s="759">
        <v>19</v>
      </c>
      <c r="W16" s="759">
        <v>19</v>
      </c>
      <c r="X16" s="759">
        <v>19</v>
      </c>
      <c r="Y16" s="759">
        <v>7</v>
      </c>
      <c r="Z16" s="759">
        <v>3</v>
      </c>
      <c r="AA16" s="759">
        <v>6</v>
      </c>
      <c r="AB16" s="759">
        <v>34</v>
      </c>
      <c r="AC16" s="759">
        <v>8</v>
      </c>
      <c r="AD16" s="759">
        <v>8</v>
      </c>
      <c r="AE16" s="759">
        <v>10</v>
      </c>
    </row>
  </sheetData>
  <sheetProtection formatColumns="0" formatRows="0" autoFilter="0" sort="0" insertRows="0" insertColumns="1" deleteRows="0" deleteColumns="0"/>
  <mergeCells count="39">
    <mergeCell ref="F5:K5"/>
    <mergeCell ref="N11:N12"/>
    <mergeCell ref="O11:O12"/>
    <mergeCell ref="P11:P12"/>
    <mergeCell ref="Y11:Y12"/>
    <mergeCell ref="N9:P9"/>
    <mergeCell ref="M9:M10"/>
    <mergeCell ref="F9:F10"/>
    <mergeCell ref="G9:G10"/>
    <mergeCell ref="I9:I10"/>
    <mergeCell ref="K9:K10"/>
    <mergeCell ref="L9:L10"/>
    <mergeCell ref="F11:F12"/>
    <mergeCell ref="M11:M12"/>
    <mergeCell ref="L11:L12"/>
    <mergeCell ref="J11:J12"/>
    <mergeCell ref="J9:J10"/>
    <mergeCell ref="K11:K12"/>
    <mergeCell ref="Z11:Z12"/>
    <mergeCell ref="Y9:AB9"/>
    <mergeCell ref="AB11:AB12"/>
    <mergeCell ref="Z10:AA10"/>
    <mergeCell ref="AA11:AA12"/>
    <mergeCell ref="F6:K6"/>
    <mergeCell ref="F8:AB8"/>
    <mergeCell ref="U9:X9"/>
    <mergeCell ref="U11:U12"/>
    <mergeCell ref="V11:V12"/>
    <mergeCell ref="W11:W12"/>
    <mergeCell ref="X11:X12"/>
    <mergeCell ref="Q9:T9"/>
    <mergeCell ref="I11:I12"/>
    <mergeCell ref="G11:G12"/>
    <mergeCell ref="T11:T12"/>
    <mergeCell ref="S11:S12"/>
    <mergeCell ref="H9:H10"/>
    <mergeCell ref="H11:H12"/>
    <mergeCell ref="Q11:Q12"/>
    <mergeCell ref="R11:R12"/>
  </mergeCell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8864078-2128-9733-5618-200DE674D7D6}" mc:Ignorable="x14ac xr xr2 xr3">
  <sheetPr>
    <tabColor theme="9" tint="-0.25"/>
  </sheetPr>
  <dimension ref="A1:BG20"/>
  <sheetViews>
    <sheetView showGridLines="0" zoomScale="90" workbookViewId="0">
      <pane xSplit="8" ySplit="12" topLeftCell="I13" activePane="bottomRight" state="frozen"/>
      <selection pane="bottomLeft" activeCell="A13" sqref="A13"/>
      <selection pane="topRight" activeCell="I1" sqref="I1"/>
      <selection pane="bottomRight" activeCell="A1" sqref="A1"/>
    </sheetView>
  </sheetViews>
  <sheetFormatPr defaultColWidth="9.140625" customHeight="1" defaultRowHeight="10.5"/>
  <cols>
    <col min="1" max="3" style="1167" width="4.140625" hidden="1" customWidth="1"/>
    <col min="4" max="4" style="1367" width="4.140625" hidden="1" customWidth="1"/>
    <col min="5" max="5" style="1636" width="3.00390625" customWidth="1"/>
    <col min="6" max="6" style="1636" width="14.00390625" customWidth="1"/>
    <col min="7" max="7" style="1636" width="3.00390625" customWidth="1"/>
    <col min="8" max="8" style="1636" width="7.00390625" customWidth="1"/>
    <col min="9" max="10" style="1636" width="16.00390625" customWidth="1"/>
    <col min="11" max="11" style="1636" width="25.00390625" customWidth="1"/>
    <col min="12" max="12" style="1636" width="7.00390625" customWidth="1"/>
    <col min="13" max="13" style="1636" width="15.00390625" customWidth="1"/>
    <col min="14" max="14" style="1636" width="3.00390625" customWidth="1"/>
    <col min="15" max="15" style="1636" width="4.00390625" customWidth="1"/>
    <col min="16" max="16" style="1636" width="8.00390625" customWidth="1"/>
    <col min="17" max="17" style="1636" width="21.00390625" customWidth="1"/>
    <col min="18" max="18" style="1636" width="14.00390625" customWidth="1"/>
    <col min="19" max="20" style="1636" width="17.00390625" customWidth="1"/>
    <col min="21" max="21" style="1636" width="9.00390625" customWidth="1"/>
    <col min="22" max="22" style="1636" width="12.00390625" customWidth="1"/>
    <col min="23" max="23" style="1636" width="9.00390625" customWidth="1"/>
    <col min="24" max="24" style="1636" width="21.00390625" customWidth="1"/>
    <col min="25" max="25" style="1636" width="12.00390625" customWidth="1"/>
    <col min="26" max="26" style="1636" width="3.00390625" customWidth="1"/>
    <col min="27" max="27" style="1636" width="6.00390625" customWidth="1"/>
    <col min="28" max="28" style="1636" width="38.00390625" customWidth="1"/>
    <col min="29" max="29" style="1636" width="15.00390625" customWidth="1"/>
    <col min="30" max="30" style="1636" width="37.57421875" hidden="1" customWidth="1"/>
    <col min="31" max="31" style="1636" width="15.7109375" hidden="1" customWidth="1"/>
    <col min="32" max="34" style="1636" width="16.00390625" customWidth="1"/>
    <col min="35" max="37" style="1636" width="16.7109375" hidden="1" customWidth="1"/>
    <col min="38" max="58" style="1636" width="8.00390625" customWidth="1"/>
    <col min="59" max="59" style="1636" width="9.140625" hidden="1"/>
  </cols>
  <sheetData>
    <row s="1367" customFormat="1" customHeight="1" ht="10.5" hidden="1">
      <c r="A1" s="896"/>
      <c r="B1" s="896"/>
      <c r="C1" s="896"/>
      <c r="E1" s="538"/>
      <c r="H1" s="1161"/>
      <c r="L1" s="1129"/>
      <c r="M1" s="1129"/>
      <c r="AD1" s="1129"/>
      <c r="AH1" s="1148"/>
      <c r="AI1" s="1141"/>
      <c r="BG1" s="418" t="s">
        <v>14</v>
      </c>
    </row>
    <row customHeight="1" ht="10.5" hidden="1">
      <c r="BG2" s="759">
        <v>0</v>
      </c>
    </row>
    <row s="1633" customFormat="1" customHeight="1" ht="10.5" hidden="1">
      <c r="A3" s="896"/>
      <c r="B3" s="896"/>
      <c r="C3" s="896"/>
      <c r="D3" s="418"/>
      <c r="E3" s="363"/>
      <c r="H3" s="1157"/>
      <c r="L3" s="1127"/>
      <c r="M3" s="1127"/>
      <c r="AD3" s="1127"/>
      <c r="AH3" s="1146"/>
      <c r="AI3" s="1139"/>
      <c r="BG3" s="760">
        <v>0</v>
      </c>
    </row>
    <row customHeight="1" ht="3">
      <c r="BG4" s="759">
        <v>3</v>
      </c>
    </row>
    <row customHeight="1" ht="27.299999999999997">
      <c r="F5" s="2249" t="str">
        <f>IP_NAME_FORM</f>
        <v>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v>
      </c>
      <c r="G5" s="2249"/>
      <c r="H5" s="2249"/>
      <c r="I5" s="2249"/>
      <c r="J5" s="2249"/>
      <c r="K5" s="2249"/>
      <c r="L5" s="1136"/>
      <c r="M5" s="1136"/>
      <c r="AG5" s="907"/>
      <c r="AH5" s="1149"/>
      <c r="BG5" s="759">
        <v>26</v>
      </c>
    </row>
    <row customHeight="1" ht="10.5">
      <c r="F6" s="2177" t="str">
        <f>IF(org=0,"Не определено",org)</f>
        <v>ПАО "ТГК-1" (филиал "Кольский")</v>
      </c>
      <c r="G6" s="2177"/>
      <c r="H6" s="2177"/>
      <c r="I6" s="2177"/>
      <c r="J6" s="2177"/>
      <c r="K6" s="2177"/>
      <c r="L6" s="1137"/>
      <c r="M6" s="1137"/>
      <c r="BG6" s="759">
        <v>10</v>
      </c>
    </row>
    <row customHeight="1" ht="11.549999999999999">
      <c r="E7" s="909"/>
      <c r="F7" s="920"/>
      <c r="G7" s="920"/>
      <c r="H7" s="1185"/>
      <c r="I7" s="920"/>
      <c r="J7" s="920"/>
      <c r="K7" s="922"/>
      <c r="L7" s="1134"/>
      <c r="M7" s="1134"/>
      <c r="N7" s="920"/>
      <c r="O7" s="920"/>
      <c r="P7" s="920"/>
      <c r="Q7" s="922"/>
      <c r="R7" s="920"/>
      <c r="S7" s="920"/>
      <c r="T7" s="920"/>
      <c r="U7" s="920"/>
      <c r="V7" s="920"/>
      <c r="W7" s="920"/>
      <c r="X7" s="920"/>
      <c r="Y7" s="920"/>
      <c r="Z7" s="920"/>
      <c r="AA7" s="920"/>
      <c r="AB7" s="920"/>
      <c r="AC7" s="921"/>
      <c r="AD7" s="1133"/>
      <c r="AE7" s="921"/>
      <c r="AF7" s="920"/>
      <c r="AG7" s="920"/>
      <c r="AH7" s="1151"/>
      <c r="AI7" s="1144"/>
      <c r="AJ7" s="920"/>
      <c r="AK7" s="920"/>
      <c r="AL7" s="911"/>
      <c r="AM7" s="911"/>
      <c r="AN7" s="911"/>
      <c r="AO7" s="908"/>
      <c r="AP7" s="908"/>
      <c r="AQ7" s="908"/>
      <c r="AR7" s="908"/>
      <c r="AS7" s="908"/>
      <c r="AT7" s="908"/>
      <c r="AU7" s="908"/>
      <c r="AV7" s="908"/>
      <c r="AW7" s="908"/>
      <c r="AX7" s="908"/>
      <c r="AY7" s="908"/>
      <c r="AZ7" s="908"/>
      <c r="BA7" s="908"/>
      <c r="BB7" s="908"/>
      <c r="BC7" s="908"/>
      <c r="BD7" s="908"/>
      <c r="BE7" s="908"/>
      <c r="BF7" s="908"/>
      <c r="BG7" s="759">
        <v>11</v>
      </c>
    </row>
    <row customHeight="1" ht="10.5">
      <c r="E8" s="909"/>
      <c r="F8" s="2416" t="s">
        <v>430</v>
      </c>
      <c r="G8" s="2417"/>
      <c r="H8" s="2417"/>
      <c r="I8" s="2417"/>
      <c r="J8" s="2417"/>
      <c r="K8" s="2417"/>
      <c r="L8" s="2417"/>
      <c r="M8" s="2417"/>
      <c r="N8" s="2417"/>
      <c r="O8" s="2417"/>
      <c r="P8" s="2417"/>
      <c r="Q8" s="2417"/>
      <c r="R8" s="2417"/>
      <c r="S8" s="2417"/>
      <c r="T8" s="2417"/>
      <c r="U8" s="2417"/>
      <c r="V8" s="2417"/>
      <c r="W8" s="2417"/>
      <c r="X8" s="2417"/>
      <c r="Y8" s="2417"/>
      <c r="Z8" s="2417"/>
      <c r="AA8" s="2417"/>
      <c r="AB8" s="2417"/>
      <c r="AC8" s="2417"/>
      <c r="AD8" s="2417"/>
      <c r="AE8" s="2417"/>
      <c r="AF8" s="2417"/>
      <c r="AG8" s="2417"/>
      <c r="AH8" s="2417"/>
      <c r="AI8" s="2417"/>
      <c r="AJ8" s="2417"/>
      <c r="AK8" s="2418"/>
      <c r="AL8" s="910"/>
      <c r="AM8" s="908"/>
      <c r="AN8" s="908"/>
      <c r="AO8" s="908"/>
      <c r="AP8" s="908"/>
      <c r="AQ8" s="908"/>
      <c r="AR8" s="908"/>
      <c r="AS8" s="908"/>
      <c r="AT8" s="908"/>
      <c r="AU8" s="908"/>
      <c r="AV8" s="908"/>
      <c r="AW8" s="908"/>
      <c r="AX8" s="908"/>
      <c r="AY8" s="908"/>
      <c r="AZ8" s="908"/>
      <c r="BA8" s="908"/>
      <c r="BB8" s="908"/>
      <c r="BC8" s="908"/>
      <c r="BD8" s="908"/>
      <c r="BE8" s="908"/>
      <c r="BF8" s="908"/>
      <c r="BG8" s="759">
        <v>10</v>
      </c>
    </row>
    <row customHeight="1" ht="24">
      <c r="A9" s="906"/>
      <c r="B9" s="906"/>
      <c r="C9" s="906"/>
      <c r="E9" s="909"/>
      <c r="F9" s="2409" t="s">
        <v>1116</v>
      </c>
      <c r="G9" s="2410" t="s">
        <v>1117</v>
      </c>
      <c r="H9" s="2411"/>
      <c r="I9" s="2128" t="s">
        <v>1118</v>
      </c>
      <c r="J9" s="2128"/>
      <c r="K9" s="2128" t="s">
        <v>1119</v>
      </c>
      <c r="L9" s="2128"/>
      <c r="M9" s="2128"/>
      <c r="N9" s="2128"/>
      <c r="O9" s="2128"/>
      <c r="P9" s="2128"/>
      <c r="Q9" s="2128"/>
      <c r="R9" s="2128"/>
      <c r="S9" s="2128"/>
      <c r="T9" s="2128"/>
      <c r="U9" s="2128"/>
      <c r="V9" s="2128"/>
      <c r="W9" s="2128"/>
      <c r="X9" s="2128"/>
      <c r="Y9" s="2128"/>
      <c r="Z9" s="2193" t="s">
        <v>1120</v>
      </c>
      <c r="AA9" s="2194"/>
      <c r="AB9" s="2128" t="s">
        <v>1121</v>
      </c>
      <c r="AC9" s="2128"/>
      <c r="AD9" s="2128"/>
      <c r="AE9" s="2128"/>
      <c r="AF9" s="2176" t="s">
        <v>1122</v>
      </c>
      <c r="AG9" s="2128" t="s">
        <v>1123</v>
      </c>
      <c r="AH9" s="2128"/>
      <c r="AI9" s="2176" t="s">
        <v>1124</v>
      </c>
      <c r="AJ9" s="2128" t="s">
        <v>1125</v>
      </c>
      <c r="AK9" s="2128"/>
      <c r="AL9" s="1143"/>
      <c r="AM9" s="908"/>
      <c r="AN9" s="908"/>
      <c r="AO9" s="908"/>
      <c r="AP9" s="908"/>
      <c r="AQ9" s="908"/>
      <c r="AR9" s="908"/>
      <c r="AS9" s="908"/>
      <c r="AT9" s="908"/>
      <c r="AU9" s="908"/>
      <c r="AV9" s="908"/>
      <c r="AW9" s="908"/>
      <c r="AX9" s="908"/>
      <c r="AY9" s="908"/>
      <c r="AZ9" s="908"/>
      <c r="BA9" s="908"/>
      <c r="BB9" s="908"/>
      <c r="BC9" s="908"/>
      <c r="BD9" s="908"/>
      <c r="BE9" s="908"/>
      <c r="BF9" s="908"/>
      <c r="BG9" s="759">
        <v>23</v>
      </c>
    </row>
    <row customHeight="1" ht="25.2">
      <c r="A10" s="906"/>
      <c r="B10" s="906"/>
      <c r="C10" s="906"/>
      <c r="E10" s="913"/>
      <c r="F10" s="2409"/>
      <c r="G10" s="2412"/>
      <c r="H10" s="2413"/>
      <c r="I10" s="2128"/>
      <c r="J10" s="2128"/>
      <c r="K10" s="2128" t="s">
        <v>1126</v>
      </c>
      <c r="L10" s="2102" t="s">
        <v>1127</v>
      </c>
      <c r="M10" s="2104"/>
      <c r="N10" s="2128" t="s">
        <v>1128</v>
      </c>
      <c r="O10" s="2128"/>
      <c r="P10" s="2128"/>
      <c r="Q10" s="2128"/>
      <c r="R10" s="2128"/>
      <c r="S10" s="2128"/>
      <c r="T10" s="2128"/>
      <c r="U10" s="2128"/>
      <c r="V10" s="2128"/>
      <c r="W10" s="2128"/>
      <c r="X10" s="2128"/>
      <c r="Y10" s="2128"/>
      <c r="Z10" s="2195"/>
      <c r="AA10" s="2196"/>
      <c r="AB10" s="2128"/>
      <c r="AC10" s="2128"/>
      <c r="AD10" s="2128"/>
      <c r="AE10" s="2128"/>
      <c r="AF10" s="2200"/>
      <c r="AG10" s="2128"/>
      <c r="AH10" s="2128"/>
      <c r="AI10" s="2200"/>
      <c r="AJ10" s="2128"/>
      <c r="AK10" s="2128"/>
      <c r="AL10" s="1143"/>
      <c r="AM10" s="914"/>
      <c r="AN10" s="914"/>
      <c r="AO10" s="914"/>
      <c r="AP10" s="914"/>
      <c r="AQ10" s="914"/>
      <c r="AR10" s="914"/>
      <c r="AS10" s="914"/>
      <c r="AT10" s="914"/>
      <c r="AU10" s="914"/>
      <c r="AV10" s="914"/>
      <c r="AW10" s="914"/>
      <c r="AX10" s="914"/>
      <c r="AY10" s="914"/>
      <c r="AZ10" s="914"/>
      <c r="BA10" s="914"/>
      <c r="BB10" s="914"/>
      <c r="BC10" s="914"/>
      <c r="BD10" s="914"/>
      <c r="BE10" s="914"/>
      <c r="BF10" s="914"/>
      <c r="BG10" s="759">
        <v>24</v>
      </c>
    </row>
    <row s="1636" customFormat="1" customHeight="1" ht="25.2">
      <c r="A11" s="1130"/>
      <c r="B11" s="1130"/>
      <c r="C11" s="1130"/>
      <c r="D11" s="1129"/>
      <c r="E11" s="1131"/>
      <c r="F11" s="2409"/>
      <c r="G11" s="2412"/>
      <c r="H11" s="2413"/>
      <c r="I11" s="2128"/>
      <c r="J11" s="2128"/>
      <c r="K11" s="2128"/>
      <c r="L11" s="2176" t="s">
        <v>1129</v>
      </c>
      <c r="M11" s="2176" t="s">
        <v>1130</v>
      </c>
      <c r="N11" s="2128" t="s">
        <v>1131</v>
      </c>
      <c r="O11" s="2128"/>
      <c r="P11" s="2419" t="s">
        <v>1112</v>
      </c>
      <c r="Q11" s="2419" t="s">
        <v>1132</v>
      </c>
      <c r="R11" s="2419" t="s">
        <v>1133</v>
      </c>
      <c r="S11" s="2419" t="s">
        <v>1134</v>
      </c>
      <c r="T11" s="2419"/>
      <c r="U11" s="2419"/>
      <c r="V11" s="2419"/>
      <c r="W11" s="2419"/>
      <c r="X11" s="2419"/>
      <c r="Y11" s="2419"/>
      <c r="Z11" s="2195"/>
      <c r="AA11" s="2196"/>
      <c r="AB11" s="2128" t="s">
        <v>1135</v>
      </c>
      <c r="AC11" s="2128"/>
      <c r="AD11" s="2102" t="s">
        <v>1136</v>
      </c>
      <c r="AE11" s="2104"/>
      <c r="AF11" s="2200"/>
      <c r="AG11" s="2128"/>
      <c r="AH11" s="2128"/>
      <c r="AI11" s="2200"/>
      <c r="AJ11" s="2128"/>
      <c r="AK11" s="2128"/>
      <c r="AL11" s="1143"/>
      <c r="AM11" s="1128"/>
      <c r="AN11" s="1128"/>
      <c r="AO11" s="1128"/>
      <c r="AP11" s="1128"/>
      <c r="AQ11" s="1128"/>
      <c r="AR11" s="1128"/>
      <c r="AS11" s="1128"/>
      <c r="AT11" s="1128"/>
      <c r="AU11" s="1128"/>
      <c r="AV11" s="1128"/>
      <c r="AW11" s="1128"/>
      <c r="AX11" s="1128"/>
      <c r="AY11" s="1128"/>
      <c r="AZ11" s="1128"/>
      <c r="BA11" s="1128"/>
      <c r="BB11" s="1128"/>
      <c r="BC11" s="1128"/>
      <c r="BD11" s="1128"/>
      <c r="BE11" s="1128"/>
      <c r="BF11" s="1128"/>
      <c r="BG11" s="1126">
        <v>24</v>
      </c>
    </row>
    <row customHeight="1" ht="35.699999999999996">
      <c r="A12" s="906"/>
      <c r="B12" s="906"/>
      <c r="C12" s="906"/>
      <c r="E12" s="909"/>
      <c r="F12" s="2409"/>
      <c r="G12" s="2414"/>
      <c r="H12" s="2415"/>
      <c r="I12" s="1154" t="s">
        <v>93</v>
      </c>
      <c r="J12" s="1154" t="s">
        <v>1137</v>
      </c>
      <c r="K12" s="2128"/>
      <c r="L12" s="2233"/>
      <c r="M12" s="2233"/>
      <c r="N12" s="2128"/>
      <c r="O12" s="2128"/>
      <c r="P12" s="2419"/>
      <c r="Q12" s="2419"/>
      <c r="R12" s="2419"/>
      <c r="S12" s="1135" t="s">
        <v>90</v>
      </c>
      <c r="T12" s="1135" t="s">
        <v>91</v>
      </c>
      <c r="U12" s="1135" t="s">
        <v>89</v>
      </c>
      <c r="V12" s="1135" t="s">
        <v>1138</v>
      </c>
      <c r="W12" s="1135" t="s">
        <v>89</v>
      </c>
      <c r="X12" s="1135" t="s">
        <v>1139</v>
      </c>
      <c r="Y12" s="1135" t="s">
        <v>1140</v>
      </c>
      <c r="Z12" s="2201"/>
      <c r="AA12" s="2202"/>
      <c r="AB12" s="1142" t="s">
        <v>1141</v>
      </c>
      <c r="AC12" s="1142" t="s">
        <v>1142</v>
      </c>
      <c r="AD12" s="1142" t="s">
        <v>1141</v>
      </c>
      <c r="AE12" s="1142" t="s">
        <v>1142</v>
      </c>
      <c r="AF12" s="2233"/>
      <c r="AG12" s="1155" t="s">
        <v>1143</v>
      </c>
      <c r="AH12" s="1155" t="s">
        <v>1144</v>
      </c>
      <c r="AI12" s="2233"/>
      <c r="AJ12" s="1155" t="s">
        <v>1143</v>
      </c>
      <c r="AK12" s="1155" t="s">
        <v>1144</v>
      </c>
      <c r="AL12" s="1143"/>
      <c r="AM12" s="908"/>
      <c r="AN12" s="908"/>
      <c r="AO12" s="908"/>
      <c r="AP12" s="908"/>
      <c r="AQ12" s="908"/>
      <c r="AR12" s="908"/>
      <c r="AS12" s="908"/>
      <c r="AT12" s="908"/>
      <c r="AU12" s="908"/>
      <c r="AV12" s="908"/>
      <c r="AW12" s="908"/>
      <c r="AX12" s="908"/>
      <c r="AY12" s="908"/>
      <c r="AZ12" s="908"/>
      <c r="BA12" s="908"/>
      <c r="BB12" s="908"/>
      <c r="BC12" s="908"/>
      <c r="BD12" s="908"/>
      <c r="BE12" s="908"/>
      <c r="BF12" s="908"/>
      <c r="BG12" s="759">
        <v>34</v>
      </c>
    </row>
    <row customHeight="1" ht="1.05">
      <c r="E13" s="909"/>
      <c r="F13" s="1125">
        <v>0</v>
      </c>
      <c r="G13" s="1125"/>
      <c r="H13" s="1125"/>
      <c r="I13" s="1125"/>
      <c r="J13" s="1125"/>
      <c r="K13" s="1132"/>
      <c r="L13" s="1132"/>
      <c r="M13" s="1132"/>
      <c r="N13" s="1132"/>
      <c r="O13" s="1132"/>
      <c r="P13" s="1132"/>
      <c r="Q13" s="1132"/>
      <c r="R13" s="1132"/>
      <c r="S13" s="1132"/>
      <c r="T13" s="1132"/>
      <c r="U13" s="1132"/>
      <c r="V13" s="1132"/>
      <c r="W13" s="1132"/>
      <c r="X13" s="1132"/>
      <c r="Y13" s="1132"/>
      <c r="Z13" s="1132"/>
      <c r="AA13" s="1132"/>
      <c r="AB13" s="1132"/>
      <c r="AC13" s="1132"/>
      <c r="AD13" s="1132"/>
      <c r="AE13" s="1132"/>
      <c r="AF13" s="1132"/>
      <c r="AG13" s="1132"/>
      <c r="AH13" s="1150"/>
      <c r="AI13" s="1143"/>
      <c r="AJ13" s="1132"/>
      <c r="AK13" s="1132"/>
      <c r="AL13" s="910"/>
      <c r="AM13" s="908"/>
      <c r="AN13" s="908"/>
      <c r="AO13" s="908"/>
      <c r="AP13" s="908"/>
      <c r="AQ13" s="908"/>
      <c r="AR13" s="908"/>
      <c r="AS13" s="908"/>
      <c r="AT13" s="908"/>
      <c r="AU13" s="908"/>
      <c r="AV13" s="908"/>
      <c r="AW13" s="908"/>
      <c r="AX13" s="908"/>
      <c r="AY13" s="908"/>
      <c r="AZ13" s="908"/>
      <c r="BA13" s="908"/>
      <c r="BB13" s="908"/>
      <c r="BC13" s="908"/>
      <c r="BD13" s="908"/>
      <c r="BE13" s="908"/>
      <c r="BF13" s="908"/>
      <c r="BG13" s="759">
        <v>1</v>
      </c>
    </row>
    <row customHeight="1" ht="10.5">
      <c r="E14" s="908"/>
      <c r="F14" s="919"/>
      <c r="G14" s="919"/>
      <c r="H14" s="1173"/>
      <c r="I14" s="919"/>
      <c r="J14" s="919"/>
      <c r="K14" s="919"/>
      <c r="L14" s="1132"/>
      <c r="M14" s="1132"/>
      <c r="N14" s="919"/>
      <c r="O14" s="919"/>
      <c r="P14" s="919"/>
      <c r="Q14" s="919"/>
      <c r="R14" s="919"/>
      <c r="S14" s="919"/>
      <c r="T14" s="919"/>
      <c r="U14" s="919"/>
      <c r="V14" s="919"/>
      <c r="W14" s="919"/>
      <c r="X14" s="919"/>
      <c r="Y14" s="919"/>
      <c r="Z14" s="919"/>
      <c r="AA14" s="919"/>
      <c r="AB14" s="919"/>
      <c r="AC14" s="919"/>
      <c r="AD14" s="1132"/>
      <c r="AE14" s="919"/>
      <c r="AF14" s="919"/>
      <c r="AG14" s="919"/>
      <c r="AH14" s="1150"/>
      <c r="AI14" s="1143"/>
      <c r="AJ14" s="919"/>
      <c r="AK14" s="919"/>
      <c r="AL14" s="908"/>
      <c r="AM14" s="908"/>
      <c r="AN14" s="908"/>
      <c r="AO14" s="908"/>
      <c r="AP14" s="908"/>
      <c r="AQ14" s="908"/>
      <c r="AR14" s="908"/>
      <c r="AS14" s="908"/>
      <c r="AT14" s="908"/>
      <c r="AU14" s="908"/>
      <c r="AV14" s="908"/>
      <c r="AW14" s="908"/>
      <c r="AX14" s="908"/>
      <c r="AY14" s="908"/>
      <c r="AZ14" s="908"/>
      <c r="BA14" s="908"/>
      <c r="BB14" s="908"/>
      <c r="BC14" s="908"/>
      <c r="BD14" s="908"/>
      <c r="BE14" s="908"/>
      <c r="BF14" s="908"/>
      <c r="BG14" s="759">
        <v>10</v>
      </c>
    </row>
    <row customHeight="1" ht="13.5">
      <c r="E15" s="908"/>
      <c r="F15" s="915" t="s">
        <v>1145</v>
      </c>
      <c r="G15" s="915"/>
      <c r="H15" s="1172"/>
      <c r="I15" s="915"/>
      <c r="J15" s="915"/>
      <c r="K15" s="912"/>
      <c r="L15" s="1128"/>
      <c r="M15" s="1128"/>
      <c r="N15" s="914"/>
      <c r="O15" s="914"/>
      <c r="P15" s="914"/>
      <c r="Q15" s="914"/>
      <c r="R15" s="914"/>
      <c r="S15" s="914"/>
      <c r="T15" s="914"/>
      <c r="U15" s="914"/>
      <c r="V15" s="914"/>
      <c r="W15" s="914"/>
      <c r="X15" s="914"/>
      <c r="Y15" s="914"/>
      <c r="Z15" s="912"/>
      <c r="AA15" s="912"/>
      <c r="AB15" s="912"/>
      <c r="AC15" s="912"/>
      <c r="AD15" s="1128"/>
      <c r="AE15" s="912"/>
      <c r="AF15" s="912"/>
      <c r="AG15" s="912"/>
      <c r="AH15" s="1147"/>
      <c r="AI15" s="1140"/>
      <c r="AJ15" s="912"/>
      <c r="AK15" s="912"/>
      <c r="AL15" s="908"/>
      <c r="AM15" s="908"/>
      <c r="AN15" s="908"/>
      <c r="AO15" s="908"/>
      <c r="AP15" s="908"/>
      <c r="AQ15" s="908"/>
      <c r="AR15" s="908"/>
      <c r="AS15" s="908"/>
      <c r="AT15" s="908"/>
      <c r="AU15" s="908"/>
      <c r="AV15" s="908"/>
      <c r="AW15" s="908"/>
      <c r="AX15" s="908"/>
      <c r="AY15" s="908"/>
      <c r="AZ15" s="908"/>
      <c r="BA15" s="908"/>
      <c r="BB15" s="908"/>
      <c r="BC15" s="908"/>
      <c r="BD15" s="908"/>
      <c r="BE15" s="908"/>
      <c r="BF15" s="908"/>
      <c r="BG15" s="759">
        <v>13</v>
      </c>
    </row>
    <row customHeight="1" ht="10.5">
      <c r="BG16" s="759">
        <v>10</v>
      </c>
    </row>
    <row customHeight="1" ht="10.5">
      <c r="E17" s="908"/>
      <c r="F17" s="2408"/>
      <c r="G17" s="2408"/>
      <c r="H17" s="2408"/>
      <c r="I17" s="2408"/>
      <c r="J17" s="2408"/>
      <c r="K17" s="912"/>
      <c r="L17" s="1128"/>
      <c r="M17" s="1128"/>
      <c r="N17" s="914"/>
      <c r="O17" s="914"/>
      <c r="P17" s="914"/>
      <c r="Q17" s="914"/>
      <c r="R17" s="914"/>
      <c r="S17" s="914"/>
      <c r="T17" s="914"/>
      <c r="U17" s="914"/>
      <c r="V17" s="914"/>
      <c r="W17" s="914"/>
      <c r="X17" s="914"/>
      <c r="Y17" s="914"/>
      <c r="Z17" s="912"/>
      <c r="AA17" s="912"/>
      <c r="AB17" s="912"/>
      <c r="AC17" s="912"/>
      <c r="AD17" s="1128"/>
      <c r="AE17" s="912"/>
      <c r="AF17" s="912"/>
      <c r="AG17" s="912"/>
      <c r="AH17" s="1147"/>
      <c r="AI17" s="1140"/>
      <c r="AJ17" s="912"/>
      <c r="AK17" s="912"/>
      <c r="AL17" s="908"/>
      <c r="AM17" s="908"/>
      <c r="AN17" s="908"/>
      <c r="AO17" s="908"/>
      <c r="AP17" s="908"/>
      <c r="AQ17" s="908"/>
      <c r="AR17" s="908"/>
      <c r="AS17" s="908"/>
      <c r="AT17" s="908"/>
      <c r="AU17" s="908"/>
      <c r="AV17" s="908"/>
      <c r="AW17" s="908"/>
      <c r="AX17" s="908"/>
      <c r="AY17" s="908"/>
      <c r="AZ17" s="908"/>
      <c r="BA17" s="908"/>
      <c r="BB17" s="908"/>
      <c r="BC17" s="908"/>
      <c r="BD17" s="908"/>
      <c r="BE17" s="908"/>
      <c r="BF17" s="908"/>
      <c r="BG17" s="759">
        <v>10</v>
      </c>
    </row>
    <row customHeight="1" ht="10.5">
      <c r="E18" s="908"/>
      <c r="F18" s="2408"/>
      <c r="G18" s="2408"/>
      <c r="H18" s="2408"/>
      <c r="I18" s="2408"/>
      <c r="J18" s="2408"/>
      <c r="K18" s="912"/>
      <c r="L18" s="1128"/>
      <c r="M18" s="1128"/>
      <c r="N18" s="914"/>
      <c r="O18" s="914"/>
      <c r="P18" s="914"/>
      <c r="Q18" s="914"/>
      <c r="R18" s="914"/>
      <c r="S18" s="914"/>
      <c r="T18" s="914"/>
      <c r="U18" s="914"/>
      <c r="V18" s="914"/>
      <c r="W18" s="914"/>
      <c r="X18" s="914"/>
      <c r="Y18" s="914"/>
      <c r="Z18" s="912"/>
      <c r="AA18" s="912"/>
      <c r="AB18" s="912"/>
      <c r="AC18" s="912"/>
      <c r="AD18" s="1128"/>
      <c r="AE18" s="912"/>
      <c r="AF18" s="912"/>
      <c r="AG18" s="912"/>
      <c r="AH18" s="1147"/>
      <c r="AI18" s="1140"/>
      <c r="AJ18" s="912"/>
      <c r="AK18" s="912"/>
      <c r="AL18" s="908"/>
      <c r="AM18" s="908"/>
      <c r="AN18" s="908"/>
      <c r="AO18" s="908"/>
      <c r="AP18" s="908"/>
      <c r="AQ18" s="908"/>
      <c r="AR18" s="908"/>
      <c r="AS18" s="908"/>
      <c r="AT18" s="908"/>
      <c r="AU18" s="908"/>
      <c r="AV18" s="908"/>
      <c r="AW18" s="908"/>
      <c r="AX18" s="908"/>
      <c r="AY18" s="908"/>
      <c r="AZ18" s="908"/>
      <c r="BA18" s="908"/>
      <c r="BB18" s="908"/>
      <c r="BC18" s="908"/>
      <c r="BD18" s="908"/>
      <c r="BE18" s="908"/>
      <c r="BF18" s="908"/>
      <c r="BG18" s="759">
        <v>10</v>
      </c>
    </row>
    <row customHeight="1" ht="10.5">
      <c r="E19" s="908"/>
      <c r="F19" s="2408"/>
      <c r="G19" s="2408"/>
      <c r="H19" s="2408"/>
      <c r="I19" s="2408"/>
      <c r="J19" s="2408"/>
      <c r="K19" s="912"/>
      <c r="L19" s="1128"/>
      <c r="M19" s="1128"/>
      <c r="N19" s="914"/>
      <c r="O19" s="914"/>
      <c r="P19" s="914"/>
      <c r="Q19" s="914"/>
      <c r="R19" s="914"/>
      <c r="S19" s="914"/>
      <c r="T19" s="914"/>
      <c r="U19" s="914"/>
      <c r="V19" s="914"/>
      <c r="W19" s="914"/>
      <c r="X19" s="914"/>
      <c r="Y19" s="914"/>
      <c r="Z19" s="912"/>
      <c r="AA19" s="912"/>
      <c r="AB19" s="912"/>
      <c r="AC19" s="912"/>
      <c r="AD19" s="1128"/>
      <c r="AE19" s="912"/>
      <c r="AF19" s="912"/>
      <c r="AG19" s="912"/>
      <c r="AH19" s="1147"/>
      <c r="AI19" s="1140"/>
      <c r="AJ19" s="912"/>
      <c r="AK19" s="912"/>
      <c r="AL19" s="908"/>
      <c r="AM19" s="908"/>
      <c r="AN19" s="908"/>
      <c r="AO19" s="908"/>
      <c r="AP19" s="908"/>
      <c r="AQ19" s="908"/>
      <c r="AR19" s="908"/>
      <c r="AS19" s="908"/>
      <c r="AT19" s="908"/>
      <c r="AU19" s="908"/>
      <c r="AV19" s="908"/>
      <c r="AW19" s="908"/>
      <c r="AX19" s="908"/>
      <c r="AY19" s="908"/>
      <c r="AZ19" s="908"/>
      <c r="BA19" s="908"/>
      <c r="BB19" s="908"/>
      <c r="BC19" s="908"/>
      <c r="BD19" s="908"/>
      <c r="BE19" s="908"/>
      <c r="BF19" s="908"/>
      <c r="BG19" s="759">
        <v>10</v>
      </c>
    </row>
    <row customHeight="1" ht="10.5" hidden="1">
      <c r="A20" s="896" t="s">
        <v>86</v>
      </c>
      <c r="B20" s="896">
        <v>0</v>
      </c>
      <c r="C20" s="896">
        <v>0</v>
      </c>
      <c r="D20" s="418">
        <v>0</v>
      </c>
      <c r="E20" s="510">
        <v>3</v>
      </c>
      <c r="F20" s="759">
        <v>14</v>
      </c>
      <c r="G20" s="759">
        <v>3</v>
      </c>
      <c r="H20" s="1156">
        <v>7</v>
      </c>
      <c r="I20" s="759">
        <v>16</v>
      </c>
      <c r="J20" s="759">
        <v>16</v>
      </c>
      <c r="K20" s="759">
        <v>25</v>
      </c>
      <c r="L20" s="1126">
        <v>7</v>
      </c>
      <c r="M20" s="1126">
        <v>15</v>
      </c>
      <c r="N20" s="759">
        <v>3</v>
      </c>
      <c r="O20" s="759">
        <v>4</v>
      </c>
      <c r="P20" s="759">
        <v>8</v>
      </c>
      <c r="Q20" s="759">
        <v>21</v>
      </c>
      <c r="R20" s="759">
        <v>14</v>
      </c>
      <c r="S20" s="759">
        <v>17</v>
      </c>
      <c r="T20" s="759">
        <v>17</v>
      </c>
      <c r="U20" s="759">
        <v>9</v>
      </c>
      <c r="V20" s="759">
        <v>12</v>
      </c>
      <c r="W20" s="759">
        <v>9</v>
      </c>
      <c r="X20" s="759">
        <v>21</v>
      </c>
      <c r="Y20" s="759">
        <v>12</v>
      </c>
      <c r="Z20" s="759">
        <v>3</v>
      </c>
      <c r="AA20" s="759">
        <v>6</v>
      </c>
      <c r="AB20" s="759">
        <v>38</v>
      </c>
      <c r="AC20" s="759">
        <v>15</v>
      </c>
      <c r="AD20" s="1126">
        <v>0</v>
      </c>
      <c r="AE20" s="759">
        <v>0</v>
      </c>
      <c r="AF20" s="759">
        <v>16</v>
      </c>
      <c r="AG20" s="759">
        <v>16</v>
      </c>
      <c r="AH20" s="1145">
        <v>16</v>
      </c>
      <c r="AI20" s="1138">
        <v>0</v>
      </c>
      <c r="AJ20" s="759">
        <v>0</v>
      </c>
      <c r="AK20" s="759">
        <v>0</v>
      </c>
      <c r="AL20" s="759">
        <v>8</v>
      </c>
      <c r="AM20" s="759">
        <v>8</v>
      </c>
      <c r="AN20" s="759">
        <v>8</v>
      </c>
      <c r="AO20" s="759">
        <v>8</v>
      </c>
      <c r="AP20" s="759">
        <v>8</v>
      </c>
      <c r="AQ20" s="759">
        <v>8</v>
      </c>
      <c r="AR20" s="759">
        <v>8</v>
      </c>
      <c r="AS20" s="759">
        <v>8</v>
      </c>
      <c r="AT20" s="759">
        <v>8</v>
      </c>
      <c r="AU20" s="759">
        <v>8</v>
      </c>
      <c r="AV20" s="759">
        <v>8</v>
      </c>
      <c r="AW20" s="759">
        <v>8</v>
      </c>
      <c r="AX20" s="759">
        <v>8</v>
      </c>
      <c r="AY20" s="759">
        <v>8</v>
      </c>
      <c r="AZ20" s="759">
        <v>8</v>
      </c>
      <c r="BA20" s="759">
        <v>8</v>
      </c>
      <c r="BB20" s="759">
        <v>8</v>
      </c>
      <c r="BC20" s="759">
        <v>8</v>
      </c>
      <c r="BD20" s="759">
        <v>8</v>
      </c>
      <c r="BE20" s="759">
        <v>8</v>
      </c>
      <c r="BF20" s="759">
        <v>8</v>
      </c>
      <c r="BG20" s="759">
        <v>10</v>
      </c>
    </row>
  </sheetData>
  <sheetProtection formatColumns="0" formatRows="0" autoFilter="0" sort="0" insertRows="0" insertColumns="1" deleteRows="0" deleteColumns="0"/>
  <mergeCells count="28">
    <mergeCell ref="AB9:AE10"/>
    <mergeCell ref="S11:Y11"/>
    <mergeCell ref="N10:Y10"/>
    <mergeCell ref="K9:Y9"/>
    <mergeCell ref="N11:O12"/>
    <mergeCell ref="P11:P12"/>
    <mergeCell ref="Q11:Q12"/>
    <mergeCell ref="F19:J19"/>
    <mergeCell ref="F9:F12"/>
    <mergeCell ref="G9:H12"/>
    <mergeCell ref="F6:K6"/>
    <mergeCell ref="F8:AK8"/>
    <mergeCell ref="R11:R12"/>
    <mergeCell ref="L10:M10"/>
    <mergeCell ref="Z9:AA12"/>
    <mergeCell ref="M11:M12"/>
    <mergeCell ref="L11:L12"/>
    <mergeCell ref="AB11:AC11"/>
    <mergeCell ref="AD11:AE11"/>
    <mergeCell ref="AI9:AI12"/>
    <mergeCell ref="AG9:AH11"/>
    <mergeCell ref="AJ9:AK11"/>
    <mergeCell ref="AF9:AF12"/>
    <mergeCell ref="I9:J11"/>
    <mergeCell ref="K10:K12"/>
    <mergeCell ref="F18:J18"/>
    <mergeCell ref="F17:J17"/>
    <mergeCell ref="F5:K5"/>
  </mergeCell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CCE5EE5-0078-0BD8-F1C8-C53E121DC628}" mc:Ignorable="x14ac xr xr2 xr3">
  <sheetPr>
    <tabColor theme="9" tint="-0.25"/>
  </sheetPr>
  <dimension ref="A1:W59"/>
  <sheetViews>
    <sheetView showGridLines="0" zoomScale="85" workbookViewId="0">
      <pane xSplit="9" ySplit="13" topLeftCell="J14" activePane="bottomRight" state="frozen"/>
      <selection pane="bottomLeft" activeCell="A14" sqref="A14"/>
      <selection pane="topRight" activeCell="J1" sqref="J1"/>
      <selection pane="bottomRight" activeCell="A1" sqref="A1"/>
    </sheetView>
  </sheetViews>
  <sheetFormatPr defaultColWidth="9.140625" customHeight="1" defaultRowHeight="10.5"/>
  <cols>
    <col min="1" max="3" style="1167" width="4.140625" hidden="1" customWidth="1"/>
    <col min="4" max="4" style="1367" width="4.140625" hidden="1" customWidth="1"/>
    <col min="5" max="5" style="1636" width="3.00390625" customWidth="1"/>
    <col min="6" max="6" style="1636" width="6.00390625" customWidth="1"/>
    <col min="7" max="7" style="1636" width="60.00390625" customWidth="1"/>
    <col min="8" max="9" style="1636" width="21.7109375" hidden="1" customWidth="1"/>
    <col min="10" max="10" style="1636" width="0.140625" customWidth="1"/>
    <col min="11" max="11" style="1636" width="1.00390625" customWidth="1"/>
    <col min="12" max="22" style="1636" width="8.00390625" customWidth="1"/>
    <col min="23" max="23" style="1636" width="9.140625" hidden="1"/>
  </cols>
  <sheetData>
    <row s="1367" customFormat="1" customHeight="1" ht="10.5" hidden="1">
      <c r="A1" s="1167"/>
      <c r="B1" s="1167"/>
      <c r="C1" s="1167"/>
      <c r="E1" s="538"/>
      <c r="W1" s="1161" t="s">
        <v>14</v>
      </c>
    </row>
    <row customHeight="1" ht="10.5" hidden="1">
      <c r="W2" s="1156">
        <v>0</v>
      </c>
    </row>
    <row s="1633" customFormat="1" customHeight="1" ht="10.5" hidden="1">
      <c r="A3" s="1167"/>
      <c r="B3" s="1167"/>
      <c r="C3" s="1167"/>
      <c r="D3" s="1161"/>
      <c r="E3" s="363"/>
      <c r="W3" s="1157">
        <v>0</v>
      </c>
    </row>
    <row customHeight="1" ht="3">
      <c r="W4" s="1156">
        <v>3</v>
      </c>
    </row>
    <row customHeight="1" ht="27.299999999999997">
      <c r="F5" s="2249" t="str">
        <f>IP_NAME_FORM&amp;"
Финансовый план"</f>
        <v>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Финансовый план</v>
      </c>
      <c r="G5" s="2249"/>
      <c r="H5" s="2249"/>
      <c r="I5" s="2249"/>
      <c r="J5" s="2249"/>
      <c r="W5" s="1156">
        <v>26</v>
      </c>
    </row>
    <row customHeight="1" ht="10.5">
      <c r="F6" s="2177" t="str">
        <f>IF(org=0,"Не определено",org)</f>
        <v>ПАО "ТГК-1" (филиал "Кольский")</v>
      </c>
      <c r="G6" s="2177"/>
      <c r="H6" s="2177"/>
      <c r="I6" s="2177"/>
      <c r="J6" s="2177"/>
      <c r="W6" s="1156">
        <v>10</v>
      </c>
    </row>
    <row customHeight="1" ht="11.549999999999999">
      <c r="E7" s="1171"/>
      <c r="F7" s="1228"/>
      <c r="G7" s="1228"/>
      <c r="H7" s="1228"/>
      <c r="I7" s="1228"/>
      <c r="J7" s="1228"/>
      <c r="K7" s="1158"/>
      <c r="L7" s="1158"/>
      <c r="M7" s="1158"/>
      <c r="N7" s="1158"/>
      <c r="O7" s="1158"/>
      <c r="P7" s="1158"/>
      <c r="Q7" s="1158"/>
      <c r="R7" s="1158"/>
      <c r="S7" s="1158"/>
      <c r="T7" s="1158"/>
      <c r="U7" s="1158"/>
      <c r="V7" s="1158"/>
      <c r="W7" s="1156">
        <v>11</v>
      </c>
    </row>
    <row s="1643" customFormat="1" customHeight="1" ht="4.2">
      <c r="A8" s="1168"/>
      <c r="B8" s="1168"/>
      <c r="C8" s="1168"/>
      <c r="E8" s="1229"/>
      <c r="F8" s="1230"/>
      <c r="G8" s="1230"/>
      <c r="H8" s="1230"/>
      <c r="I8" s="1230"/>
      <c r="J8" s="1230"/>
      <c r="K8" s="1229"/>
      <c r="L8" s="1229"/>
      <c r="M8" s="1229"/>
      <c r="N8" s="1229"/>
      <c r="O8" s="1229"/>
      <c r="P8" s="1229"/>
      <c r="Q8" s="1229"/>
      <c r="R8" s="1229"/>
      <c r="S8" s="1229"/>
      <c r="T8" s="1229"/>
      <c r="U8" s="1229"/>
      <c r="V8" s="1229"/>
      <c r="W8" s="512">
        <v>4</v>
      </c>
    </row>
    <row customHeight="1" ht="10.5">
      <c r="E9" s="1171"/>
      <c r="F9" s="2420" t="s">
        <v>430</v>
      </c>
      <c r="G9" s="2421"/>
      <c r="H9" s="2421"/>
      <c r="I9" s="2421"/>
      <c r="J9" s="2421"/>
      <c r="K9" s="1241"/>
      <c r="L9" s="1158"/>
      <c r="M9" s="1158"/>
      <c r="N9" s="1158"/>
      <c r="O9" s="1158"/>
      <c r="P9" s="1158"/>
      <c r="Q9" s="1158"/>
      <c r="R9" s="1158"/>
      <c r="S9" s="1158"/>
      <c r="T9" s="1158"/>
      <c r="U9" s="1158"/>
      <c r="V9" s="1158"/>
      <c r="W9" s="1156">
        <v>10</v>
      </c>
    </row>
    <row customHeight="1" ht="25.2">
      <c r="E10" s="1158"/>
      <c r="F10" s="2424" t="s">
        <v>92</v>
      </c>
      <c r="G10" s="2429" t="s">
        <v>1146</v>
      </c>
      <c r="H10" s="2427" t="s">
        <v>1147</v>
      </c>
      <c r="I10" s="2427"/>
      <c r="J10" s="2427"/>
      <c r="K10" s="1234"/>
      <c r="L10" s="1158"/>
      <c r="M10" s="1158"/>
      <c r="N10" s="1158"/>
      <c r="O10" s="1158"/>
      <c r="P10" s="1158"/>
      <c r="Q10" s="1158"/>
      <c r="R10" s="1158"/>
      <c r="S10" s="1158"/>
      <c r="T10" s="1158"/>
      <c r="U10" s="1158"/>
      <c r="V10" s="1158"/>
      <c r="W10" s="1156">
        <v>24</v>
      </c>
    </row>
    <row customHeight="1" ht="25.5">
      <c r="E11" s="1158"/>
      <c r="F11" s="2425"/>
      <c r="G11" s="2429"/>
      <c r="H11" s="2428">
        <f>INDEX(IP_MAIN_LIST_NAME_IP,MATCH(H8,IP_MAIN_LIST_IP_ID,0))&amp;" ("&amp;INDEX(IP_MAIN_START_DATE,MATCH(H8,IP_MAIN_LIST_IP_ID,0))&amp;"-"&amp;INDEX(IP_MAIN_END_DATE,MATCH(H8,IP_MAIN_LIST_IP_ID,0))&amp;")"</f>
      </c>
      <c r="I11" s="2428"/>
      <c r="J11" s="2428"/>
      <c r="K11" s="1234"/>
      <c r="L11" s="1158"/>
      <c r="M11" s="1158"/>
      <c r="N11" s="1158"/>
      <c r="O11" s="1158"/>
      <c r="P11" s="1158"/>
      <c r="Q11" s="1158"/>
      <c r="R11" s="1158"/>
      <c r="S11" s="1158"/>
      <c r="T11" s="1158"/>
      <c r="U11" s="1158"/>
      <c r="V11" s="1158"/>
      <c r="W11" s="1156">
        <v>24</v>
      </c>
    </row>
    <row customHeight="1" ht="10.5">
      <c r="F12" s="2426"/>
      <c r="G12" s="2429"/>
      <c r="H12" s="1227" t="s">
        <v>1148</v>
      </c>
      <c r="I12" s="1233"/>
      <c r="J12" s="1227"/>
      <c r="K12" s="1235"/>
      <c r="W12" s="1156">
        <v>10</v>
      </c>
    </row>
    <row customHeight="1" ht="10.5" hidden="1">
      <c r="F13" s="1227">
        <v>1</v>
      </c>
      <c r="G13" s="1227">
        <v>2</v>
      </c>
      <c r="H13" s="1227">
        <v>3</v>
      </c>
      <c r="I13" s="1227">
        <v>4</v>
      </c>
      <c r="J13" s="1227">
        <v>5</v>
      </c>
      <c r="K13" s="1235"/>
      <c r="W13" s="1156">
        <v>0</v>
      </c>
    </row>
    <row customHeight="1" ht="11.549999999999999">
      <c r="F14" s="1226" t="s">
        <v>1149</v>
      </c>
      <c r="G14" s="2422" t="s">
        <v>1150</v>
      </c>
      <c r="H14" s="2422"/>
      <c r="I14" s="2422"/>
      <c r="J14" s="2422"/>
      <c r="K14" s="1235"/>
      <c r="W14" s="1156">
        <v>11</v>
      </c>
    </row>
    <row customHeight="1" ht="11.549999999999999">
      <c r="F15" s="1231">
        <v>1</v>
      </c>
      <c r="G15" s="691" t="s">
        <v>1151</v>
      </c>
      <c r="H15" s="1237">
        <f>SUM(I15:J15)</f>
        <v>0</v>
      </c>
      <c r="I15" s="1237">
        <f>SUM(I16:I27)</f>
        <v>0</v>
      </c>
      <c r="J15" s="1226"/>
      <c r="K15" s="1235"/>
      <c r="W15" s="1156">
        <v>11</v>
      </c>
    </row>
    <row customHeight="1" ht="24">
      <c r="F16" s="1231" t="s">
        <v>1152</v>
      </c>
      <c r="G16" s="1238" t="s">
        <v>1153</v>
      </c>
      <c r="H16" s="1237">
        <f>SUM(I16:J16)</f>
        <v>0</v>
      </c>
      <c r="I16" s="1236"/>
      <c r="J16" s="1226"/>
      <c r="K16" s="1235"/>
      <c r="W16" s="1156">
        <v>23</v>
      </c>
    </row>
    <row customHeight="1" ht="24">
      <c r="F17" s="1231" t="s">
        <v>1154</v>
      </c>
      <c r="G17" s="1238" t="s">
        <v>1155</v>
      </c>
      <c r="H17" s="1237">
        <f>SUM(I17:J17)</f>
        <v>0</v>
      </c>
      <c r="I17" s="1236"/>
      <c r="J17" s="1226"/>
      <c r="K17" s="1235"/>
      <c r="W17" s="1156">
        <v>23</v>
      </c>
    </row>
    <row customHeight="1" ht="35.699999999999996">
      <c r="F18" s="1231" t="s">
        <v>1156</v>
      </c>
      <c r="G18" s="1238" t="s">
        <v>1157</v>
      </c>
      <c r="H18" s="1237">
        <f>SUM(I18:J18)</f>
        <v>0</v>
      </c>
      <c r="I18" s="1236"/>
      <c r="J18" s="1226"/>
      <c r="K18" s="1235"/>
      <c r="W18" s="1156">
        <v>34</v>
      </c>
    </row>
    <row customHeight="1" ht="35.699999999999996">
      <c r="F19" s="1231" t="s">
        <v>1158</v>
      </c>
      <c r="G19" s="1238" t="s">
        <v>1159</v>
      </c>
      <c r="H19" s="1237">
        <f>SUM(I19:J19)</f>
        <v>0</v>
      </c>
      <c r="I19" s="1236"/>
      <c r="J19" s="1226"/>
      <c r="K19" s="1235"/>
      <c r="W19" s="1156">
        <v>34</v>
      </c>
    </row>
    <row customHeight="1" ht="48.29999999999999">
      <c r="F20" s="1231" t="s">
        <v>1160</v>
      </c>
      <c r="G20" s="1238" t="s">
        <v>1161</v>
      </c>
      <c r="H20" s="1237">
        <f>SUM(I20:J20)</f>
        <v>0</v>
      </c>
      <c r="I20" s="1236"/>
      <c r="J20" s="1226"/>
      <c r="K20" s="1235"/>
      <c r="W20" s="1156">
        <v>46</v>
      </c>
    </row>
    <row customHeight="1" ht="35.699999999999996">
      <c r="F21" s="1231" t="s">
        <v>1162</v>
      </c>
      <c r="G21" s="1238" t="s">
        <v>1163</v>
      </c>
      <c r="H21" s="1237">
        <f>SUM(I21:J21)</f>
        <v>0</v>
      </c>
      <c r="I21" s="1236"/>
      <c r="J21" s="1226"/>
      <c r="K21" s="1235"/>
      <c r="W21" s="1156">
        <v>34</v>
      </c>
    </row>
    <row customHeight="1" ht="35.699999999999996">
      <c r="F22" s="1231" t="s">
        <v>1164</v>
      </c>
      <c r="G22" s="1238" t="s">
        <v>1165</v>
      </c>
      <c r="H22" s="1237">
        <f>SUM(I22:J22)</f>
        <v>0</v>
      </c>
      <c r="I22" s="1236"/>
      <c r="J22" s="1226"/>
      <c r="K22" s="1235"/>
      <c r="W22" s="1156">
        <v>34</v>
      </c>
    </row>
    <row customHeight="1" ht="24">
      <c r="F23" s="1231" t="s">
        <v>1166</v>
      </c>
      <c r="G23" s="1238" t="s">
        <v>1167</v>
      </c>
      <c r="H23" s="1237">
        <f>SUM(I23:J23)</f>
        <v>0</v>
      </c>
      <c r="I23" s="1236"/>
      <c r="J23" s="1226"/>
      <c r="K23" s="1235"/>
      <c r="W23" s="1156">
        <v>23</v>
      </c>
    </row>
    <row customHeight="1" ht="24">
      <c r="F24" s="1231" t="s">
        <v>1168</v>
      </c>
      <c r="G24" s="1238" t="s">
        <v>1169</v>
      </c>
      <c r="H24" s="1237">
        <f>SUM(I24:J24)</f>
        <v>0</v>
      </c>
      <c r="I24" s="1236"/>
      <c r="J24" s="1226"/>
      <c r="K24" s="1235"/>
      <c r="W24" s="1156">
        <v>23</v>
      </c>
    </row>
    <row customHeight="1" ht="35.699999999999996">
      <c r="F25" s="1231" t="s">
        <v>1170</v>
      </c>
      <c r="G25" s="1238" t="s">
        <v>1171</v>
      </c>
      <c r="H25" s="1237">
        <f>SUM(I25:J25)</f>
        <v>0</v>
      </c>
      <c r="I25" s="1236"/>
      <c r="J25" s="1226"/>
      <c r="K25" s="1235"/>
      <c r="W25" s="1156">
        <v>34</v>
      </c>
    </row>
    <row customHeight="1" ht="35.699999999999996">
      <c r="F26" s="1231" t="s">
        <v>1172</v>
      </c>
      <c r="G26" s="1238" t="s">
        <v>1173</v>
      </c>
      <c r="H26" s="1237">
        <f>SUM(I26:J26)</f>
        <v>0</v>
      </c>
      <c r="I26" s="1236"/>
      <c r="J26" s="1226"/>
      <c r="K26" s="1235"/>
      <c r="W26" s="1156">
        <v>34</v>
      </c>
    </row>
    <row customHeight="1" ht="11.549999999999999">
      <c r="F27" s="1231" t="s">
        <v>1174</v>
      </c>
      <c r="G27" s="1238" t="s">
        <v>1175</v>
      </c>
      <c r="H27" s="1237">
        <f>SUM(I27:J27)</f>
        <v>0</v>
      </c>
      <c r="I27" s="1236"/>
      <c r="J27" s="1226"/>
      <c r="K27" s="1235"/>
      <c r="W27" s="1156">
        <v>11</v>
      </c>
    </row>
    <row customHeight="1" ht="11.549999999999999">
      <c r="F28" s="1231">
        <v>2</v>
      </c>
      <c r="G28" s="691" t="s">
        <v>1176</v>
      </c>
      <c r="H28" s="1237">
        <f>SUM(I28:J28)</f>
        <v>0</v>
      </c>
      <c r="I28" s="1237">
        <f>SUM(I29:I31)</f>
        <v>0</v>
      </c>
      <c r="J28" s="1226"/>
      <c r="K28" s="1235"/>
      <c r="W28" s="1156">
        <v>11</v>
      </c>
    </row>
    <row customHeight="1" ht="11.549999999999999">
      <c r="F29" s="1231" t="s">
        <v>839</v>
      </c>
      <c r="G29" s="1238" t="s">
        <v>1177</v>
      </c>
      <c r="H29" s="1237">
        <f>SUM(I29:J29)</f>
        <v>0</v>
      </c>
      <c r="I29" s="1236"/>
      <c r="J29" s="1226"/>
      <c r="K29" s="1235"/>
      <c r="W29" s="1156">
        <v>11</v>
      </c>
    </row>
    <row customHeight="1" ht="11.549999999999999">
      <c r="F30" s="1231" t="s">
        <v>437</v>
      </c>
      <c r="G30" s="1238" t="s">
        <v>1178</v>
      </c>
      <c r="H30" s="1237">
        <f>SUM(I30:J30)</f>
        <v>0</v>
      </c>
      <c r="I30" s="1236"/>
      <c r="J30" s="1226"/>
      <c r="K30" s="1235"/>
      <c r="W30" s="1156">
        <v>11</v>
      </c>
    </row>
    <row customHeight="1" ht="11.549999999999999">
      <c r="F31" s="1231" t="s">
        <v>440</v>
      </c>
      <c r="G31" s="1238" t="s">
        <v>1179</v>
      </c>
      <c r="H31" s="1237">
        <f>SUM(I31:J31)</f>
        <v>0</v>
      </c>
      <c r="I31" s="1236"/>
      <c r="J31" s="1226"/>
      <c r="K31" s="1235"/>
      <c r="W31" s="1156">
        <v>11</v>
      </c>
    </row>
    <row customHeight="1" ht="11.549999999999999">
      <c r="F32" s="1231">
        <v>3</v>
      </c>
      <c r="G32" s="691" t="s">
        <v>1180</v>
      </c>
      <c r="H32" s="1237">
        <f>SUM(I32:J32)</f>
        <v>0</v>
      </c>
      <c r="I32" s="1237">
        <f>SUM(I33:I34)</f>
        <v>0</v>
      </c>
      <c r="J32" s="1226"/>
      <c r="K32" s="1235"/>
      <c r="W32" s="1156">
        <v>11</v>
      </c>
    </row>
    <row customHeight="1" ht="48.29999999999999">
      <c r="F33" s="1231" t="s">
        <v>454</v>
      </c>
      <c r="G33" s="1238" t="s">
        <v>1181</v>
      </c>
      <c r="H33" s="1237">
        <f>SUM(I33:J33)</f>
        <v>0</v>
      </c>
      <c r="I33" s="1236"/>
      <c r="J33" s="1226"/>
      <c r="K33" s="1235"/>
      <c r="W33" s="1156">
        <v>46</v>
      </c>
    </row>
    <row customHeight="1" ht="11.549999999999999">
      <c r="F34" s="1231" t="s">
        <v>462</v>
      </c>
      <c r="G34" s="1238" t="s">
        <v>1182</v>
      </c>
      <c r="H34" s="1237">
        <f>SUM(I34:J34)</f>
        <v>0</v>
      </c>
      <c r="I34" s="1236"/>
      <c r="J34" s="1226"/>
      <c r="K34" s="1235"/>
      <c r="W34" s="1156">
        <v>11</v>
      </c>
    </row>
    <row customHeight="1" ht="11.549999999999999">
      <c r="F35" s="1231">
        <v>4</v>
      </c>
      <c r="G35" s="691" t="s">
        <v>1183</v>
      </c>
      <c r="H35" s="1237">
        <f>SUM(I35:J35)</f>
        <v>0</v>
      </c>
      <c r="I35" s="1236"/>
      <c r="J35" s="1226"/>
      <c r="K35" s="1235"/>
      <c r="W35" s="1156">
        <v>11</v>
      </c>
    </row>
    <row customHeight="1" ht="11.549999999999999">
      <c r="F36" s="1231"/>
      <c r="G36" s="694" t="s">
        <v>1184</v>
      </c>
      <c r="H36" s="1237">
        <f>SUM(I36:J36)</f>
        <v>0</v>
      </c>
      <c r="I36" s="1237">
        <f>SUM(I15,I28,I32,I35)</f>
        <v>0</v>
      </c>
      <c r="J36" s="1226"/>
      <c r="K36" s="1235"/>
      <c r="W36" s="1156">
        <v>11</v>
      </c>
    </row>
    <row customHeight="1" ht="29.25">
      <c r="F37" s="1232" t="s">
        <v>1185</v>
      </c>
      <c r="G37" s="2423" t="s">
        <v>1186</v>
      </c>
      <c r="H37" s="2423"/>
      <c r="I37" s="2423"/>
      <c r="J37" s="2423"/>
      <c r="K37" s="1235"/>
      <c r="W37" s="1156">
        <v>28</v>
      </c>
    </row>
    <row customHeight="1" ht="24">
      <c r="F38" s="1231" t="s">
        <v>123</v>
      </c>
      <c r="G38" s="691" t="s">
        <v>1187</v>
      </c>
      <c r="H38" s="1237">
        <f>SUM(I38:J38)</f>
        <v>0</v>
      </c>
      <c r="I38" s="1237">
        <f>SUM(I39,I44,I47)</f>
        <v>0</v>
      </c>
      <c r="J38" s="1226"/>
      <c r="K38" s="1235"/>
      <c r="W38" s="1156">
        <v>23</v>
      </c>
    </row>
    <row customHeight="1" ht="11.549999999999999">
      <c r="F39" s="1231" t="s">
        <v>1152</v>
      </c>
      <c r="G39" s="1238" t="s">
        <v>1151</v>
      </c>
      <c r="H39" s="1237">
        <f>SUM(I39:J39)</f>
        <v>0</v>
      </c>
      <c r="I39" s="1237">
        <f>SUM(I40:I43)</f>
        <v>0</v>
      </c>
      <c r="J39" s="1226"/>
      <c r="K39" s="1235"/>
      <c r="W39" s="1156">
        <v>11</v>
      </c>
    </row>
    <row customHeight="1" ht="24">
      <c r="F40" s="1231" t="s">
        <v>1188</v>
      </c>
      <c r="G40" s="1239" t="s">
        <v>1189</v>
      </c>
      <c r="H40" s="1237">
        <f>SUM(I40:J40)</f>
        <v>0</v>
      </c>
      <c r="I40" s="1236"/>
      <c r="J40" s="1226"/>
      <c r="K40" s="1235"/>
      <c r="W40" s="1156">
        <v>23</v>
      </c>
    </row>
    <row customHeight="1" ht="11.549999999999999">
      <c r="F41" s="1231" t="s">
        <v>1190</v>
      </c>
      <c r="G41" s="1239" t="s">
        <v>1191</v>
      </c>
      <c r="H41" s="1237">
        <f>SUM(I41:J41)</f>
        <v>0</v>
      </c>
      <c r="I41" s="1236"/>
      <c r="J41" s="1226"/>
      <c r="K41" s="1235"/>
      <c r="W41" s="1156">
        <v>11</v>
      </c>
    </row>
    <row customHeight="1" ht="11.549999999999999">
      <c r="F42" s="1231" t="s">
        <v>1192</v>
      </c>
      <c r="G42" s="1239" t="s">
        <v>1193</v>
      </c>
      <c r="H42" s="1237">
        <f>SUM(I42:J42)</f>
        <v>0</v>
      </c>
      <c r="I42" s="1236"/>
      <c r="J42" s="1226"/>
      <c r="K42" s="1235"/>
      <c r="W42" s="1156">
        <v>11</v>
      </c>
    </row>
    <row customHeight="1" ht="35.699999999999996">
      <c r="F43" s="1231" t="s">
        <v>1194</v>
      </c>
      <c r="G43" s="1239" t="s">
        <v>1195</v>
      </c>
      <c r="H43" s="1237">
        <f>SUM(I43:J43)</f>
        <v>0</v>
      </c>
      <c r="I43" s="1236"/>
      <c r="J43" s="1226"/>
      <c r="K43" s="1235"/>
      <c r="W43" s="1156">
        <v>34</v>
      </c>
    </row>
    <row customHeight="1" ht="11.549999999999999">
      <c r="F44" s="1231" t="s">
        <v>1154</v>
      </c>
      <c r="G44" s="1238" t="s">
        <v>1180</v>
      </c>
      <c r="H44" s="1237">
        <f>SUM(I44:J44)</f>
        <v>0</v>
      </c>
      <c r="I44" s="1237">
        <f>SUM(I45:I46)</f>
        <v>0</v>
      </c>
      <c r="J44" s="1226"/>
      <c r="K44" s="1235"/>
      <c r="W44" s="1156">
        <v>11</v>
      </c>
    </row>
    <row customHeight="1" ht="48.29999999999999">
      <c r="F45" s="1231" t="s">
        <v>1196</v>
      </c>
      <c r="G45" s="1239" t="s">
        <v>1181</v>
      </c>
      <c r="H45" s="1237">
        <f>SUM(I45:J45)</f>
        <v>0</v>
      </c>
      <c r="I45" s="1236"/>
      <c r="J45" s="1226"/>
      <c r="K45" s="1235"/>
      <c r="W45" s="1156">
        <v>46</v>
      </c>
    </row>
    <row customHeight="1" ht="11.549999999999999">
      <c r="F46" s="1231" t="s">
        <v>1197</v>
      </c>
      <c r="G46" s="1239" t="s">
        <v>1182</v>
      </c>
      <c r="H46" s="1237">
        <f>SUM(I46:J46)</f>
        <v>0</v>
      </c>
      <c r="I46" s="1236"/>
      <c r="J46" s="1226"/>
      <c r="K46" s="1235"/>
      <c r="W46" s="1156">
        <v>11</v>
      </c>
    </row>
    <row customHeight="1" ht="11.549999999999999">
      <c r="F47" s="1231" t="s">
        <v>1156</v>
      </c>
      <c r="G47" s="1238" t="s">
        <v>1198</v>
      </c>
      <c r="H47" s="1237">
        <f>SUM(I47:J47)</f>
        <v>0</v>
      </c>
      <c r="I47" s="1236"/>
      <c r="J47" s="1226"/>
      <c r="K47" s="1235"/>
      <c r="W47" s="1156">
        <v>11</v>
      </c>
    </row>
    <row customHeight="1" ht="24">
      <c r="F48" s="1231" t="s">
        <v>107</v>
      </c>
      <c r="G48" s="691" t="s">
        <v>1199</v>
      </c>
      <c r="H48" s="1237">
        <f>SUM(I48:J48)</f>
        <v>0</v>
      </c>
      <c r="I48" s="1237">
        <f>SUM(I49,I54,I57)</f>
        <v>0</v>
      </c>
      <c r="J48" s="1226"/>
      <c r="K48" s="1235"/>
      <c r="W48" s="1156">
        <v>23</v>
      </c>
    </row>
    <row customHeight="1" ht="11.549999999999999">
      <c r="F49" s="1231" t="s">
        <v>839</v>
      </c>
      <c r="G49" s="1238" t="s">
        <v>1151</v>
      </c>
      <c r="H49" s="1237">
        <f>SUM(I49:J49)</f>
        <v>0</v>
      </c>
      <c r="I49" s="1237">
        <f>SUM(I50:I53)</f>
        <v>0</v>
      </c>
      <c r="J49" s="1226"/>
      <c r="K49" s="1235"/>
      <c r="W49" s="1156">
        <v>11</v>
      </c>
    </row>
    <row customHeight="1" ht="24">
      <c r="F50" s="1231" t="s">
        <v>842</v>
      </c>
      <c r="G50" s="1239" t="s">
        <v>1189</v>
      </c>
      <c r="H50" s="1237">
        <f>SUM(I50:J50)</f>
        <v>0</v>
      </c>
      <c r="I50" s="1236"/>
      <c r="J50" s="1226"/>
      <c r="K50" s="1235"/>
      <c r="W50" s="1156">
        <v>23</v>
      </c>
    </row>
    <row customHeight="1" ht="11.549999999999999">
      <c r="F51" s="1231" t="s">
        <v>845</v>
      </c>
      <c r="G51" s="1239" t="s">
        <v>1191</v>
      </c>
      <c r="H51" s="1237">
        <f>SUM(I51:J51)</f>
        <v>0</v>
      </c>
      <c r="I51" s="1236"/>
      <c r="J51" s="1226"/>
      <c r="K51" s="1235"/>
      <c r="W51" s="1156">
        <v>11</v>
      </c>
    </row>
    <row customHeight="1" ht="11.549999999999999">
      <c r="F52" s="1231" t="s">
        <v>1200</v>
      </c>
      <c r="G52" s="1239" t="s">
        <v>1193</v>
      </c>
      <c r="H52" s="1237">
        <f>SUM(I52:J52)</f>
        <v>0</v>
      </c>
      <c r="I52" s="1236"/>
      <c r="J52" s="1226"/>
      <c r="K52" s="1235"/>
      <c r="W52" s="1156">
        <v>11</v>
      </c>
    </row>
    <row customHeight="1" ht="35.699999999999996">
      <c r="F53" s="1231" t="s">
        <v>1201</v>
      </c>
      <c r="G53" s="1239" t="s">
        <v>1195</v>
      </c>
      <c r="H53" s="1237">
        <f>SUM(I53:J53)</f>
        <v>0</v>
      </c>
      <c r="I53" s="1236"/>
      <c r="J53" s="1226"/>
      <c r="K53" s="1235"/>
      <c r="W53" s="1156">
        <v>34</v>
      </c>
    </row>
    <row customHeight="1" ht="11.549999999999999">
      <c r="F54" s="1231" t="s">
        <v>437</v>
      </c>
      <c r="G54" s="1238" t="s">
        <v>1180</v>
      </c>
      <c r="H54" s="1237">
        <f>SUM(I54:J54)</f>
        <v>0</v>
      </c>
      <c r="I54" s="1237">
        <f>SUM(I55:I56)</f>
        <v>0</v>
      </c>
      <c r="J54" s="1226"/>
      <c r="K54" s="1235"/>
      <c r="W54" s="1156">
        <v>11</v>
      </c>
    </row>
    <row customHeight="1" ht="48.29999999999999">
      <c r="F55" s="1231" t="s">
        <v>849</v>
      </c>
      <c r="G55" s="1239" t="s">
        <v>1181</v>
      </c>
      <c r="H55" s="1237">
        <f>SUM(I55:J55)</f>
        <v>0</v>
      </c>
      <c r="I55" s="1236"/>
      <c r="J55" s="1226"/>
      <c r="K55" s="1235"/>
      <c r="W55" s="1156">
        <v>46</v>
      </c>
    </row>
    <row customHeight="1" ht="11.549999999999999">
      <c r="F56" s="1231" t="s">
        <v>851</v>
      </c>
      <c r="G56" s="1239" t="s">
        <v>1182</v>
      </c>
      <c r="H56" s="1237">
        <f>SUM(I56:J56)</f>
        <v>0</v>
      </c>
      <c r="I56" s="1236"/>
      <c r="J56" s="1226"/>
      <c r="K56" s="1235"/>
      <c r="W56" s="1156">
        <v>11</v>
      </c>
    </row>
    <row customHeight="1" ht="11.549999999999999">
      <c r="F57" s="1231" t="s">
        <v>440</v>
      </c>
      <c r="G57" s="1238" t="s">
        <v>1198</v>
      </c>
      <c r="H57" s="1237">
        <f>SUM(I57:J57)</f>
        <v>0</v>
      </c>
      <c r="I57" s="1236"/>
      <c r="J57" s="1226"/>
      <c r="K57" s="1235"/>
      <c r="W57" s="1156">
        <v>11</v>
      </c>
    </row>
    <row customHeight="1" ht="11.549999999999999">
      <c r="F58" s="1231"/>
      <c r="G58" s="1240" t="s">
        <v>1184</v>
      </c>
      <c r="H58" s="1237">
        <f>SUM(I58:J58)</f>
        <v>0</v>
      </c>
      <c r="I58" s="1237">
        <f>SUM(I38,I48)</f>
        <v>0</v>
      </c>
      <c r="J58" s="1226"/>
      <c r="K58" s="1235"/>
      <c r="W58" s="1156">
        <v>11</v>
      </c>
    </row>
    <row customHeight="1" ht="10.5" hidden="1">
      <c r="A59" s="1167" t="s">
        <v>86</v>
      </c>
      <c r="B59" s="1167">
        <v>0</v>
      </c>
      <c r="C59" s="1167">
        <v>0</v>
      </c>
      <c r="D59" s="1161">
        <v>0</v>
      </c>
      <c r="E59" s="510">
        <v>3</v>
      </c>
      <c r="F59" s="1156">
        <v>6</v>
      </c>
      <c r="G59" s="1156">
        <v>60</v>
      </c>
      <c r="H59" s="1156">
        <v>0</v>
      </c>
      <c r="I59" s="1156">
        <v>0</v>
      </c>
      <c r="J59" s="1156">
        <v>0</v>
      </c>
      <c r="K59" s="1156">
        <v>1</v>
      </c>
      <c r="L59" s="1156">
        <v>8</v>
      </c>
      <c r="M59" s="1156">
        <v>8</v>
      </c>
      <c r="N59" s="1156">
        <v>8</v>
      </c>
      <c r="O59" s="1156">
        <v>8</v>
      </c>
      <c r="P59" s="1156">
        <v>8</v>
      </c>
      <c r="Q59" s="1156">
        <v>8</v>
      </c>
      <c r="R59" s="1156">
        <v>8</v>
      </c>
      <c r="S59" s="1156">
        <v>8</v>
      </c>
      <c r="T59" s="1156">
        <v>8</v>
      </c>
      <c r="U59" s="1156">
        <v>8</v>
      </c>
      <c r="V59" s="1156">
        <v>8</v>
      </c>
      <c r="W59" s="1156">
        <v>10</v>
      </c>
    </row>
  </sheetData>
  <sheetProtection formatColumns="0" formatRows="0" autoFilter="0" sort="0" insertRows="0" insertColumns="1" deleteRows="0" deleteColumns="0"/>
  <mergeCells count="9">
    <mergeCell ref="F5:J5"/>
    <mergeCell ref="F6:J6"/>
    <mergeCell ref="F9:J9"/>
    <mergeCell ref="G14:J14"/>
    <mergeCell ref="G37:J37"/>
    <mergeCell ref="F10:F12"/>
    <mergeCell ref="H10:J10"/>
    <mergeCell ref="H11:J11"/>
    <mergeCell ref="G10:G12"/>
  </mergeCells>
  <dataValidations count="1">
    <dataValidation type="decimal" allowBlank="1" showErrorMessage="1" errorTitle="Ошибка" error="Допускается ввод только неотрицательных чисел!" sqref="I29:I31 I33:I35 I40:I43 I45:I47 I50:I53 I55:I57 I16:I27">
      <formula1>0</formula1>
      <formula2>9.99999999999999E+23</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9A8BBC2-8A94-A998-B15C-7FF30EA48088}" mc:Ignorable="x14ac xr xr2 xr3">
  <sheetPr>
    <tabColor theme="9" tint="-0.25"/>
  </sheetPr>
  <dimension ref="A1:GC25"/>
  <sheetViews>
    <sheetView showGridLines="0" zoomScale="90" workbookViewId="0">
      <pane xSplit="14" ySplit="17" topLeftCell="O18" activePane="bottomRight" state="frozen"/>
      <selection pane="bottomLeft" activeCell="A18" sqref="A18"/>
      <selection pane="topRight" activeCell="O1" sqref="O1"/>
      <selection pane="bottomRight" activeCell="A1" sqref="A1"/>
    </sheetView>
  </sheetViews>
  <sheetFormatPr defaultColWidth="9.140625" customHeight="1" defaultRowHeight="12"/>
  <cols>
    <col min="1" max="1" style="1064" width="4.7109375" hidden="1" customWidth="1"/>
    <col min="2" max="2" style="937" width="4.7109375" hidden="1" customWidth="1"/>
    <col min="3" max="4" style="1064" width="4.7109375" hidden="1" customWidth="1"/>
    <col min="5" max="5" style="1064" width="3.00390625" customWidth="1"/>
    <col min="6" max="6" style="1064" width="6.00390625" customWidth="1"/>
    <col min="7" max="7" style="1064" width="18.00390625" customWidth="1"/>
    <col min="8" max="8" style="1064" width="27.00390625" customWidth="1"/>
    <col min="9" max="9" style="1064" width="18.00390625" customWidth="1"/>
    <col min="10" max="14" style="1064" width="0.8515625" hidden="1" customWidth="1"/>
    <col min="15" max="28" style="1064" width="21.7109375" customWidth="1"/>
    <col min="29" max="71" style="1064" width="0.8515625" customWidth="1"/>
    <col min="72" max="79" style="1064" width="21.7109375" hidden="1" customWidth="1"/>
    <col min="80" max="81" style="1064" width="29.140625" hidden="1" customWidth="1"/>
    <col min="82" max="89" style="1064" width="21.7109375" hidden="1" customWidth="1"/>
    <col min="90" max="102" style="1064" width="0.7109375" hidden="1" customWidth="1"/>
    <col min="103" max="114" style="1064" width="21.7109375" hidden="1" customWidth="1"/>
    <col min="115" max="178" style="1064" width="0.7109375" hidden="1" customWidth="1"/>
    <col min="179" max="179" style="1064" width="0.140625" customWidth="1"/>
    <col min="180" max="184" style="1064" width="8.00390625" customWidth="1"/>
    <col min="185" max="185" style="1064" width="9.140625" hidden="1"/>
  </cols>
  <sheetData>
    <row s="926" customFormat="1" customHeight="1" ht="12" hidden="1">
      <c r="B1" s="924"/>
      <c r="C1" s="925"/>
      <c r="D1" s="925"/>
      <c r="GC1" s="923" t="s">
        <v>14</v>
      </c>
    </row>
    <row s="926" customFormat="1" customHeight="1" ht="12" hidden="1">
      <c r="B2" s="924"/>
      <c r="C2" s="925"/>
      <c r="D2" s="925"/>
      <c r="E2" s="925"/>
      <c r="F2" s="925"/>
      <c r="G2" s="925"/>
      <c r="H2" s="925"/>
      <c r="I2" s="925"/>
      <c r="J2" s="925"/>
      <c r="K2" s="925"/>
      <c r="L2" s="925"/>
      <c r="M2" s="925"/>
      <c r="N2" s="925"/>
      <c r="O2" s="925"/>
      <c r="P2" s="925"/>
      <c r="Q2" s="925"/>
      <c r="R2" s="925"/>
      <c r="S2" s="925"/>
      <c r="T2" s="925"/>
      <c r="U2" s="925"/>
      <c r="V2" s="925"/>
      <c r="W2" s="925"/>
      <c r="X2" s="925"/>
      <c r="Y2" s="925"/>
      <c r="Z2" s="925"/>
      <c r="AA2" s="925"/>
      <c r="AB2" s="926"/>
      <c r="AC2" s="925"/>
      <c r="AD2" s="925"/>
      <c r="AE2" s="925"/>
      <c r="AF2" s="925"/>
      <c r="AG2" s="925"/>
      <c r="AH2" s="925"/>
      <c r="AI2" s="925"/>
      <c r="AJ2" s="925"/>
      <c r="AK2" s="925"/>
      <c r="AL2" s="925"/>
      <c r="AM2" s="925"/>
      <c r="AN2" s="925"/>
      <c r="AO2" s="925"/>
      <c r="AP2" s="925"/>
      <c r="AQ2" s="925"/>
      <c r="AR2" s="925"/>
      <c r="AS2" s="925"/>
      <c r="AT2" s="925"/>
      <c r="AU2" s="925"/>
      <c r="AV2" s="925"/>
      <c r="AW2" s="925"/>
      <c r="AX2" s="925"/>
      <c r="AY2" s="925"/>
      <c r="AZ2" s="925"/>
      <c r="BA2" s="925"/>
      <c r="BB2" s="925"/>
      <c r="BC2" s="925"/>
      <c r="BD2" s="925"/>
      <c r="BE2" s="925"/>
      <c r="BF2" s="925"/>
      <c r="BG2" s="925"/>
      <c r="BH2" s="925"/>
      <c r="BI2" s="925"/>
      <c r="BJ2" s="925"/>
      <c r="BK2" s="925"/>
      <c r="BL2" s="925"/>
      <c r="BM2" s="925"/>
      <c r="BN2" s="925"/>
      <c r="BO2" s="925"/>
      <c r="BP2" s="925"/>
      <c r="BQ2" s="925"/>
      <c r="BR2" s="925"/>
      <c r="BS2" s="925"/>
      <c r="BT2" s="925"/>
      <c r="BU2" s="925"/>
      <c r="BV2" s="925"/>
      <c r="BW2" s="925"/>
      <c r="BX2" s="925"/>
      <c r="BY2" s="925"/>
      <c r="BZ2" s="925"/>
      <c r="CA2" s="925"/>
      <c r="CB2" s="925"/>
      <c r="CC2" s="925"/>
      <c r="CD2" s="925"/>
      <c r="CE2" s="925"/>
      <c r="CF2" s="925"/>
      <c r="CG2" s="925"/>
      <c r="CH2" s="925"/>
      <c r="CI2" s="925"/>
      <c r="CJ2" s="925"/>
      <c r="CK2" s="925"/>
      <c r="CL2" s="925"/>
      <c r="CM2" s="925"/>
      <c r="CN2" s="925"/>
      <c r="CO2" s="925"/>
      <c r="CP2" s="925"/>
      <c r="CQ2" s="925"/>
      <c r="CR2" s="925"/>
      <c r="CS2" s="925"/>
      <c r="CT2" s="925"/>
      <c r="CU2" s="925"/>
      <c r="CV2" s="925"/>
      <c r="CW2" s="925"/>
      <c r="CX2" s="925"/>
      <c r="CY2" s="925"/>
      <c r="CZ2" s="925"/>
      <c r="DA2" s="925"/>
      <c r="DB2" s="925"/>
      <c r="DC2" s="925"/>
      <c r="DD2" s="925"/>
      <c r="DE2" s="925"/>
      <c r="DF2" s="925"/>
      <c r="DG2" s="925"/>
      <c r="DH2" s="925"/>
      <c r="DI2" s="925"/>
      <c r="DJ2" s="925"/>
      <c r="DK2" s="925"/>
      <c r="DL2" s="925"/>
      <c r="DM2" s="925"/>
      <c r="DN2" s="925"/>
      <c r="DO2" s="925"/>
      <c r="DP2" s="925"/>
      <c r="DQ2" s="925"/>
      <c r="DR2" s="925"/>
      <c r="DS2" s="925"/>
      <c r="DT2" s="925"/>
      <c r="DU2" s="925"/>
      <c r="DV2" s="925"/>
      <c r="DW2" s="925"/>
      <c r="DX2" s="925"/>
      <c r="DY2" s="925"/>
      <c r="DZ2" s="925"/>
      <c r="EA2" s="925"/>
      <c r="EB2" s="925"/>
      <c r="EC2" s="925"/>
      <c r="ED2" s="925"/>
      <c r="EE2" s="925"/>
      <c r="EF2" s="925"/>
      <c r="EG2" s="925"/>
      <c r="EH2" s="925"/>
      <c r="EI2" s="925"/>
      <c r="EJ2" s="925"/>
      <c r="EK2" s="925"/>
      <c r="EL2" s="925"/>
      <c r="EM2" s="925"/>
      <c r="EN2" s="925"/>
      <c r="EO2" s="925"/>
      <c r="EP2" s="925"/>
      <c r="EQ2" s="925"/>
      <c r="ER2" s="925"/>
      <c r="ES2" s="925"/>
      <c r="ET2" s="925"/>
      <c r="EU2" s="925"/>
      <c r="EV2" s="925"/>
      <c r="EW2" s="925"/>
      <c r="EX2" s="925"/>
      <c r="EY2" s="925"/>
      <c r="EZ2" s="925"/>
      <c r="FA2" s="925"/>
      <c r="FB2" s="925"/>
      <c r="FC2" s="925"/>
      <c r="FD2" s="925"/>
      <c r="FE2" s="925"/>
      <c r="FF2" s="925"/>
      <c r="FG2" s="925"/>
      <c r="FH2" s="925"/>
      <c r="FI2" s="925"/>
      <c r="FJ2" s="925"/>
      <c r="FK2" s="925"/>
      <c r="FL2" s="925"/>
      <c r="FM2" s="925"/>
      <c r="FN2" s="925"/>
      <c r="FO2" s="925"/>
      <c r="FP2" s="925"/>
      <c r="FQ2" s="925"/>
      <c r="FR2" s="925"/>
      <c r="FS2" s="925"/>
      <c r="FT2" s="925"/>
      <c r="FU2" s="925"/>
      <c r="FV2" s="925"/>
      <c r="FW2" s="925"/>
      <c r="GC2" s="923">
        <v>0</v>
      </c>
    </row>
    <row s="926" customFormat="1" customHeight="1" ht="12" hidden="1">
      <c r="B3" s="924"/>
      <c r="C3" s="925"/>
      <c r="D3" s="925"/>
      <c r="E3" s="925"/>
      <c r="F3" s="925"/>
      <c r="G3" s="925"/>
      <c r="H3" s="925"/>
      <c r="I3" s="925"/>
      <c r="J3" s="925"/>
      <c r="K3" s="925"/>
      <c r="L3" s="925"/>
      <c r="M3" s="925"/>
      <c r="N3" s="925"/>
      <c r="O3" s="925"/>
      <c r="P3" s="925"/>
      <c r="Q3" s="925"/>
      <c r="R3" s="925"/>
      <c r="S3" s="925"/>
      <c r="T3" s="925"/>
      <c r="U3" s="925"/>
      <c r="V3" s="925"/>
      <c r="W3" s="925"/>
      <c r="X3" s="925"/>
      <c r="Y3" s="925"/>
      <c r="Z3" s="925"/>
      <c r="AA3" s="925"/>
      <c r="AB3" s="926"/>
      <c r="AC3" s="925"/>
      <c r="AD3" s="925"/>
      <c r="AE3" s="925"/>
      <c r="AF3" s="925"/>
      <c r="AG3" s="925"/>
      <c r="AH3" s="925"/>
      <c r="AI3" s="925"/>
      <c r="AJ3" s="925"/>
      <c r="AK3" s="925"/>
      <c r="AL3" s="925"/>
      <c r="AM3" s="925"/>
      <c r="AN3" s="925"/>
      <c r="AO3" s="925"/>
      <c r="AP3" s="925"/>
      <c r="AQ3" s="925"/>
      <c r="AR3" s="925"/>
      <c r="AS3" s="925"/>
      <c r="AT3" s="925"/>
      <c r="AU3" s="925"/>
      <c r="AV3" s="925"/>
      <c r="AW3" s="925"/>
      <c r="AX3" s="925"/>
      <c r="AY3" s="925"/>
      <c r="AZ3" s="925"/>
      <c r="BA3" s="925"/>
      <c r="BB3" s="925"/>
      <c r="BC3" s="925"/>
      <c r="BD3" s="925"/>
      <c r="BE3" s="925"/>
      <c r="BF3" s="925"/>
      <c r="BG3" s="925"/>
      <c r="BH3" s="925"/>
      <c r="BI3" s="925"/>
      <c r="BJ3" s="925"/>
      <c r="BK3" s="925"/>
      <c r="BL3" s="925"/>
      <c r="BM3" s="925"/>
      <c r="BN3" s="925"/>
      <c r="BO3" s="925"/>
      <c r="BP3" s="925"/>
      <c r="BQ3" s="925"/>
      <c r="BR3" s="925"/>
      <c r="BS3" s="925"/>
      <c r="BT3" s="925"/>
      <c r="BU3" s="925"/>
      <c r="BV3" s="925"/>
      <c r="BW3" s="925"/>
      <c r="BX3" s="925"/>
      <c r="BY3" s="925"/>
      <c r="BZ3" s="925"/>
      <c r="CA3" s="925"/>
      <c r="CB3" s="925"/>
      <c r="CC3" s="925"/>
      <c r="CD3" s="925"/>
      <c r="CE3" s="925"/>
      <c r="CF3" s="925"/>
      <c r="CG3" s="925"/>
      <c r="CH3" s="925"/>
      <c r="CI3" s="925"/>
      <c r="CJ3" s="925"/>
      <c r="CK3" s="925"/>
      <c r="CL3" s="925"/>
      <c r="CM3" s="925"/>
      <c r="CN3" s="925"/>
      <c r="CO3" s="925"/>
      <c r="CP3" s="925"/>
      <c r="CQ3" s="925"/>
      <c r="CR3" s="925"/>
      <c r="CS3" s="925"/>
      <c r="CT3" s="925"/>
      <c r="CU3" s="925"/>
      <c r="CV3" s="925"/>
      <c r="CW3" s="925"/>
      <c r="CX3" s="925"/>
      <c r="CY3" s="925"/>
      <c r="CZ3" s="925"/>
      <c r="DA3" s="925"/>
      <c r="DB3" s="925"/>
      <c r="DC3" s="925"/>
      <c r="DD3" s="925"/>
      <c r="DE3" s="925"/>
      <c r="DF3" s="925"/>
      <c r="DG3" s="925"/>
      <c r="DH3" s="925"/>
      <c r="DI3" s="925"/>
      <c r="DJ3" s="925"/>
      <c r="DK3" s="925"/>
      <c r="DL3" s="925"/>
      <c r="DM3" s="925"/>
      <c r="DN3" s="925"/>
      <c r="DO3" s="925"/>
      <c r="DP3" s="925"/>
      <c r="DQ3" s="925"/>
      <c r="DR3" s="925"/>
      <c r="DS3" s="925"/>
      <c r="DT3" s="925"/>
      <c r="DU3" s="925"/>
      <c r="DV3" s="925"/>
      <c r="DW3" s="925"/>
      <c r="DX3" s="925"/>
      <c r="DY3" s="925"/>
      <c r="DZ3" s="925"/>
      <c r="EA3" s="925"/>
      <c r="EB3" s="925"/>
      <c r="EC3" s="925"/>
      <c r="ED3" s="925"/>
      <c r="EE3" s="925"/>
      <c r="EF3" s="925"/>
      <c r="EG3" s="925"/>
      <c r="EH3" s="925"/>
      <c r="EI3" s="925"/>
      <c r="EJ3" s="925"/>
      <c r="EK3" s="925"/>
      <c r="EL3" s="925"/>
      <c r="EM3" s="925"/>
      <c r="EN3" s="925"/>
      <c r="EO3" s="925"/>
      <c r="EP3" s="925"/>
      <c r="EQ3" s="925"/>
      <c r="ER3" s="925"/>
      <c r="ES3" s="925"/>
      <c r="ET3" s="925"/>
      <c r="EU3" s="925"/>
      <c r="EV3" s="925"/>
      <c r="EW3" s="925"/>
      <c r="EX3" s="925"/>
      <c r="EY3" s="925"/>
      <c r="EZ3" s="925"/>
      <c r="FA3" s="925"/>
      <c r="FB3" s="925"/>
      <c r="FC3" s="925"/>
      <c r="FD3" s="925"/>
      <c r="FE3" s="925"/>
      <c r="FF3" s="925"/>
      <c r="FG3" s="925"/>
      <c r="FH3" s="925"/>
      <c r="FI3" s="925"/>
      <c r="FJ3" s="925"/>
      <c r="FK3" s="925"/>
      <c r="FL3" s="925"/>
      <c r="FM3" s="925"/>
      <c r="FN3" s="925"/>
      <c r="FO3" s="925"/>
      <c r="FP3" s="925"/>
      <c r="FQ3" s="925"/>
      <c r="FR3" s="925"/>
      <c r="FS3" s="925"/>
      <c r="FT3" s="925"/>
      <c r="FU3" s="925"/>
      <c r="FV3" s="925"/>
      <c r="FW3" s="925"/>
      <c r="GC3" s="923">
        <v>0</v>
      </c>
    </row>
    <row customHeight="1" ht="10.5">
      <c r="B4" s="928"/>
      <c r="C4" s="929"/>
      <c r="D4" s="929"/>
      <c r="E4" s="929"/>
      <c r="F4" s="929"/>
      <c r="G4" s="929"/>
      <c r="H4" s="930"/>
      <c r="I4" s="930"/>
      <c r="J4" s="930"/>
      <c r="K4" s="930"/>
      <c r="L4" s="930"/>
      <c r="M4" s="931"/>
      <c r="N4" s="931"/>
      <c r="O4" s="931"/>
      <c r="P4" s="931"/>
      <c r="Q4" s="931"/>
      <c r="R4" s="931"/>
      <c r="S4" s="931"/>
      <c r="T4" s="931"/>
      <c r="U4" s="931"/>
      <c r="V4" s="931"/>
      <c r="W4" s="931"/>
      <c r="X4" s="931"/>
      <c r="Y4" s="931"/>
      <c r="Z4" s="931"/>
      <c r="AA4" s="931"/>
      <c r="AB4" s="931"/>
      <c r="AC4" s="931"/>
      <c r="AD4" s="931"/>
      <c r="AE4" s="931"/>
      <c r="AF4" s="931"/>
      <c r="AG4" s="931"/>
      <c r="AH4" s="931"/>
      <c r="AI4" s="931"/>
      <c r="AJ4" s="931"/>
      <c r="AK4" s="931"/>
      <c r="AL4" s="931"/>
      <c r="AM4" s="931"/>
      <c r="AN4" s="931"/>
      <c r="AO4" s="931"/>
      <c r="AP4" s="931"/>
      <c r="AQ4" s="931"/>
      <c r="AR4" s="931"/>
      <c r="AS4" s="931"/>
      <c r="AT4" s="931"/>
      <c r="AU4" s="931"/>
      <c r="AV4" s="931"/>
      <c r="AW4" s="931"/>
      <c r="AX4" s="931"/>
      <c r="AY4" s="931"/>
      <c r="AZ4" s="931"/>
      <c r="BA4" s="931"/>
      <c r="BB4" s="931"/>
      <c r="BC4" s="931"/>
      <c r="BD4" s="931"/>
      <c r="BE4" s="931"/>
      <c r="BF4" s="931"/>
      <c r="BG4" s="931"/>
      <c r="BH4" s="931"/>
      <c r="BI4" s="931"/>
      <c r="BJ4" s="931"/>
      <c r="BK4" s="931"/>
      <c r="BL4" s="931"/>
      <c r="BM4" s="931"/>
      <c r="BN4" s="931"/>
      <c r="BO4" s="931"/>
      <c r="BP4" s="931"/>
      <c r="BQ4" s="931"/>
      <c r="BR4" s="931"/>
      <c r="BS4" s="931"/>
      <c r="BT4" s="931"/>
      <c r="BU4" s="931"/>
      <c r="BV4" s="931"/>
      <c r="BW4" s="931"/>
      <c r="BX4" s="931"/>
      <c r="BY4" s="931"/>
      <c r="BZ4" s="931"/>
      <c r="CA4" s="931"/>
      <c r="CB4" s="931"/>
      <c r="CC4" s="931"/>
      <c r="CD4" s="931"/>
      <c r="CE4" s="931"/>
      <c r="CF4" s="931"/>
      <c r="CG4" s="931"/>
      <c r="CH4" s="931"/>
      <c r="CI4" s="931"/>
      <c r="CJ4" s="931"/>
      <c r="CK4" s="931"/>
      <c r="CL4" s="931"/>
      <c r="CM4" s="931"/>
      <c r="CN4" s="931"/>
      <c r="CO4" s="931"/>
      <c r="CP4" s="931"/>
      <c r="CQ4" s="931"/>
      <c r="CR4" s="931"/>
      <c r="CS4" s="931"/>
      <c r="CT4" s="931"/>
      <c r="CU4" s="931"/>
      <c r="CV4" s="931"/>
      <c r="CW4" s="931"/>
      <c r="CX4" s="931"/>
      <c r="CY4" s="931"/>
      <c r="CZ4" s="931"/>
      <c r="DA4" s="931"/>
      <c r="DB4" s="931"/>
      <c r="DC4" s="931"/>
      <c r="DD4" s="931"/>
      <c r="DE4" s="931"/>
      <c r="DF4" s="931"/>
      <c r="DG4" s="931"/>
      <c r="DH4" s="931"/>
      <c r="DI4" s="931"/>
      <c r="DJ4" s="931"/>
      <c r="DK4" s="931"/>
      <c r="DL4" s="931"/>
      <c r="DM4" s="931"/>
      <c r="DN4" s="931"/>
      <c r="DO4" s="931"/>
      <c r="DP4" s="931"/>
      <c r="DQ4" s="931"/>
      <c r="DR4" s="931"/>
      <c r="DS4" s="931"/>
      <c r="DT4" s="931"/>
      <c r="DU4" s="931"/>
      <c r="DV4" s="931"/>
      <c r="DW4" s="931"/>
      <c r="DX4" s="931"/>
      <c r="DY4" s="931"/>
      <c r="DZ4" s="931"/>
      <c r="EA4" s="931"/>
      <c r="EB4" s="931"/>
      <c r="EC4" s="931"/>
      <c r="ED4" s="931"/>
      <c r="EE4" s="931"/>
      <c r="EF4" s="931"/>
      <c r="EG4" s="931"/>
      <c r="EH4" s="931"/>
      <c r="EI4" s="931"/>
      <c r="EJ4" s="931"/>
      <c r="EK4" s="931"/>
      <c r="EL4" s="931"/>
      <c r="EM4" s="931"/>
      <c r="EN4" s="931"/>
      <c r="EO4" s="931"/>
      <c r="EP4" s="931"/>
      <c r="EQ4" s="931"/>
      <c r="ER4" s="931"/>
      <c r="ES4" s="931"/>
      <c r="ET4" s="931"/>
      <c r="EU4" s="931"/>
      <c r="EV4" s="931"/>
      <c r="EW4" s="931"/>
      <c r="EX4" s="931"/>
      <c r="EY4" s="931"/>
      <c r="EZ4" s="931"/>
      <c r="FA4" s="931"/>
      <c r="FB4" s="931"/>
      <c r="FC4" s="931"/>
      <c r="FD4" s="931"/>
      <c r="FE4" s="931"/>
      <c r="FF4" s="931"/>
      <c r="FG4" s="931"/>
      <c r="FH4" s="931"/>
      <c r="FI4" s="931"/>
      <c r="FJ4" s="931"/>
      <c r="FK4" s="931"/>
      <c r="FL4" s="931"/>
      <c r="FM4" s="931"/>
      <c r="FN4" s="931"/>
      <c r="FO4" s="931"/>
      <c r="FP4" s="931"/>
      <c r="FQ4" s="931"/>
      <c r="FR4" s="931"/>
      <c r="FS4" s="931"/>
      <c r="FT4" s="931"/>
      <c r="FU4" s="931"/>
      <c r="FV4" s="931"/>
      <c r="FW4" s="931"/>
      <c r="GC4" s="927">
        <v>10</v>
      </c>
    </row>
    <row s="1874" customFormat="1" customHeight="1" ht="27.299999999999997">
      <c r="B5" s="1873"/>
      <c r="E5" s="1875"/>
      <c r="F5" s="2433" t="str">
        <f>IP_NAME_FORM&amp;"
Показатели качества, надежности и энергетической эффективности в сфере "&amp;TEMPLATE_SPHERE_RUS</f>
        <v>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Показатели качества, надежности и энергетической эффективности в сфере теплоснабжения</v>
      </c>
      <c r="G5" s="2170"/>
      <c r="H5" s="2170"/>
      <c r="I5" s="2170"/>
      <c r="J5" s="2170"/>
      <c r="K5" s="2170"/>
      <c r="L5" s="2170"/>
      <c r="M5" s="2170"/>
      <c r="N5" s="2170"/>
      <c r="O5" s="2170"/>
      <c r="P5" s="2170"/>
      <c r="Q5" s="2170"/>
      <c r="R5" s="2170"/>
      <c r="S5" s="2170"/>
      <c r="T5" s="2170"/>
      <c r="U5" s="2170"/>
      <c r="V5" s="2170"/>
      <c r="W5" s="2170"/>
      <c r="X5" s="2170"/>
      <c r="Y5" s="2170"/>
      <c r="Z5" s="2170"/>
      <c r="AA5" s="2170"/>
      <c r="AB5" s="2170"/>
      <c r="AC5" s="2170"/>
      <c r="AD5" s="2170"/>
      <c r="AE5" s="2170"/>
      <c r="AF5" s="2170"/>
      <c r="AG5" s="2170"/>
      <c r="AH5" s="2170"/>
      <c r="AI5" s="2170"/>
      <c r="AJ5" s="2170"/>
      <c r="AK5" s="2170"/>
      <c r="AL5" s="2170"/>
      <c r="AM5" s="2170"/>
      <c r="AN5" s="2170"/>
      <c r="AO5" s="2170"/>
      <c r="AP5" s="2170"/>
      <c r="AQ5" s="2170"/>
      <c r="AR5" s="2170"/>
      <c r="AS5" s="2170"/>
      <c r="AT5" s="2170"/>
      <c r="AU5" s="2170"/>
      <c r="AV5" s="2170"/>
      <c r="AW5" s="2170"/>
      <c r="AX5" s="2170"/>
      <c r="AY5" s="2170"/>
      <c r="AZ5" s="2170"/>
      <c r="BA5" s="2170"/>
      <c r="BB5" s="2170"/>
      <c r="BC5" s="2170"/>
      <c r="BD5" s="2170"/>
      <c r="BE5" s="2170"/>
      <c r="BF5" s="2170"/>
      <c r="BG5" s="2170"/>
      <c r="BH5" s="2170"/>
      <c r="BI5" s="2170"/>
      <c r="BJ5" s="2170"/>
      <c r="BK5" s="2170"/>
      <c r="BL5" s="2170"/>
      <c r="BM5" s="2170"/>
      <c r="BN5" s="2170"/>
      <c r="BO5" s="2170"/>
      <c r="BP5" s="2170"/>
      <c r="BQ5" s="2170"/>
      <c r="BR5" s="2170"/>
      <c r="BS5" s="2170"/>
      <c r="GC5" s="1874">
        <v>26</v>
      </c>
    </row>
    <row s="2139" customFormat="1" customHeight="1" ht="18.75">
      <c r="B6" s="944"/>
      <c r="E6" s="946"/>
      <c r="F6" s="2215" t="str">
        <f>IF(org=0,"Не определено",org)</f>
        <v>ПАО "ТГК-1" (филиал "Кольский")</v>
      </c>
      <c r="G6" s="2216"/>
      <c r="H6" s="2216"/>
      <c r="I6" s="2216"/>
      <c r="J6" s="2216"/>
      <c r="K6" s="2216"/>
      <c r="L6" s="2216"/>
      <c r="M6" s="2216"/>
      <c r="N6" s="2216"/>
      <c r="O6" s="2216"/>
      <c r="P6" s="2216"/>
      <c r="Q6" s="2216"/>
      <c r="R6" s="2216"/>
      <c r="S6" s="2216"/>
      <c r="T6" s="2216"/>
      <c r="U6" s="2216"/>
      <c r="V6" s="2216"/>
      <c r="W6" s="2216"/>
      <c r="X6" s="2216"/>
      <c r="Y6" s="2216"/>
      <c r="Z6" s="2216"/>
      <c r="AA6" s="2216"/>
      <c r="AB6" s="2216"/>
      <c r="AC6" s="2216"/>
      <c r="AD6" s="2216"/>
      <c r="AE6" s="2216"/>
      <c r="AF6" s="2216"/>
      <c r="AG6" s="2216"/>
      <c r="AH6" s="2216"/>
      <c r="AI6" s="2216"/>
      <c r="AJ6" s="2216"/>
      <c r="AK6" s="2216"/>
      <c r="AL6" s="2216"/>
      <c r="AM6" s="2216"/>
      <c r="AN6" s="2216"/>
      <c r="AO6" s="2216"/>
      <c r="AP6" s="2216"/>
      <c r="AQ6" s="2216"/>
      <c r="AR6" s="2216"/>
      <c r="AS6" s="2216"/>
      <c r="AT6" s="2216"/>
      <c r="AU6" s="2216"/>
      <c r="AV6" s="2216"/>
      <c r="AW6" s="2216"/>
      <c r="AX6" s="2216"/>
      <c r="AY6" s="2216"/>
      <c r="AZ6" s="2216"/>
      <c r="BA6" s="2216"/>
      <c r="BB6" s="2216"/>
      <c r="BC6" s="2216"/>
      <c r="BD6" s="2216"/>
      <c r="BE6" s="2216"/>
      <c r="BF6" s="2216"/>
      <c r="BG6" s="2216"/>
      <c r="BH6" s="2216"/>
      <c r="BI6" s="2216"/>
      <c r="BJ6" s="2216"/>
      <c r="BK6" s="2216"/>
      <c r="BL6" s="2216"/>
      <c r="BM6" s="2216"/>
      <c r="BN6" s="2216"/>
      <c r="BO6" s="2216"/>
      <c r="BP6" s="2216"/>
      <c r="BQ6" s="2216"/>
      <c r="BR6" s="2216"/>
      <c r="BS6" s="2216"/>
      <c r="GC6" s="945">
        <v>18</v>
      </c>
    </row>
    <row s="934" customFormat="1" customHeight="1" ht="10.5">
      <c r="B7" s="933"/>
      <c r="E7" s="934"/>
      <c r="F7" s="934"/>
      <c r="G7" s="936"/>
      <c r="H7" s="930"/>
      <c r="I7" s="930"/>
      <c r="J7" s="930"/>
      <c r="K7" s="930"/>
      <c r="L7" s="930"/>
      <c r="M7" s="934"/>
      <c r="N7" s="934"/>
      <c r="O7" s="934"/>
      <c r="P7" s="934"/>
      <c r="Q7" s="934"/>
      <c r="R7" s="934"/>
      <c r="S7" s="934"/>
      <c r="T7" s="934"/>
      <c r="U7" s="934"/>
      <c r="V7" s="934"/>
      <c r="W7" s="934"/>
      <c r="X7" s="934"/>
      <c r="Y7" s="934"/>
      <c r="Z7" s="934"/>
      <c r="AA7" s="934"/>
      <c r="AB7" s="934"/>
      <c r="AC7" s="934"/>
      <c r="AD7" s="934"/>
      <c r="AE7" s="934"/>
      <c r="AF7" s="934"/>
      <c r="AG7" s="934"/>
      <c r="AH7" s="934"/>
      <c r="AI7" s="934"/>
      <c r="AJ7" s="934"/>
      <c r="AK7" s="934"/>
      <c r="AL7" s="934"/>
      <c r="AM7" s="934"/>
      <c r="AN7" s="934"/>
      <c r="AO7" s="934"/>
      <c r="AP7" s="934"/>
      <c r="AQ7" s="934"/>
      <c r="AR7" s="934"/>
      <c r="AS7" s="934"/>
      <c r="AT7" s="934"/>
      <c r="AU7" s="934"/>
      <c r="AV7" s="934"/>
      <c r="AW7" s="934"/>
      <c r="AX7" s="934"/>
      <c r="AY7" s="934"/>
      <c r="AZ7" s="934"/>
      <c r="BA7" s="934"/>
      <c r="BB7" s="934"/>
      <c r="BC7" s="934"/>
      <c r="BD7" s="934"/>
      <c r="BE7" s="934"/>
      <c r="BF7" s="934"/>
      <c r="BG7" s="934"/>
      <c r="BH7" s="934"/>
      <c r="BI7" s="934"/>
      <c r="BJ7" s="934"/>
      <c r="BK7" s="934"/>
      <c r="BL7" s="934"/>
      <c r="BM7" s="934"/>
      <c r="BN7" s="934"/>
      <c r="BO7" s="934"/>
      <c r="BP7" s="934"/>
      <c r="BQ7" s="934"/>
      <c r="BR7" s="934"/>
      <c r="BS7" s="934"/>
      <c r="BT7" s="934"/>
      <c r="BU7" s="934"/>
      <c r="BV7" s="934"/>
      <c r="BW7" s="934"/>
      <c r="BX7" s="934"/>
      <c r="BY7" s="934"/>
      <c r="BZ7" s="934"/>
      <c r="CA7" s="934"/>
      <c r="CB7" s="934"/>
      <c r="CC7" s="934"/>
      <c r="CD7" s="934"/>
      <c r="CE7" s="934"/>
      <c r="CF7" s="934"/>
      <c r="CG7" s="934"/>
      <c r="CH7" s="934"/>
      <c r="CI7" s="934"/>
      <c r="CJ7" s="934"/>
      <c r="CK7" s="934"/>
      <c r="CL7" s="934"/>
      <c r="CM7" s="934"/>
      <c r="CN7" s="934"/>
      <c r="CO7" s="934"/>
      <c r="CP7" s="934"/>
      <c r="CQ7" s="934"/>
      <c r="CR7" s="934"/>
      <c r="CS7" s="934"/>
      <c r="CT7" s="934"/>
      <c r="CU7" s="934"/>
      <c r="CV7" s="934"/>
      <c r="CW7" s="934"/>
      <c r="CX7" s="934"/>
      <c r="CY7" s="934"/>
      <c r="CZ7" s="934"/>
      <c r="DA7" s="934"/>
      <c r="DB7" s="934"/>
      <c r="DC7" s="934"/>
      <c r="DD7" s="934"/>
      <c r="DE7" s="934"/>
      <c r="DF7" s="934"/>
      <c r="DG7" s="934"/>
      <c r="DH7" s="934"/>
      <c r="DI7" s="934"/>
      <c r="DJ7" s="934"/>
      <c r="DK7" s="934"/>
      <c r="DL7" s="934"/>
      <c r="DM7" s="934"/>
      <c r="DN7" s="934"/>
      <c r="DO7" s="934"/>
      <c r="DP7" s="934"/>
      <c r="DQ7" s="934"/>
      <c r="DR7" s="934"/>
      <c r="DS7" s="934"/>
      <c r="DT7" s="934"/>
      <c r="DU7" s="934"/>
      <c r="DV7" s="934"/>
      <c r="DW7" s="934"/>
      <c r="DX7" s="934"/>
      <c r="DY7" s="934"/>
      <c r="DZ7" s="934"/>
      <c r="EA7" s="934"/>
      <c r="EB7" s="934"/>
      <c r="EC7" s="934"/>
      <c r="ED7" s="934"/>
      <c r="EE7" s="934"/>
      <c r="EF7" s="934"/>
      <c r="EG7" s="934"/>
      <c r="EH7" s="934"/>
      <c r="EI7" s="934"/>
      <c r="EJ7" s="934"/>
      <c r="EK7" s="934"/>
      <c r="EL7" s="934"/>
      <c r="EM7" s="934"/>
      <c r="EN7" s="934"/>
      <c r="EO7" s="934"/>
      <c r="EP7" s="934"/>
      <c r="EQ7" s="934"/>
      <c r="ER7" s="934"/>
      <c r="ES7" s="934"/>
      <c r="ET7" s="934"/>
      <c r="EU7" s="934"/>
      <c r="EV7" s="934"/>
      <c r="EW7" s="934"/>
      <c r="EX7" s="934"/>
      <c r="EY7" s="934"/>
      <c r="EZ7" s="934"/>
      <c r="FA7" s="934"/>
      <c r="FB7" s="934"/>
      <c r="FC7" s="934"/>
      <c r="FD7" s="934"/>
      <c r="FE7" s="934"/>
      <c r="FF7" s="934"/>
      <c r="FG7" s="934"/>
      <c r="FH7" s="934"/>
      <c r="FI7" s="934"/>
      <c r="FJ7" s="934"/>
      <c r="FK7" s="934"/>
      <c r="FL7" s="934"/>
      <c r="FM7" s="934"/>
      <c r="FN7" s="934"/>
      <c r="FO7" s="934"/>
      <c r="FP7" s="934"/>
      <c r="FQ7" s="934"/>
      <c r="FR7" s="934"/>
      <c r="FS7" s="934"/>
      <c r="FT7" s="934"/>
      <c r="FU7" s="934"/>
      <c r="FV7" s="934"/>
      <c r="FW7" s="934"/>
      <c r="GC7" s="932">
        <v>10</v>
      </c>
    </row>
    <row s="934" customFormat="1" customHeight="1" ht="11.25" hidden="1">
      <c r="B8" s="935"/>
      <c r="F8" s="1057"/>
      <c r="G8" s="764"/>
      <c r="H8" s="361"/>
      <c r="I8" s="361"/>
      <c r="J8" s="361"/>
      <c r="K8" s="361"/>
      <c r="L8" s="361"/>
      <c r="M8" s="1057"/>
      <c r="N8" s="1057"/>
      <c r="O8" s="2451" t="s">
        <v>1202</v>
      </c>
      <c r="P8" s="2452"/>
      <c r="Q8" s="2452"/>
      <c r="R8" s="2452"/>
      <c r="S8" s="2452"/>
      <c r="T8" s="2452"/>
      <c r="U8" s="2452"/>
      <c r="V8" s="2452"/>
      <c r="W8" s="2452"/>
      <c r="X8" s="2452"/>
      <c r="Y8" s="2452"/>
      <c r="Z8" s="2452"/>
      <c r="AA8" s="2452"/>
      <c r="AB8" s="2452"/>
      <c r="AC8" s="2452"/>
      <c r="AD8" s="2452"/>
      <c r="AE8" s="2452"/>
      <c r="AF8" s="2452"/>
      <c r="AG8" s="2452"/>
      <c r="AH8" s="2452"/>
      <c r="AI8" s="2452"/>
      <c r="AJ8" s="2452"/>
      <c r="AK8" s="2452"/>
      <c r="AL8" s="2452"/>
      <c r="AM8" s="2452"/>
      <c r="AN8" s="2452"/>
      <c r="AO8" s="2452"/>
      <c r="AP8" s="2452"/>
      <c r="AQ8" s="2452"/>
      <c r="AR8" s="2452"/>
      <c r="AS8" s="2452"/>
      <c r="AT8" s="2452"/>
      <c r="AU8" s="2452"/>
      <c r="AV8" s="2452"/>
      <c r="AW8" s="2452"/>
      <c r="AX8" s="2452"/>
      <c r="AY8" s="2452"/>
      <c r="AZ8" s="2452"/>
      <c r="BA8" s="2452"/>
      <c r="BB8" s="2452"/>
      <c r="BC8" s="2452"/>
      <c r="BD8" s="2452"/>
      <c r="BE8" s="2452"/>
      <c r="BF8" s="2452"/>
      <c r="BG8" s="2452"/>
      <c r="BH8" s="2452"/>
      <c r="BI8" s="2452"/>
      <c r="BJ8" s="2452"/>
      <c r="BK8" s="2452"/>
      <c r="BL8" s="2452"/>
      <c r="BM8" s="2452"/>
      <c r="BN8" s="2452"/>
      <c r="BO8" s="2452"/>
      <c r="BP8" s="2452"/>
      <c r="BQ8" s="2452"/>
      <c r="BR8" s="2452"/>
      <c r="BS8" s="2453"/>
      <c r="BT8" s="2440"/>
      <c r="BU8" s="2441"/>
      <c r="BV8" s="2441"/>
      <c r="BW8" s="2441"/>
      <c r="BX8" s="2441"/>
      <c r="BY8" s="2441"/>
      <c r="BZ8" s="2441"/>
      <c r="CA8" s="2441"/>
      <c r="CB8" s="2441"/>
      <c r="CC8" s="2441"/>
      <c r="CD8" s="2441"/>
      <c r="CE8" s="2441"/>
      <c r="CF8" s="2441"/>
      <c r="CG8" s="2441"/>
      <c r="CH8" s="2441"/>
      <c r="CI8" s="2441"/>
      <c r="CJ8" s="2441"/>
      <c r="CK8" s="2441"/>
      <c r="CL8" s="2441"/>
      <c r="CM8" s="2441"/>
      <c r="CN8" s="2441"/>
      <c r="CO8" s="2441"/>
      <c r="CP8" s="2441"/>
      <c r="CQ8" s="2441"/>
      <c r="CR8" s="2441"/>
      <c r="CS8" s="2441"/>
      <c r="CT8" s="2441"/>
      <c r="CU8" s="2441"/>
      <c r="CV8" s="2441"/>
      <c r="CW8" s="2441"/>
      <c r="CX8" s="2442"/>
      <c r="CY8" s="2443"/>
      <c r="CZ8" s="2444"/>
      <c r="DA8" s="2444"/>
      <c r="DB8" s="2444"/>
      <c r="DC8" s="2444"/>
      <c r="DD8" s="2444"/>
      <c r="DE8" s="2444"/>
      <c r="DF8" s="2444"/>
      <c r="DG8" s="2444"/>
      <c r="DH8" s="2444"/>
      <c r="DI8" s="2444"/>
      <c r="DJ8" s="2444"/>
      <c r="DK8" s="2444"/>
      <c r="DL8" s="2444"/>
      <c r="DM8" s="2444"/>
      <c r="DN8" s="2444"/>
      <c r="DO8" s="2444"/>
      <c r="DP8" s="2444"/>
      <c r="DQ8" s="2444"/>
      <c r="DR8" s="2444"/>
      <c r="DS8" s="2444"/>
      <c r="DT8" s="2444"/>
      <c r="DU8" s="2444"/>
      <c r="DV8" s="2444"/>
      <c r="DW8" s="2444"/>
      <c r="DX8" s="2445"/>
      <c r="DY8" s="2446" t="s">
        <v>1203</v>
      </c>
      <c r="DZ8" s="2447"/>
      <c r="EA8" s="2447"/>
      <c r="EB8" s="2447"/>
      <c r="EC8" s="2447"/>
      <c r="ED8" s="2447"/>
      <c r="EE8" s="2447"/>
      <c r="EF8" s="2447"/>
      <c r="EG8" s="2447"/>
      <c r="EH8" s="2447"/>
      <c r="EI8" s="2447"/>
      <c r="EJ8" s="2447"/>
      <c r="EK8" s="2447"/>
      <c r="EL8" s="2447"/>
      <c r="EM8" s="2447"/>
      <c r="EN8" s="2447"/>
      <c r="EO8" s="2447"/>
      <c r="EP8" s="2447"/>
      <c r="EQ8" s="2447"/>
      <c r="ER8" s="2447"/>
      <c r="ES8" s="2447"/>
      <c r="ET8" s="2447"/>
      <c r="EU8" s="2447"/>
      <c r="EV8" s="2447"/>
      <c r="EW8" s="2447"/>
      <c r="EX8" s="2447"/>
      <c r="EY8" s="2447"/>
      <c r="EZ8" s="2447"/>
      <c r="FA8" s="2447"/>
      <c r="FB8" s="2447"/>
      <c r="FC8" s="2447"/>
      <c r="FD8" s="2447"/>
      <c r="FE8" s="2447"/>
      <c r="FF8" s="2447"/>
      <c r="FG8" s="2447"/>
      <c r="FH8" s="2447"/>
      <c r="FI8" s="2447"/>
      <c r="FJ8" s="2447"/>
      <c r="FK8" s="2447"/>
      <c r="FL8" s="2447"/>
      <c r="FM8" s="2447"/>
      <c r="FN8" s="2447"/>
      <c r="FO8" s="2447"/>
      <c r="FP8" s="2447"/>
      <c r="FQ8" s="2447"/>
      <c r="FR8" s="2447"/>
      <c r="FS8" s="2447"/>
      <c r="FT8" s="2447"/>
      <c r="FU8" s="2447"/>
      <c r="FV8" s="2447"/>
      <c r="FW8" s="2448"/>
      <c r="FX8" s="1057"/>
      <c r="GC8" s="934">
        <v>0</v>
      </c>
    </row>
    <row s="934" customFormat="1" customHeight="1" ht="11.25" hidden="1">
      <c r="B9" s="935"/>
      <c r="F9" s="1057"/>
      <c r="G9" s="764"/>
      <c r="H9" s="361"/>
      <c r="I9" s="361"/>
      <c r="J9" s="361"/>
      <c r="K9" s="361"/>
      <c r="L9" s="361"/>
      <c r="M9" s="1057"/>
      <c r="N9" s="1057"/>
      <c r="O9" s="1057"/>
      <c r="P9" s="1057"/>
      <c r="Q9" s="1057"/>
      <c r="R9" s="1057"/>
      <c r="S9" s="1057"/>
      <c r="T9" s="1057"/>
      <c r="U9" s="1057"/>
      <c r="V9" s="1057"/>
      <c r="W9" s="1057"/>
      <c r="X9" s="1057"/>
      <c r="Y9" s="1057"/>
      <c r="Z9" s="1057"/>
      <c r="AA9" s="1057"/>
      <c r="AB9" s="1057"/>
      <c r="AC9" s="1057"/>
      <c r="AD9" s="1057"/>
      <c r="AE9" s="1057"/>
      <c r="AF9" s="1057"/>
      <c r="AG9" s="1057"/>
      <c r="AH9" s="1057"/>
      <c r="AI9" s="1057"/>
      <c r="AJ9" s="1057"/>
      <c r="AK9" s="1057"/>
      <c r="AL9" s="1057"/>
      <c r="AM9" s="1057"/>
      <c r="AN9" s="1057"/>
      <c r="AO9" s="1057"/>
      <c r="AP9" s="1057"/>
      <c r="AQ9" s="1057"/>
      <c r="AR9" s="1057"/>
      <c r="AS9" s="1057"/>
      <c r="AT9" s="1057"/>
      <c r="AU9" s="1057"/>
      <c r="AV9" s="1057"/>
      <c r="AW9" s="1057"/>
      <c r="AX9" s="1057"/>
      <c r="AY9" s="1057"/>
      <c r="AZ9" s="1057"/>
      <c r="BA9" s="1057"/>
      <c r="BB9" s="1057"/>
      <c r="BC9" s="1057"/>
      <c r="BD9" s="1057"/>
      <c r="BE9" s="1057"/>
      <c r="BF9" s="1057"/>
      <c r="BG9" s="1057"/>
      <c r="BH9" s="1057"/>
      <c r="BI9" s="1057"/>
      <c r="BJ9" s="1057"/>
      <c r="BK9" s="1057"/>
      <c r="BL9" s="1057"/>
      <c r="BM9" s="1057"/>
      <c r="BN9" s="1057"/>
      <c r="BO9" s="1057"/>
      <c r="BP9" s="1057"/>
      <c r="BQ9" s="1057"/>
      <c r="BR9" s="1057"/>
      <c r="BS9" s="1057"/>
      <c r="BT9" s="1057"/>
      <c r="BU9" s="1057"/>
      <c r="BV9" s="1057"/>
      <c r="BW9" s="1057"/>
      <c r="BX9" s="1057"/>
      <c r="BY9" s="1057"/>
      <c r="BZ9" s="1057"/>
      <c r="CA9" s="1057"/>
      <c r="CB9" s="1057"/>
      <c r="CC9" s="1057"/>
      <c r="CD9" s="1057"/>
      <c r="CE9" s="1057"/>
      <c r="CF9" s="1057"/>
      <c r="CG9" s="1057"/>
      <c r="CH9" s="1057"/>
      <c r="CI9" s="1057"/>
      <c r="CJ9" s="1057"/>
      <c r="CK9" s="1057"/>
      <c r="CL9" s="1057"/>
      <c r="CM9" s="1057"/>
      <c r="CN9" s="1057"/>
      <c r="CO9" s="1057"/>
      <c r="CP9" s="1057"/>
      <c r="CQ9" s="1057"/>
      <c r="CR9" s="1057"/>
      <c r="CS9" s="1057"/>
      <c r="CT9" s="1057"/>
      <c r="CU9" s="1057"/>
      <c r="CV9" s="1057"/>
      <c r="CW9" s="1057"/>
      <c r="CX9" s="1057"/>
      <c r="CY9" s="1057"/>
      <c r="CZ9" s="1057"/>
      <c r="DA9" s="1057"/>
      <c r="DB9" s="1057"/>
      <c r="DC9" s="1057"/>
      <c r="DD9" s="1057"/>
      <c r="DE9" s="1057"/>
      <c r="DF9" s="1057"/>
      <c r="DG9" s="1057"/>
      <c r="DH9" s="1057"/>
      <c r="DI9" s="1057"/>
      <c r="DJ9" s="1057"/>
      <c r="DK9" s="1057"/>
      <c r="DL9" s="1057"/>
      <c r="DM9" s="1057"/>
      <c r="DN9" s="1057"/>
      <c r="DO9" s="1057"/>
      <c r="DP9" s="1057"/>
      <c r="DQ9" s="1057"/>
      <c r="DR9" s="1057"/>
      <c r="DS9" s="1057"/>
      <c r="DT9" s="1057"/>
      <c r="DU9" s="1057"/>
      <c r="DV9" s="1057"/>
      <c r="DW9" s="1057"/>
      <c r="DX9" s="1057"/>
      <c r="DY9" s="1057"/>
      <c r="DZ9" s="1057"/>
      <c r="EA9" s="1057"/>
      <c r="EB9" s="1057"/>
      <c r="EC9" s="1057"/>
      <c r="ED9" s="1057"/>
      <c r="EE9" s="1057"/>
      <c r="EF9" s="1057"/>
      <c r="EG9" s="1057"/>
      <c r="EH9" s="1057"/>
      <c r="EI9" s="1057"/>
      <c r="EJ9" s="1057"/>
      <c r="EK9" s="1057"/>
      <c r="EL9" s="1057"/>
      <c r="EM9" s="1057"/>
      <c r="EN9" s="1057"/>
      <c r="EO9" s="1057"/>
      <c r="EP9" s="1057"/>
      <c r="EQ9" s="1057"/>
      <c r="ER9" s="1057"/>
      <c r="ES9" s="1057"/>
      <c r="ET9" s="1057"/>
      <c r="EU9" s="1057"/>
      <c r="EV9" s="1057"/>
      <c r="EW9" s="1057"/>
      <c r="EX9" s="1057"/>
      <c r="EY9" s="1057"/>
      <c r="EZ9" s="1057"/>
      <c r="FA9" s="1057"/>
      <c r="FB9" s="1057"/>
      <c r="FC9" s="1057"/>
      <c r="FD9" s="1057"/>
      <c r="FE9" s="1057"/>
      <c r="FF9" s="1057"/>
      <c r="FG9" s="1057"/>
      <c r="FH9" s="1057"/>
      <c r="FI9" s="1057"/>
      <c r="FJ9" s="1057"/>
      <c r="FK9" s="1057"/>
      <c r="FL9" s="1057"/>
      <c r="FM9" s="1057"/>
      <c r="FN9" s="1057"/>
      <c r="FO9" s="1057"/>
      <c r="FP9" s="1057"/>
      <c r="FQ9" s="1057"/>
      <c r="FR9" s="1057"/>
      <c r="FS9" s="1057"/>
      <c r="FT9" s="1057"/>
      <c r="FU9" s="1057"/>
      <c r="FV9" s="1057"/>
      <c r="FW9" s="2449"/>
      <c r="FX9" s="1057"/>
      <c r="GC9" s="934">
        <v>0</v>
      </c>
    </row>
    <row s="934" customFormat="1" customHeight="1" ht="11.549999999999999">
      <c r="B10" s="935"/>
      <c r="F10" s="2430" t="s">
        <v>430</v>
      </c>
      <c r="G10" s="2431"/>
      <c r="H10" s="2431"/>
      <c r="I10" s="2431"/>
      <c r="J10" s="2431"/>
      <c r="K10" s="2431"/>
      <c r="L10" s="2431"/>
      <c r="M10" s="2431"/>
      <c r="N10" s="2431"/>
      <c r="O10" s="2431"/>
      <c r="P10" s="2431"/>
      <c r="Q10" s="2431"/>
      <c r="R10" s="2431"/>
      <c r="S10" s="2431"/>
      <c r="T10" s="2431"/>
      <c r="U10" s="2431"/>
      <c r="V10" s="2431"/>
      <c r="W10" s="2431"/>
      <c r="X10" s="2431"/>
      <c r="Y10" s="2431"/>
      <c r="Z10" s="2431"/>
      <c r="AA10" s="2431"/>
      <c r="AB10" s="2431"/>
      <c r="AC10" s="2431"/>
      <c r="AD10" s="2431"/>
      <c r="AE10" s="2431"/>
      <c r="AF10" s="2431"/>
      <c r="AG10" s="2431"/>
      <c r="AH10" s="2431"/>
      <c r="AI10" s="2431"/>
      <c r="AJ10" s="2431"/>
      <c r="AK10" s="2431"/>
      <c r="AL10" s="2431"/>
      <c r="AM10" s="2431"/>
      <c r="AN10" s="2431"/>
      <c r="AO10" s="2431"/>
      <c r="AP10" s="2431"/>
      <c r="AQ10" s="2431"/>
      <c r="AR10" s="2431"/>
      <c r="AS10" s="2431"/>
      <c r="AT10" s="2431"/>
      <c r="AU10" s="2431"/>
      <c r="AV10" s="2431"/>
      <c r="AW10" s="2431"/>
      <c r="AX10" s="2431"/>
      <c r="AY10" s="2431"/>
      <c r="AZ10" s="2431"/>
      <c r="BA10" s="2431"/>
      <c r="BB10" s="2431"/>
      <c r="BC10" s="2431"/>
      <c r="BD10" s="2431"/>
      <c r="BE10" s="2431"/>
      <c r="BF10" s="2431"/>
      <c r="BG10" s="2431"/>
      <c r="BH10" s="2431"/>
      <c r="BI10" s="2431"/>
      <c r="BJ10" s="2431"/>
      <c r="BK10" s="2431"/>
      <c r="BL10" s="2431"/>
      <c r="BM10" s="2431"/>
      <c r="BN10" s="2431"/>
      <c r="BO10" s="2431"/>
      <c r="BP10" s="2431"/>
      <c r="BQ10" s="2431"/>
      <c r="BR10" s="2431"/>
      <c r="BS10" s="2431"/>
      <c r="BT10" s="2431"/>
      <c r="BU10" s="2431"/>
      <c r="BV10" s="2431"/>
      <c r="BW10" s="2431"/>
      <c r="BX10" s="2431"/>
      <c r="BY10" s="2431"/>
      <c r="BZ10" s="2431"/>
      <c r="CA10" s="2431"/>
      <c r="CB10" s="2431"/>
      <c r="CC10" s="2431"/>
      <c r="CD10" s="2431"/>
      <c r="CE10" s="2431"/>
      <c r="CF10" s="2431"/>
      <c r="CG10" s="2431"/>
      <c r="CH10" s="2431"/>
      <c r="CI10" s="2431"/>
      <c r="CJ10" s="2431"/>
      <c r="CK10" s="2431"/>
      <c r="CL10" s="2431"/>
      <c r="CM10" s="2431"/>
      <c r="CN10" s="2431"/>
      <c r="CO10" s="2431"/>
      <c r="CP10" s="2431"/>
      <c r="CQ10" s="2431"/>
      <c r="CR10" s="2431"/>
      <c r="CS10" s="2431"/>
      <c r="CT10" s="2431"/>
      <c r="CU10" s="2431"/>
      <c r="CV10" s="2431"/>
      <c r="CW10" s="2431"/>
      <c r="CX10" s="2431"/>
      <c r="CY10" s="2431"/>
      <c r="CZ10" s="2431"/>
      <c r="DA10" s="2431"/>
      <c r="DB10" s="2431"/>
      <c r="DC10" s="2431"/>
      <c r="DD10" s="2431"/>
      <c r="DE10" s="2431"/>
      <c r="DF10" s="2431"/>
      <c r="DG10" s="2431"/>
      <c r="DH10" s="2431"/>
      <c r="DI10" s="2431"/>
      <c r="DJ10" s="2431"/>
      <c r="DK10" s="2431"/>
      <c r="DL10" s="2431"/>
      <c r="DM10" s="2431"/>
      <c r="DN10" s="2431"/>
      <c r="DO10" s="2431"/>
      <c r="DP10" s="2431"/>
      <c r="DQ10" s="2431"/>
      <c r="DR10" s="2431"/>
      <c r="DS10" s="2431"/>
      <c r="DT10" s="2431"/>
      <c r="DU10" s="2431"/>
      <c r="DV10" s="2431"/>
      <c r="DW10" s="2431"/>
      <c r="DX10" s="2431"/>
      <c r="DY10" s="2431"/>
      <c r="DZ10" s="2431"/>
      <c r="EA10" s="2431"/>
      <c r="EB10" s="2431"/>
      <c r="EC10" s="2431"/>
      <c r="ED10" s="2431"/>
      <c r="EE10" s="2431"/>
      <c r="EF10" s="2431"/>
      <c r="EG10" s="2431"/>
      <c r="EH10" s="2431"/>
      <c r="EI10" s="2431"/>
      <c r="EJ10" s="2431"/>
      <c r="EK10" s="2431"/>
      <c r="EL10" s="2431"/>
      <c r="EM10" s="2431"/>
      <c r="EN10" s="2431"/>
      <c r="EO10" s="2431"/>
      <c r="EP10" s="2431"/>
      <c r="EQ10" s="2431"/>
      <c r="ER10" s="2431"/>
      <c r="ES10" s="2431"/>
      <c r="ET10" s="2431"/>
      <c r="EU10" s="2431"/>
      <c r="EV10" s="2431"/>
      <c r="EW10" s="2431"/>
      <c r="EX10" s="2431"/>
      <c r="EY10" s="2431"/>
      <c r="EZ10" s="2431"/>
      <c r="FA10" s="2431"/>
      <c r="FB10" s="2431"/>
      <c r="FC10" s="2431"/>
      <c r="FD10" s="2431"/>
      <c r="FE10" s="2431"/>
      <c r="FF10" s="2431"/>
      <c r="FG10" s="2431"/>
      <c r="FH10" s="2431"/>
      <c r="FI10" s="2431"/>
      <c r="FJ10" s="2431"/>
      <c r="FK10" s="2431"/>
      <c r="FL10" s="2431"/>
      <c r="FM10" s="2431"/>
      <c r="FN10" s="2431"/>
      <c r="FO10" s="2431"/>
      <c r="FP10" s="2431"/>
      <c r="FQ10" s="2431"/>
      <c r="FR10" s="2431"/>
      <c r="FS10" s="2431"/>
      <c r="FT10" s="2431"/>
      <c r="FU10" s="2431"/>
      <c r="FV10" s="2432"/>
      <c r="FW10" s="2449"/>
      <c r="FX10" s="1057"/>
      <c r="GC10" s="934">
        <v>11</v>
      </c>
    </row>
    <row customHeight="1" ht="12.75">
      <c r="E11" s="938"/>
      <c r="F11" s="2206" t="s">
        <v>92</v>
      </c>
      <c r="G11" s="2206" t="s">
        <v>1204</v>
      </c>
      <c r="H11" s="2438" t="s">
        <v>1205</v>
      </c>
      <c r="I11" s="2438" t="s">
        <v>1206</v>
      </c>
      <c r="J11" s="2439"/>
      <c r="K11" s="2439"/>
      <c r="L11" s="2439"/>
      <c r="M11" s="2439"/>
      <c r="N11" s="2439"/>
      <c r="O11" s="2210" t="s">
        <v>1207</v>
      </c>
      <c r="P11" s="2210"/>
      <c r="Q11" s="2210"/>
      <c r="R11" s="2210"/>
      <c r="S11" s="2210"/>
      <c r="T11" s="2210"/>
      <c r="U11" s="2210"/>
      <c r="V11" s="2210"/>
      <c r="W11" s="2210"/>
      <c r="X11" s="2210"/>
      <c r="Y11" s="2210"/>
      <c r="Z11" s="2210"/>
      <c r="AA11" s="2210"/>
      <c r="AB11" s="2210"/>
      <c r="AC11" s="2435"/>
      <c r="AD11" s="2435"/>
      <c r="AE11" s="2435"/>
      <c r="AF11" s="2435"/>
      <c r="AG11" s="2435"/>
      <c r="AH11" s="2435"/>
      <c r="AI11" s="2435"/>
      <c r="AJ11" s="2435"/>
      <c r="AK11" s="2435"/>
      <c r="AL11" s="2435"/>
      <c r="AM11" s="2435"/>
      <c r="AN11" s="2435"/>
      <c r="AO11" s="2435"/>
      <c r="AP11" s="2435"/>
      <c r="AQ11" s="2435"/>
      <c r="AR11" s="2435"/>
      <c r="AS11" s="2435"/>
      <c r="AT11" s="2435"/>
      <c r="AU11" s="2435"/>
      <c r="AV11" s="2435"/>
      <c r="AW11" s="2435"/>
      <c r="AX11" s="2435"/>
      <c r="AY11" s="2435"/>
      <c r="AZ11" s="2435"/>
      <c r="BA11" s="2435"/>
      <c r="BB11" s="2435"/>
      <c r="BC11" s="2435"/>
      <c r="BD11" s="2435"/>
      <c r="BE11" s="2435"/>
      <c r="BF11" s="2435"/>
      <c r="BG11" s="2435"/>
      <c r="BH11" s="2435"/>
      <c r="BI11" s="2435"/>
      <c r="BJ11" s="2435"/>
      <c r="BK11" s="2435"/>
      <c r="BL11" s="2435"/>
      <c r="BM11" s="2435"/>
      <c r="BN11" s="2435"/>
      <c r="BO11" s="2435"/>
      <c r="BP11" s="2435"/>
      <c r="BQ11" s="2435"/>
      <c r="BR11" s="2435"/>
      <c r="BS11" s="2454"/>
      <c r="BT11" s="2387" t="s">
        <v>1207</v>
      </c>
      <c r="BU11" s="2388"/>
      <c r="BV11" s="2388"/>
      <c r="BW11" s="2388"/>
      <c r="BX11" s="2388"/>
      <c r="BY11" s="2388"/>
      <c r="BZ11" s="2388"/>
      <c r="CA11" s="2388"/>
      <c r="CB11" s="2388"/>
      <c r="CC11" s="2388"/>
      <c r="CD11" s="2388"/>
      <c r="CE11" s="2388"/>
      <c r="CF11" s="2388"/>
      <c r="CG11" s="2388"/>
      <c r="CH11" s="2388"/>
      <c r="CI11" s="2388"/>
      <c r="CJ11" s="2388"/>
      <c r="CK11" s="2434"/>
      <c r="CL11" s="2437"/>
      <c r="CM11" s="2435"/>
      <c r="CN11" s="2435"/>
      <c r="CO11" s="2435"/>
      <c r="CP11" s="2435"/>
      <c r="CQ11" s="2435"/>
      <c r="CR11" s="2435"/>
      <c r="CS11" s="2435"/>
      <c r="CT11" s="2435"/>
      <c r="CU11" s="2435"/>
      <c r="CV11" s="2435"/>
      <c r="CW11" s="2435"/>
      <c r="CX11" s="2454"/>
      <c r="CY11" s="2387" t="s">
        <v>1207</v>
      </c>
      <c r="CZ11" s="2388"/>
      <c r="DA11" s="2388"/>
      <c r="DB11" s="2388"/>
      <c r="DC11" s="2388"/>
      <c r="DD11" s="2388"/>
      <c r="DE11" s="2388"/>
      <c r="DF11" s="2388"/>
      <c r="DG11" s="2388"/>
      <c r="DH11" s="2388"/>
      <c r="DI11" s="2388"/>
      <c r="DJ11" s="2434"/>
      <c r="DK11" s="2437"/>
      <c r="DL11" s="2435"/>
      <c r="DM11" s="2435"/>
      <c r="DN11" s="2435"/>
      <c r="DO11" s="2435"/>
      <c r="DP11" s="2435"/>
      <c r="DQ11" s="2435"/>
      <c r="DR11" s="2435"/>
      <c r="DS11" s="2435"/>
      <c r="DT11" s="2435"/>
      <c r="DU11" s="2435"/>
      <c r="DV11" s="2435"/>
      <c r="DW11" s="2435"/>
      <c r="DX11" s="2435"/>
      <c r="DY11" s="2435"/>
      <c r="DZ11" s="2435"/>
      <c r="EA11" s="2435"/>
      <c r="EB11" s="2435"/>
      <c r="EC11" s="2435"/>
      <c r="ED11" s="2435"/>
      <c r="EE11" s="2435"/>
      <c r="EF11" s="2435"/>
      <c r="EG11" s="2435"/>
      <c r="EH11" s="2435"/>
      <c r="EI11" s="2435"/>
      <c r="EJ11" s="2435"/>
      <c r="EK11" s="2435"/>
      <c r="EL11" s="2435"/>
      <c r="EM11" s="2435"/>
      <c r="EN11" s="2435"/>
      <c r="EO11" s="2435"/>
      <c r="EP11" s="2435"/>
      <c r="EQ11" s="2435"/>
      <c r="ER11" s="2435"/>
      <c r="ES11" s="2435"/>
      <c r="ET11" s="2435"/>
      <c r="EU11" s="2435"/>
      <c r="EV11" s="2435"/>
      <c r="EW11" s="2435"/>
      <c r="EX11" s="2435"/>
      <c r="EY11" s="2435"/>
      <c r="EZ11" s="2435"/>
      <c r="FA11" s="2435"/>
      <c r="FB11" s="2435"/>
      <c r="FC11" s="2435"/>
      <c r="FD11" s="2435"/>
      <c r="FE11" s="2435"/>
      <c r="FF11" s="2435"/>
      <c r="FG11" s="2435"/>
      <c r="FH11" s="2435"/>
      <c r="FI11" s="2435"/>
      <c r="FJ11" s="2435"/>
      <c r="FK11" s="2435"/>
      <c r="FL11" s="2435"/>
      <c r="FM11" s="2435"/>
      <c r="FN11" s="2435"/>
      <c r="FO11" s="2435"/>
      <c r="FP11" s="2435"/>
      <c r="FQ11" s="2435"/>
      <c r="FR11" s="2435"/>
      <c r="FS11" s="2435"/>
      <c r="FT11" s="2435"/>
      <c r="FU11" s="2435"/>
      <c r="FV11" s="2435"/>
      <c r="FW11" s="2449"/>
      <c r="FX11" s="763"/>
      <c r="GC11" s="927">
        <v>12</v>
      </c>
    </row>
    <row customHeight="1" ht="12.75">
      <c r="D12" s="939"/>
      <c r="E12" s="938"/>
      <c r="F12" s="2206"/>
      <c r="G12" s="2206"/>
      <c r="H12" s="2438"/>
      <c r="I12" s="2438"/>
      <c r="J12" s="2439"/>
      <c r="K12" s="2439"/>
      <c r="L12" s="2439"/>
      <c r="M12" s="2439"/>
      <c r="N12" s="2439"/>
      <c r="O12" s="2210" t="s">
        <v>1208</v>
      </c>
      <c r="P12" s="2210"/>
      <c r="Q12" s="2210"/>
      <c r="R12" s="2210"/>
      <c r="S12" s="2210" t="s">
        <v>1209</v>
      </c>
      <c r="T12" s="2210"/>
      <c r="U12" s="2210"/>
      <c r="V12" s="2210"/>
      <c r="W12" s="2210"/>
      <c r="X12" s="2210"/>
      <c r="Y12" s="2210"/>
      <c r="Z12" s="2210"/>
      <c r="AA12" s="2210"/>
      <c r="AB12" s="2210"/>
      <c r="AC12" s="2435"/>
      <c r="AD12" s="2435"/>
      <c r="AE12" s="2435"/>
      <c r="AF12" s="2435"/>
      <c r="AG12" s="2435"/>
      <c r="AH12" s="2435"/>
      <c r="AI12" s="2435"/>
      <c r="AJ12" s="2435"/>
      <c r="AK12" s="2435"/>
      <c r="AL12" s="2435"/>
      <c r="AM12" s="2435"/>
      <c r="AN12" s="2435"/>
      <c r="AO12" s="2435"/>
      <c r="AP12" s="2435"/>
      <c r="AQ12" s="2435"/>
      <c r="AR12" s="2435"/>
      <c r="AS12" s="2435"/>
      <c r="AT12" s="2435"/>
      <c r="AU12" s="2435"/>
      <c r="AV12" s="2435"/>
      <c r="AW12" s="2435"/>
      <c r="AX12" s="2435"/>
      <c r="AY12" s="2435"/>
      <c r="AZ12" s="2435"/>
      <c r="BA12" s="2435"/>
      <c r="BB12" s="2435"/>
      <c r="BC12" s="2435"/>
      <c r="BD12" s="2435"/>
      <c r="BE12" s="2435"/>
      <c r="BF12" s="2435"/>
      <c r="BG12" s="2435"/>
      <c r="BH12" s="2435"/>
      <c r="BI12" s="2435"/>
      <c r="BJ12" s="2435"/>
      <c r="BK12" s="2435"/>
      <c r="BL12" s="2435"/>
      <c r="BM12" s="2435"/>
      <c r="BN12" s="2435"/>
      <c r="BO12" s="2435"/>
      <c r="BP12" s="2435"/>
      <c r="BQ12" s="2435"/>
      <c r="BR12" s="2435"/>
      <c r="BS12" s="2454"/>
      <c r="BT12" s="2387" t="s">
        <v>1210</v>
      </c>
      <c r="BU12" s="2388"/>
      <c r="BV12" s="2388"/>
      <c r="BW12" s="2434"/>
      <c r="BX12" s="2387" t="s">
        <v>1211</v>
      </c>
      <c r="BY12" s="2388"/>
      <c r="BZ12" s="2388"/>
      <c r="CA12" s="2434"/>
      <c r="CB12" s="2387" t="s">
        <v>1212</v>
      </c>
      <c r="CC12" s="2434"/>
      <c r="CD12" s="2387" t="s">
        <v>1213</v>
      </c>
      <c r="CE12" s="2388"/>
      <c r="CF12" s="2388"/>
      <c r="CG12" s="2388"/>
      <c r="CH12" s="2388"/>
      <c r="CI12" s="2388"/>
      <c r="CJ12" s="2388"/>
      <c r="CK12" s="2434"/>
      <c r="CL12" s="2437"/>
      <c r="CM12" s="2435"/>
      <c r="CN12" s="2435"/>
      <c r="CO12" s="2435"/>
      <c r="CP12" s="2435"/>
      <c r="CQ12" s="2435"/>
      <c r="CR12" s="2435"/>
      <c r="CS12" s="2435"/>
      <c r="CT12" s="2435"/>
      <c r="CU12" s="2435"/>
      <c r="CV12" s="2435"/>
      <c r="CW12" s="2435"/>
      <c r="CX12" s="2454"/>
      <c r="CY12" s="2387" t="s">
        <v>1214</v>
      </c>
      <c r="CZ12" s="2388"/>
      <c r="DA12" s="2388"/>
      <c r="DB12" s="2388"/>
      <c r="DC12" s="2388"/>
      <c r="DD12" s="2434"/>
      <c r="DE12" s="2387" t="s">
        <v>1215</v>
      </c>
      <c r="DF12" s="2434"/>
      <c r="DG12" s="2387" t="s">
        <v>1213</v>
      </c>
      <c r="DH12" s="2388"/>
      <c r="DI12" s="2388"/>
      <c r="DJ12" s="2434"/>
      <c r="DK12" s="2437"/>
      <c r="DL12" s="2435"/>
      <c r="DM12" s="2435"/>
      <c r="DN12" s="2435"/>
      <c r="DO12" s="2435"/>
      <c r="DP12" s="2435"/>
      <c r="DQ12" s="2435"/>
      <c r="DR12" s="2435"/>
      <c r="DS12" s="2435"/>
      <c r="DT12" s="2435"/>
      <c r="DU12" s="2435"/>
      <c r="DV12" s="2435"/>
      <c r="DW12" s="2435"/>
      <c r="DX12" s="2435"/>
      <c r="DY12" s="2435"/>
      <c r="DZ12" s="2435"/>
      <c r="EA12" s="2435"/>
      <c r="EB12" s="2435"/>
      <c r="EC12" s="2435"/>
      <c r="ED12" s="2435"/>
      <c r="EE12" s="2435"/>
      <c r="EF12" s="2435"/>
      <c r="EG12" s="2435"/>
      <c r="EH12" s="2435"/>
      <c r="EI12" s="2435"/>
      <c r="EJ12" s="2435"/>
      <c r="EK12" s="2435"/>
      <c r="EL12" s="2435"/>
      <c r="EM12" s="2435"/>
      <c r="EN12" s="2435"/>
      <c r="EO12" s="2435"/>
      <c r="EP12" s="2435"/>
      <c r="EQ12" s="2435"/>
      <c r="ER12" s="2435"/>
      <c r="ES12" s="2435"/>
      <c r="ET12" s="2435"/>
      <c r="EU12" s="2435"/>
      <c r="EV12" s="2435"/>
      <c r="EW12" s="2435"/>
      <c r="EX12" s="2435"/>
      <c r="EY12" s="2435"/>
      <c r="EZ12" s="2435"/>
      <c r="FA12" s="2435"/>
      <c r="FB12" s="2435"/>
      <c r="FC12" s="2435"/>
      <c r="FD12" s="2435"/>
      <c r="FE12" s="2435"/>
      <c r="FF12" s="2435"/>
      <c r="FG12" s="2435"/>
      <c r="FH12" s="2435"/>
      <c r="FI12" s="2435"/>
      <c r="FJ12" s="2435"/>
      <c r="FK12" s="2435"/>
      <c r="FL12" s="2435"/>
      <c r="FM12" s="2435"/>
      <c r="FN12" s="2435"/>
      <c r="FO12" s="2435"/>
      <c r="FP12" s="2435"/>
      <c r="FQ12" s="2435"/>
      <c r="FR12" s="2435"/>
      <c r="FS12" s="2435"/>
      <c r="FT12" s="2435"/>
      <c r="FU12" s="2435"/>
      <c r="FV12" s="2435"/>
      <c r="FW12" s="2449"/>
      <c r="FX12" s="763"/>
      <c r="GC12" s="927">
        <v>12</v>
      </c>
    </row>
    <row customHeight="1" ht="37.8">
      <c r="D13" s="939"/>
      <c r="E13" s="938"/>
      <c r="F13" s="2206"/>
      <c r="G13" s="2206"/>
      <c r="H13" s="2438"/>
      <c r="I13" s="2438"/>
      <c r="J13" s="2439"/>
      <c r="K13" s="2439"/>
      <c r="L13" s="2439"/>
      <c r="M13" s="2439"/>
      <c r="N13" s="2439"/>
      <c r="O13" s="2210" t="s">
        <v>1216</v>
      </c>
      <c r="P13" s="2210"/>
      <c r="Q13" s="2210"/>
      <c r="R13" s="2210"/>
      <c r="S13" s="2337" t="s">
        <v>1217</v>
      </c>
      <c r="T13" s="2389"/>
      <c r="U13" s="2128" t="s">
        <v>1218</v>
      </c>
      <c r="V13" s="2128"/>
      <c r="W13" s="2128"/>
      <c r="X13" s="2128"/>
      <c r="Y13" s="2128" t="s">
        <v>1219</v>
      </c>
      <c r="Z13" s="2128"/>
      <c r="AA13" s="2128"/>
      <c r="AB13" s="2128"/>
      <c r="AC13" s="2435"/>
      <c r="AD13" s="2435"/>
      <c r="AE13" s="2435"/>
      <c r="AF13" s="2435"/>
      <c r="AG13" s="2435"/>
      <c r="AH13" s="2435"/>
      <c r="AI13" s="2435"/>
      <c r="AJ13" s="2435"/>
      <c r="AK13" s="2435"/>
      <c r="AL13" s="2435"/>
      <c r="AM13" s="2435"/>
      <c r="AN13" s="2435"/>
      <c r="AO13" s="2435"/>
      <c r="AP13" s="2435"/>
      <c r="AQ13" s="2435"/>
      <c r="AR13" s="2435"/>
      <c r="AS13" s="2435"/>
      <c r="AT13" s="2435"/>
      <c r="AU13" s="2435"/>
      <c r="AV13" s="2435"/>
      <c r="AW13" s="2435"/>
      <c r="AX13" s="2435"/>
      <c r="AY13" s="2435"/>
      <c r="AZ13" s="2435"/>
      <c r="BA13" s="2435"/>
      <c r="BB13" s="2435"/>
      <c r="BC13" s="2435"/>
      <c r="BD13" s="2435"/>
      <c r="BE13" s="2435"/>
      <c r="BF13" s="2435"/>
      <c r="BG13" s="2435"/>
      <c r="BH13" s="2435"/>
      <c r="BI13" s="2435"/>
      <c r="BJ13" s="2435"/>
      <c r="BK13" s="2435"/>
      <c r="BL13" s="2435"/>
      <c r="BM13" s="2435"/>
      <c r="BN13" s="2435"/>
      <c r="BO13" s="2435"/>
      <c r="BP13" s="2435"/>
      <c r="BQ13" s="2435"/>
      <c r="BR13" s="2435"/>
      <c r="BS13" s="2454"/>
      <c r="BT13" s="2337" t="s">
        <v>1220</v>
      </c>
      <c r="BU13" s="2389"/>
      <c r="BV13" s="2337" t="s">
        <v>1221</v>
      </c>
      <c r="BW13" s="2389"/>
      <c r="BX13" s="2337" t="s">
        <v>1222</v>
      </c>
      <c r="BY13" s="2389"/>
      <c r="BZ13" s="2337" t="s">
        <v>1223</v>
      </c>
      <c r="CA13" s="2389"/>
      <c r="CB13" s="2337" t="s">
        <v>1224</v>
      </c>
      <c r="CC13" s="2389"/>
      <c r="CD13" s="2337" t="s">
        <v>1225</v>
      </c>
      <c r="CE13" s="2389"/>
      <c r="CF13" s="2337" t="s">
        <v>1226</v>
      </c>
      <c r="CG13" s="2389"/>
      <c r="CH13" s="2387" t="s">
        <v>1227</v>
      </c>
      <c r="CI13" s="2388"/>
      <c r="CJ13" s="2388"/>
      <c r="CK13" s="2434"/>
      <c r="CL13" s="2437"/>
      <c r="CM13" s="2435"/>
      <c r="CN13" s="2435"/>
      <c r="CO13" s="2435"/>
      <c r="CP13" s="2435"/>
      <c r="CQ13" s="2435"/>
      <c r="CR13" s="2435"/>
      <c r="CS13" s="2435"/>
      <c r="CT13" s="2435"/>
      <c r="CU13" s="2435"/>
      <c r="CV13" s="2435"/>
      <c r="CW13" s="2435"/>
      <c r="CX13" s="2454"/>
      <c r="CY13" s="2337" t="s">
        <v>1228</v>
      </c>
      <c r="CZ13" s="2389"/>
      <c r="DA13" s="2337" t="s">
        <v>1229</v>
      </c>
      <c r="DB13" s="2389"/>
      <c r="DC13" s="2337" t="s">
        <v>1230</v>
      </c>
      <c r="DD13" s="2389"/>
      <c r="DE13" s="2337" t="s">
        <v>1231</v>
      </c>
      <c r="DF13" s="2389"/>
      <c r="DG13" s="2387" t="s">
        <v>1232</v>
      </c>
      <c r="DH13" s="2388"/>
      <c r="DI13" s="2388"/>
      <c r="DJ13" s="2434"/>
      <c r="DK13" s="2437"/>
      <c r="DL13" s="2435"/>
      <c r="DM13" s="2435"/>
      <c r="DN13" s="2435"/>
      <c r="DO13" s="2435"/>
      <c r="DP13" s="2435"/>
      <c r="DQ13" s="2435"/>
      <c r="DR13" s="2435"/>
      <c r="DS13" s="2435"/>
      <c r="DT13" s="2435"/>
      <c r="DU13" s="2435"/>
      <c r="DV13" s="2435"/>
      <c r="DW13" s="2435"/>
      <c r="DX13" s="2435"/>
      <c r="DY13" s="2435"/>
      <c r="DZ13" s="2435"/>
      <c r="EA13" s="2435"/>
      <c r="EB13" s="2435"/>
      <c r="EC13" s="2435"/>
      <c r="ED13" s="2435"/>
      <c r="EE13" s="2435"/>
      <c r="EF13" s="2435"/>
      <c r="EG13" s="2435"/>
      <c r="EH13" s="2435"/>
      <c r="EI13" s="2435"/>
      <c r="EJ13" s="2435"/>
      <c r="EK13" s="2435"/>
      <c r="EL13" s="2435"/>
      <c r="EM13" s="2435"/>
      <c r="EN13" s="2435"/>
      <c r="EO13" s="2435"/>
      <c r="EP13" s="2435"/>
      <c r="EQ13" s="2435"/>
      <c r="ER13" s="2435"/>
      <c r="ES13" s="2435"/>
      <c r="ET13" s="2435"/>
      <c r="EU13" s="2435"/>
      <c r="EV13" s="2435"/>
      <c r="EW13" s="2435"/>
      <c r="EX13" s="2435"/>
      <c r="EY13" s="2435"/>
      <c r="EZ13" s="2435"/>
      <c r="FA13" s="2435"/>
      <c r="FB13" s="2435"/>
      <c r="FC13" s="2435"/>
      <c r="FD13" s="2435"/>
      <c r="FE13" s="2435"/>
      <c r="FF13" s="2435"/>
      <c r="FG13" s="2435"/>
      <c r="FH13" s="2435"/>
      <c r="FI13" s="2435"/>
      <c r="FJ13" s="2435"/>
      <c r="FK13" s="2435"/>
      <c r="FL13" s="2435"/>
      <c r="FM13" s="2435"/>
      <c r="FN13" s="2435"/>
      <c r="FO13" s="2435"/>
      <c r="FP13" s="2435"/>
      <c r="FQ13" s="2435"/>
      <c r="FR13" s="2435"/>
      <c r="FS13" s="2435"/>
      <c r="FT13" s="2435"/>
      <c r="FU13" s="2435"/>
      <c r="FV13" s="2435"/>
      <c r="FW13" s="2449"/>
      <c r="FX13" s="763"/>
      <c r="GC13" s="927">
        <v>36</v>
      </c>
    </row>
    <row customHeight="1" ht="37.8">
      <c r="D14" s="939"/>
      <c r="E14" s="938"/>
      <c r="F14" s="2206"/>
      <c r="G14" s="2206"/>
      <c r="H14" s="2438"/>
      <c r="I14" s="2438"/>
      <c r="J14" s="2439"/>
      <c r="K14" s="2439"/>
      <c r="L14" s="2439"/>
      <c r="M14" s="2439"/>
      <c r="N14" s="2439"/>
      <c r="O14" s="2337" t="s">
        <v>1233</v>
      </c>
      <c r="P14" s="2389"/>
      <c r="Q14" s="2337" t="s">
        <v>1234</v>
      </c>
      <c r="R14" s="2389"/>
      <c r="S14" s="2338"/>
      <c r="T14" s="2214"/>
      <c r="U14" s="2337" t="s">
        <v>966</v>
      </c>
      <c r="V14" s="2389"/>
      <c r="W14" s="2337" t="s">
        <v>969</v>
      </c>
      <c r="X14" s="2389"/>
      <c r="Y14" s="2337" t="s">
        <v>966</v>
      </c>
      <c r="Z14" s="2389"/>
      <c r="AA14" s="2337" t="s">
        <v>976</v>
      </c>
      <c r="AB14" s="2389"/>
      <c r="AC14" s="2435"/>
      <c r="AD14" s="2435"/>
      <c r="AE14" s="2435"/>
      <c r="AF14" s="2435"/>
      <c r="AG14" s="2435"/>
      <c r="AH14" s="2435"/>
      <c r="AI14" s="2435"/>
      <c r="AJ14" s="2435"/>
      <c r="AK14" s="2435"/>
      <c r="AL14" s="2435"/>
      <c r="AM14" s="2435"/>
      <c r="AN14" s="2435"/>
      <c r="AO14" s="2435"/>
      <c r="AP14" s="2435"/>
      <c r="AQ14" s="2435"/>
      <c r="AR14" s="2435"/>
      <c r="AS14" s="2435"/>
      <c r="AT14" s="2435"/>
      <c r="AU14" s="2435"/>
      <c r="AV14" s="2435"/>
      <c r="AW14" s="2435"/>
      <c r="AX14" s="2435"/>
      <c r="AY14" s="2435"/>
      <c r="AZ14" s="2435"/>
      <c r="BA14" s="2435"/>
      <c r="BB14" s="2435"/>
      <c r="BC14" s="2435"/>
      <c r="BD14" s="2435"/>
      <c r="BE14" s="2435"/>
      <c r="BF14" s="2435"/>
      <c r="BG14" s="2435"/>
      <c r="BH14" s="2435"/>
      <c r="BI14" s="2435"/>
      <c r="BJ14" s="2435"/>
      <c r="BK14" s="2435"/>
      <c r="BL14" s="2435"/>
      <c r="BM14" s="2435"/>
      <c r="BN14" s="2435"/>
      <c r="BO14" s="2435"/>
      <c r="BP14" s="2435"/>
      <c r="BQ14" s="2435"/>
      <c r="BR14" s="2435"/>
      <c r="BS14" s="2454"/>
      <c r="BT14" s="2338"/>
      <c r="BU14" s="2214"/>
      <c r="BV14" s="2338"/>
      <c r="BW14" s="2214"/>
      <c r="BX14" s="2338"/>
      <c r="BY14" s="2214"/>
      <c r="BZ14" s="2338"/>
      <c r="CA14" s="2214"/>
      <c r="CB14" s="2338"/>
      <c r="CC14" s="2214"/>
      <c r="CD14" s="2338"/>
      <c r="CE14" s="2214"/>
      <c r="CF14" s="2338"/>
      <c r="CG14" s="2214"/>
      <c r="CH14" s="2337" t="s">
        <v>1235</v>
      </c>
      <c r="CI14" s="2389"/>
      <c r="CJ14" s="2337" t="s">
        <v>1236</v>
      </c>
      <c r="CK14" s="2389"/>
      <c r="CL14" s="2437"/>
      <c r="CM14" s="2435"/>
      <c r="CN14" s="2435"/>
      <c r="CO14" s="2435"/>
      <c r="CP14" s="2435"/>
      <c r="CQ14" s="2435"/>
      <c r="CR14" s="2435"/>
      <c r="CS14" s="2435"/>
      <c r="CT14" s="2435"/>
      <c r="CU14" s="2435"/>
      <c r="CV14" s="2435"/>
      <c r="CW14" s="2435"/>
      <c r="CX14" s="2454"/>
      <c r="CY14" s="2338"/>
      <c r="CZ14" s="2214"/>
      <c r="DA14" s="2338"/>
      <c r="DB14" s="2214"/>
      <c r="DC14" s="2338"/>
      <c r="DD14" s="2214"/>
      <c r="DE14" s="2338"/>
      <c r="DF14" s="2214"/>
      <c r="DG14" s="2337" t="s">
        <v>1237</v>
      </c>
      <c r="DH14" s="2389"/>
      <c r="DI14" s="2337" t="s">
        <v>1238</v>
      </c>
      <c r="DJ14" s="2389"/>
      <c r="DK14" s="2437"/>
      <c r="DL14" s="2435"/>
      <c r="DM14" s="2435"/>
      <c r="DN14" s="2435"/>
      <c r="DO14" s="2435"/>
      <c r="DP14" s="2435"/>
      <c r="DQ14" s="2435"/>
      <c r="DR14" s="2435"/>
      <c r="DS14" s="2435"/>
      <c r="DT14" s="2435"/>
      <c r="DU14" s="2435"/>
      <c r="DV14" s="2435"/>
      <c r="DW14" s="2435"/>
      <c r="DX14" s="2435"/>
      <c r="DY14" s="2435"/>
      <c r="DZ14" s="2435"/>
      <c r="EA14" s="2435"/>
      <c r="EB14" s="2435"/>
      <c r="EC14" s="2435"/>
      <c r="ED14" s="2435"/>
      <c r="EE14" s="2435"/>
      <c r="EF14" s="2435"/>
      <c r="EG14" s="2435"/>
      <c r="EH14" s="2435"/>
      <c r="EI14" s="2435"/>
      <c r="EJ14" s="2435"/>
      <c r="EK14" s="2435"/>
      <c r="EL14" s="2435"/>
      <c r="EM14" s="2435"/>
      <c r="EN14" s="2435"/>
      <c r="EO14" s="2435"/>
      <c r="EP14" s="2435"/>
      <c r="EQ14" s="2435"/>
      <c r="ER14" s="2435"/>
      <c r="ES14" s="2435"/>
      <c r="ET14" s="2435"/>
      <c r="EU14" s="2435"/>
      <c r="EV14" s="2435"/>
      <c r="EW14" s="2435"/>
      <c r="EX14" s="2435"/>
      <c r="EY14" s="2435"/>
      <c r="EZ14" s="2435"/>
      <c r="FA14" s="2435"/>
      <c r="FB14" s="2435"/>
      <c r="FC14" s="2435"/>
      <c r="FD14" s="2435"/>
      <c r="FE14" s="2435"/>
      <c r="FF14" s="2435"/>
      <c r="FG14" s="2435"/>
      <c r="FH14" s="2435"/>
      <c r="FI14" s="2435"/>
      <c r="FJ14" s="2435"/>
      <c r="FK14" s="2435"/>
      <c r="FL14" s="2435"/>
      <c r="FM14" s="2435"/>
      <c r="FN14" s="2435"/>
      <c r="FO14" s="2435"/>
      <c r="FP14" s="2435"/>
      <c r="FQ14" s="2435"/>
      <c r="FR14" s="2435"/>
      <c r="FS14" s="2435"/>
      <c r="FT14" s="2435"/>
      <c r="FU14" s="2435"/>
      <c r="FV14" s="2435"/>
      <c r="FW14" s="2449"/>
      <c r="FX14" s="763"/>
      <c r="GC14" s="927">
        <v>36</v>
      </c>
    </row>
    <row customHeight="1" ht="37.8">
      <c r="D15" s="939"/>
      <c r="E15" s="938"/>
      <c r="F15" s="2206"/>
      <c r="G15" s="2206"/>
      <c r="H15" s="2438"/>
      <c r="I15" s="2438"/>
      <c r="J15" s="2439"/>
      <c r="K15" s="2439"/>
      <c r="L15" s="2439"/>
      <c r="M15" s="2439"/>
      <c r="N15" s="2439"/>
      <c r="O15" s="2339"/>
      <c r="P15" s="2436"/>
      <c r="Q15" s="2339"/>
      <c r="R15" s="2436"/>
      <c r="S15" s="2339"/>
      <c r="T15" s="2436"/>
      <c r="U15" s="2339"/>
      <c r="V15" s="2436"/>
      <c r="W15" s="2339"/>
      <c r="X15" s="2436"/>
      <c r="Y15" s="2339"/>
      <c r="Z15" s="2436"/>
      <c r="AA15" s="2339"/>
      <c r="AB15" s="2436"/>
      <c r="AC15" s="2435"/>
      <c r="AD15" s="2435"/>
      <c r="AE15" s="2435"/>
      <c r="AF15" s="2435"/>
      <c r="AG15" s="2435"/>
      <c r="AH15" s="2435"/>
      <c r="AI15" s="2435"/>
      <c r="AJ15" s="2435"/>
      <c r="AK15" s="2435"/>
      <c r="AL15" s="2435"/>
      <c r="AM15" s="2435"/>
      <c r="AN15" s="2435"/>
      <c r="AO15" s="2435"/>
      <c r="AP15" s="2435"/>
      <c r="AQ15" s="2435"/>
      <c r="AR15" s="2435"/>
      <c r="AS15" s="2435"/>
      <c r="AT15" s="2435"/>
      <c r="AU15" s="2435"/>
      <c r="AV15" s="2435"/>
      <c r="AW15" s="2435"/>
      <c r="AX15" s="2435"/>
      <c r="AY15" s="2435"/>
      <c r="AZ15" s="2435"/>
      <c r="BA15" s="2435"/>
      <c r="BB15" s="2435"/>
      <c r="BC15" s="2435"/>
      <c r="BD15" s="2435"/>
      <c r="BE15" s="2435"/>
      <c r="BF15" s="2435"/>
      <c r="BG15" s="2435"/>
      <c r="BH15" s="2435"/>
      <c r="BI15" s="2435"/>
      <c r="BJ15" s="2435"/>
      <c r="BK15" s="2435"/>
      <c r="BL15" s="2435"/>
      <c r="BM15" s="2435"/>
      <c r="BN15" s="2435"/>
      <c r="BO15" s="2435"/>
      <c r="BP15" s="2435"/>
      <c r="BQ15" s="2435"/>
      <c r="BR15" s="2435"/>
      <c r="BS15" s="2454"/>
      <c r="BT15" s="2339"/>
      <c r="BU15" s="2436"/>
      <c r="BV15" s="2339"/>
      <c r="BW15" s="2436"/>
      <c r="BX15" s="2339"/>
      <c r="BY15" s="2436"/>
      <c r="BZ15" s="2339"/>
      <c r="CA15" s="2436"/>
      <c r="CB15" s="2339"/>
      <c r="CC15" s="2436"/>
      <c r="CD15" s="2339"/>
      <c r="CE15" s="2436"/>
      <c r="CF15" s="2339"/>
      <c r="CG15" s="2436"/>
      <c r="CH15" s="2339"/>
      <c r="CI15" s="2436"/>
      <c r="CJ15" s="2339"/>
      <c r="CK15" s="2436"/>
      <c r="CL15" s="2437"/>
      <c r="CM15" s="2435"/>
      <c r="CN15" s="2435"/>
      <c r="CO15" s="2435"/>
      <c r="CP15" s="2435"/>
      <c r="CQ15" s="2435"/>
      <c r="CR15" s="2435"/>
      <c r="CS15" s="2435"/>
      <c r="CT15" s="2435"/>
      <c r="CU15" s="2435"/>
      <c r="CV15" s="2435"/>
      <c r="CW15" s="2435"/>
      <c r="CX15" s="2454"/>
      <c r="CY15" s="2339"/>
      <c r="CZ15" s="2436"/>
      <c r="DA15" s="2339"/>
      <c r="DB15" s="2436"/>
      <c r="DC15" s="2339"/>
      <c r="DD15" s="2436"/>
      <c r="DE15" s="2339"/>
      <c r="DF15" s="2436"/>
      <c r="DG15" s="2339"/>
      <c r="DH15" s="2436"/>
      <c r="DI15" s="2339"/>
      <c r="DJ15" s="2436"/>
      <c r="DK15" s="2437"/>
      <c r="DL15" s="2435"/>
      <c r="DM15" s="2435"/>
      <c r="DN15" s="2435"/>
      <c r="DO15" s="2435"/>
      <c r="DP15" s="2435"/>
      <c r="DQ15" s="2435"/>
      <c r="DR15" s="2435"/>
      <c r="DS15" s="2435"/>
      <c r="DT15" s="2435"/>
      <c r="DU15" s="2435"/>
      <c r="DV15" s="2435"/>
      <c r="DW15" s="2435"/>
      <c r="DX15" s="2435"/>
      <c r="DY15" s="2435"/>
      <c r="DZ15" s="2435"/>
      <c r="EA15" s="2435"/>
      <c r="EB15" s="2435"/>
      <c r="EC15" s="2435"/>
      <c r="ED15" s="2435"/>
      <c r="EE15" s="2435"/>
      <c r="EF15" s="2435"/>
      <c r="EG15" s="2435"/>
      <c r="EH15" s="2435"/>
      <c r="EI15" s="2435"/>
      <c r="EJ15" s="2435"/>
      <c r="EK15" s="2435"/>
      <c r="EL15" s="2435"/>
      <c r="EM15" s="2435"/>
      <c r="EN15" s="2435"/>
      <c r="EO15" s="2435"/>
      <c r="EP15" s="2435"/>
      <c r="EQ15" s="2435"/>
      <c r="ER15" s="2435"/>
      <c r="ES15" s="2435"/>
      <c r="ET15" s="2435"/>
      <c r="EU15" s="2435"/>
      <c r="EV15" s="2435"/>
      <c r="EW15" s="2435"/>
      <c r="EX15" s="2435"/>
      <c r="EY15" s="2435"/>
      <c r="EZ15" s="2435"/>
      <c r="FA15" s="2435"/>
      <c r="FB15" s="2435"/>
      <c r="FC15" s="2435"/>
      <c r="FD15" s="2435"/>
      <c r="FE15" s="2435"/>
      <c r="FF15" s="2435"/>
      <c r="FG15" s="2435"/>
      <c r="FH15" s="2435"/>
      <c r="FI15" s="2435"/>
      <c r="FJ15" s="2435"/>
      <c r="FK15" s="2435"/>
      <c r="FL15" s="2435"/>
      <c r="FM15" s="2435"/>
      <c r="FN15" s="2435"/>
      <c r="FO15" s="2435"/>
      <c r="FP15" s="2435"/>
      <c r="FQ15" s="2435"/>
      <c r="FR15" s="2435"/>
      <c r="FS15" s="2435"/>
      <c r="FT15" s="2435"/>
      <c r="FU15" s="2435"/>
      <c r="FV15" s="2435"/>
      <c r="FW15" s="2449"/>
      <c r="FX15" s="763"/>
      <c r="GC15" s="927">
        <v>36</v>
      </c>
    </row>
    <row customHeight="1" ht="12.75">
      <c r="D16" s="939"/>
      <c r="E16" s="938"/>
      <c r="F16" s="2206"/>
      <c r="G16" s="2206"/>
      <c r="H16" s="2438"/>
      <c r="I16" s="2438"/>
      <c r="J16" s="2439"/>
      <c r="K16" s="2439"/>
      <c r="L16" s="2439"/>
      <c r="M16" s="2439"/>
      <c r="N16" s="2439"/>
      <c r="O16" s="2387" t="s">
        <v>956</v>
      </c>
      <c r="P16" s="2434"/>
      <c r="Q16" s="2387" t="s">
        <v>958</v>
      </c>
      <c r="R16" s="2434"/>
      <c r="S16" s="2387" t="s">
        <v>962</v>
      </c>
      <c r="T16" s="2434"/>
      <c r="U16" s="2387" t="s">
        <v>967</v>
      </c>
      <c r="V16" s="2434"/>
      <c r="W16" s="2387" t="s">
        <v>970</v>
      </c>
      <c r="X16" s="2434"/>
      <c r="Y16" s="2387" t="s">
        <v>974</v>
      </c>
      <c r="Z16" s="2434"/>
      <c r="AA16" s="2387" t="s">
        <v>977</v>
      </c>
      <c r="AB16" s="2434"/>
      <c r="AC16" s="2435"/>
      <c r="AD16" s="2435"/>
      <c r="AE16" s="2435"/>
      <c r="AF16" s="2435"/>
      <c r="AG16" s="2435"/>
      <c r="AH16" s="2435"/>
      <c r="AI16" s="2435"/>
      <c r="AJ16" s="2435"/>
      <c r="AK16" s="2435"/>
      <c r="AL16" s="2435"/>
      <c r="AM16" s="2435"/>
      <c r="AN16" s="2435"/>
      <c r="AO16" s="2435"/>
      <c r="AP16" s="2435"/>
      <c r="AQ16" s="2435"/>
      <c r="AR16" s="2435"/>
      <c r="AS16" s="2435"/>
      <c r="AT16" s="2435"/>
      <c r="AU16" s="2435"/>
      <c r="AV16" s="2435"/>
      <c r="AW16" s="2435"/>
      <c r="AX16" s="2435"/>
      <c r="AY16" s="2435"/>
      <c r="AZ16" s="2435"/>
      <c r="BA16" s="2435"/>
      <c r="BB16" s="2435"/>
      <c r="BC16" s="2435"/>
      <c r="BD16" s="2435"/>
      <c r="BE16" s="2435"/>
      <c r="BF16" s="2435"/>
      <c r="BG16" s="2435"/>
      <c r="BH16" s="2435"/>
      <c r="BI16" s="2435"/>
      <c r="BJ16" s="2435"/>
      <c r="BK16" s="2435"/>
      <c r="BL16" s="2435"/>
      <c r="BM16" s="2435"/>
      <c r="BN16" s="2435"/>
      <c r="BO16" s="2435"/>
      <c r="BP16" s="2435"/>
      <c r="BQ16" s="2435"/>
      <c r="BR16" s="2435"/>
      <c r="BS16" s="2454"/>
      <c r="BT16" s="2387" t="s">
        <v>689</v>
      </c>
      <c r="BU16" s="2434"/>
      <c r="BV16" s="2387" t="s">
        <v>689</v>
      </c>
      <c r="BW16" s="2434"/>
      <c r="BX16" s="2387" t="s">
        <v>689</v>
      </c>
      <c r="BY16" s="2434"/>
      <c r="BZ16" s="2387" t="s">
        <v>689</v>
      </c>
      <c r="CA16" s="2434"/>
      <c r="CB16" s="2387" t="s">
        <v>1239</v>
      </c>
      <c r="CC16" s="2434"/>
      <c r="CD16" s="2387" t="s">
        <v>689</v>
      </c>
      <c r="CE16" s="2434"/>
      <c r="CF16" s="2387" t="s">
        <v>1240</v>
      </c>
      <c r="CG16" s="2434"/>
      <c r="CH16" s="2387" t="s">
        <v>1241</v>
      </c>
      <c r="CI16" s="2434"/>
      <c r="CJ16" s="2387" t="s">
        <v>1241</v>
      </c>
      <c r="CK16" s="2434"/>
      <c r="CL16" s="2437"/>
      <c r="CM16" s="2435"/>
      <c r="CN16" s="2435"/>
      <c r="CO16" s="2435"/>
      <c r="CP16" s="2435"/>
      <c r="CQ16" s="2435"/>
      <c r="CR16" s="2435"/>
      <c r="CS16" s="2435"/>
      <c r="CT16" s="2435"/>
      <c r="CU16" s="2435"/>
      <c r="CV16" s="2435"/>
      <c r="CW16" s="2435"/>
      <c r="CX16" s="2454"/>
      <c r="CY16" s="2337" t="s">
        <v>689</v>
      </c>
      <c r="CZ16" s="2389"/>
      <c r="DA16" s="2337" t="s">
        <v>689</v>
      </c>
      <c r="DB16" s="2389"/>
      <c r="DC16" s="2337" t="s">
        <v>689</v>
      </c>
      <c r="DD16" s="2389"/>
      <c r="DE16" s="2387" t="s">
        <v>1239</v>
      </c>
      <c r="DF16" s="2434"/>
      <c r="DG16" s="2387" t="s">
        <v>1242</v>
      </c>
      <c r="DH16" s="2434"/>
      <c r="DI16" s="2387" t="s">
        <v>1242</v>
      </c>
      <c r="DJ16" s="2434"/>
      <c r="DK16" s="2437"/>
      <c r="DL16" s="2435"/>
      <c r="DM16" s="2435"/>
      <c r="DN16" s="2435"/>
      <c r="DO16" s="2435"/>
      <c r="DP16" s="2435"/>
      <c r="DQ16" s="2435"/>
      <c r="DR16" s="2435"/>
      <c r="DS16" s="2435"/>
      <c r="DT16" s="2435"/>
      <c r="DU16" s="2435"/>
      <c r="DV16" s="2435"/>
      <c r="DW16" s="2435"/>
      <c r="DX16" s="2435"/>
      <c r="DY16" s="2435"/>
      <c r="DZ16" s="2435"/>
      <c r="EA16" s="2435"/>
      <c r="EB16" s="2435"/>
      <c r="EC16" s="2435"/>
      <c r="ED16" s="2435"/>
      <c r="EE16" s="2435"/>
      <c r="EF16" s="2435"/>
      <c r="EG16" s="2435"/>
      <c r="EH16" s="2435"/>
      <c r="EI16" s="2435"/>
      <c r="EJ16" s="2435"/>
      <c r="EK16" s="2435"/>
      <c r="EL16" s="2435"/>
      <c r="EM16" s="2435"/>
      <c r="EN16" s="2435"/>
      <c r="EO16" s="2435"/>
      <c r="EP16" s="2435"/>
      <c r="EQ16" s="2435"/>
      <c r="ER16" s="2435"/>
      <c r="ES16" s="2435"/>
      <c r="ET16" s="2435"/>
      <c r="EU16" s="2435"/>
      <c r="EV16" s="2435"/>
      <c r="EW16" s="2435"/>
      <c r="EX16" s="2435"/>
      <c r="EY16" s="2435"/>
      <c r="EZ16" s="2435"/>
      <c r="FA16" s="2435"/>
      <c r="FB16" s="2435"/>
      <c r="FC16" s="2435"/>
      <c r="FD16" s="2435"/>
      <c r="FE16" s="2435"/>
      <c r="FF16" s="2435"/>
      <c r="FG16" s="2435"/>
      <c r="FH16" s="2435"/>
      <c r="FI16" s="2435"/>
      <c r="FJ16" s="2435"/>
      <c r="FK16" s="2435"/>
      <c r="FL16" s="2435"/>
      <c r="FM16" s="2435"/>
      <c r="FN16" s="2435"/>
      <c r="FO16" s="2435"/>
      <c r="FP16" s="2435"/>
      <c r="FQ16" s="2435"/>
      <c r="FR16" s="2435"/>
      <c r="FS16" s="2435"/>
      <c r="FT16" s="2435"/>
      <c r="FU16" s="2435"/>
      <c r="FV16" s="2435"/>
      <c r="FW16" s="2449"/>
      <c r="FX16" s="763"/>
      <c r="GC16" s="927">
        <v>12</v>
      </c>
    </row>
    <row customHeight="1" ht="15.75">
      <c r="E17" s="938"/>
      <c r="F17" s="2206"/>
      <c r="G17" s="2206"/>
      <c r="H17" s="2438"/>
      <c r="I17" s="2438"/>
      <c r="J17" s="2439"/>
      <c r="K17" s="2439"/>
      <c r="L17" s="2439"/>
      <c r="M17" s="2439"/>
      <c r="N17" s="2439"/>
      <c r="O17" s="1192" t="s">
        <v>1243</v>
      </c>
      <c r="P17" s="1192" t="s">
        <v>1244</v>
      </c>
      <c r="Q17" s="1192" t="s">
        <v>1243</v>
      </c>
      <c r="R17" s="1192" t="s">
        <v>1244</v>
      </c>
      <c r="S17" s="1192" t="s">
        <v>1243</v>
      </c>
      <c r="T17" s="1192" t="s">
        <v>1244</v>
      </c>
      <c r="U17" s="1192" t="s">
        <v>1243</v>
      </c>
      <c r="V17" s="1192" t="s">
        <v>1244</v>
      </c>
      <c r="W17" s="1192" t="s">
        <v>1243</v>
      </c>
      <c r="X17" s="1192" t="s">
        <v>1244</v>
      </c>
      <c r="Y17" s="1192" t="s">
        <v>1243</v>
      </c>
      <c r="Z17" s="1192" t="s">
        <v>1244</v>
      </c>
      <c r="AA17" s="1192" t="s">
        <v>1243</v>
      </c>
      <c r="AB17" s="1192" t="s">
        <v>1244</v>
      </c>
      <c r="AC17" s="2435"/>
      <c r="AD17" s="2435"/>
      <c r="AE17" s="2435"/>
      <c r="AF17" s="2435"/>
      <c r="AG17" s="2435"/>
      <c r="AH17" s="2435"/>
      <c r="AI17" s="2435"/>
      <c r="AJ17" s="2435"/>
      <c r="AK17" s="2435"/>
      <c r="AL17" s="2435"/>
      <c r="AM17" s="2435"/>
      <c r="AN17" s="2435"/>
      <c r="AO17" s="2435"/>
      <c r="AP17" s="2435"/>
      <c r="AQ17" s="2435"/>
      <c r="AR17" s="2435"/>
      <c r="AS17" s="2435"/>
      <c r="AT17" s="2435"/>
      <c r="AU17" s="2435"/>
      <c r="AV17" s="2435"/>
      <c r="AW17" s="2435"/>
      <c r="AX17" s="2435"/>
      <c r="AY17" s="2435"/>
      <c r="AZ17" s="2435"/>
      <c r="BA17" s="2435"/>
      <c r="BB17" s="2435"/>
      <c r="BC17" s="2435"/>
      <c r="BD17" s="2435"/>
      <c r="BE17" s="2435"/>
      <c r="BF17" s="2435"/>
      <c r="BG17" s="2435"/>
      <c r="BH17" s="2435"/>
      <c r="BI17" s="2435"/>
      <c r="BJ17" s="2435"/>
      <c r="BK17" s="2435"/>
      <c r="BL17" s="2435"/>
      <c r="BM17" s="2435"/>
      <c r="BN17" s="2435"/>
      <c r="BO17" s="2435"/>
      <c r="BP17" s="2435"/>
      <c r="BQ17" s="2435"/>
      <c r="BR17" s="2435"/>
      <c r="BS17" s="2454"/>
      <c r="BT17" s="1192" t="s">
        <v>1243</v>
      </c>
      <c r="BU17" s="1192" t="s">
        <v>1244</v>
      </c>
      <c r="BV17" s="1192" t="s">
        <v>1243</v>
      </c>
      <c r="BW17" s="1192" t="s">
        <v>1244</v>
      </c>
      <c r="BX17" s="1192" t="s">
        <v>1243</v>
      </c>
      <c r="BY17" s="1192" t="s">
        <v>1244</v>
      </c>
      <c r="BZ17" s="1192" t="s">
        <v>1243</v>
      </c>
      <c r="CA17" s="1192" t="s">
        <v>1244</v>
      </c>
      <c r="CB17" s="1192" t="s">
        <v>1243</v>
      </c>
      <c r="CC17" s="1192" t="s">
        <v>1244</v>
      </c>
      <c r="CD17" s="1192" t="s">
        <v>1243</v>
      </c>
      <c r="CE17" s="1192" t="s">
        <v>1244</v>
      </c>
      <c r="CF17" s="1192" t="s">
        <v>1243</v>
      </c>
      <c r="CG17" s="1192" t="s">
        <v>1244</v>
      </c>
      <c r="CH17" s="1192" t="s">
        <v>1243</v>
      </c>
      <c r="CI17" s="1192" t="s">
        <v>1244</v>
      </c>
      <c r="CJ17" s="1192" t="s">
        <v>1243</v>
      </c>
      <c r="CK17" s="1192" t="s">
        <v>1244</v>
      </c>
      <c r="CL17" s="2437"/>
      <c r="CM17" s="2435"/>
      <c r="CN17" s="2435"/>
      <c r="CO17" s="2435"/>
      <c r="CP17" s="2435"/>
      <c r="CQ17" s="2435"/>
      <c r="CR17" s="2435"/>
      <c r="CS17" s="2435"/>
      <c r="CT17" s="2435"/>
      <c r="CU17" s="2435"/>
      <c r="CV17" s="2435"/>
      <c r="CW17" s="2435"/>
      <c r="CX17" s="2454"/>
      <c r="CY17" s="1192" t="s">
        <v>1243</v>
      </c>
      <c r="CZ17" s="1192" t="s">
        <v>1244</v>
      </c>
      <c r="DA17" s="1192" t="s">
        <v>1243</v>
      </c>
      <c r="DB17" s="1192" t="s">
        <v>1244</v>
      </c>
      <c r="DC17" s="1192" t="s">
        <v>1243</v>
      </c>
      <c r="DD17" s="1192" t="s">
        <v>1244</v>
      </c>
      <c r="DE17" s="1192" t="s">
        <v>1243</v>
      </c>
      <c r="DF17" s="1192" t="s">
        <v>1244</v>
      </c>
      <c r="DG17" s="1192" t="s">
        <v>1243</v>
      </c>
      <c r="DH17" s="1192" t="s">
        <v>1244</v>
      </c>
      <c r="DI17" s="1192" t="s">
        <v>1243</v>
      </c>
      <c r="DJ17" s="1192" t="s">
        <v>1244</v>
      </c>
      <c r="DK17" s="2437"/>
      <c r="DL17" s="2435"/>
      <c r="DM17" s="2435"/>
      <c r="DN17" s="2435"/>
      <c r="DO17" s="2435"/>
      <c r="DP17" s="2435"/>
      <c r="DQ17" s="2435"/>
      <c r="DR17" s="2435"/>
      <c r="DS17" s="2435"/>
      <c r="DT17" s="2435"/>
      <c r="DU17" s="2435"/>
      <c r="DV17" s="2435"/>
      <c r="DW17" s="2435"/>
      <c r="DX17" s="2435"/>
      <c r="DY17" s="2435"/>
      <c r="DZ17" s="2435"/>
      <c r="EA17" s="2435"/>
      <c r="EB17" s="2435"/>
      <c r="EC17" s="2435"/>
      <c r="ED17" s="2435"/>
      <c r="EE17" s="2435"/>
      <c r="EF17" s="2435"/>
      <c r="EG17" s="2435"/>
      <c r="EH17" s="2435"/>
      <c r="EI17" s="2435"/>
      <c r="EJ17" s="2435"/>
      <c r="EK17" s="2435"/>
      <c r="EL17" s="2435"/>
      <c r="EM17" s="2435"/>
      <c r="EN17" s="2435"/>
      <c r="EO17" s="2435"/>
      <c r="EP17" s="2435"/>
      <c r="EQ17" s="2435"/>
      <c r="ER17" s="2435"/>
      <c r="ES17" s="2435"/>
      <c r="ET17" s="2435"/>
      <c r="EU17" s="2435"/>
      <c r="EV17" s="2435"/>
      <c r="EW17" s="2435"/>
      <c r="EX17" s="2435"/>
      <c r="EY17" s="2435"/>
      <c r="EZ17" s="2435"/>
      <c r="FA17" s="2435"/>
      <c r="FB17" s="2435"/>
      <c r="FC17" s="2435"/>
      <c r="FD17" s="2435"/>
      <c r="FE17" s="2435"/>
      <c r="FF17" s="2435"/>
      <c r="FG17" s="2435"/>
      <c r="FH17" s="2435"/>
      <c r="FI17" s="2435"/>
      <c r="FJ17" s="2435"/>
      <c r="FK17" s="2435"/>
      <c r="FL17" s="2435"/>
      <c r="FM17" s="2435"/>
      <c r="FN17" s="2435"/>
      <c r="FO17" s="2435"/>
      <c r="FP17" s="2435"/>
      <c r="FQ17" s="2435"/>
      <c r="FR17" s="2435"/>
      <c r="FS17" s="2435"/>
      <c r="FT17" s="2435"/>
      <c r="FU17" s="2435"/>
      <c r="FV17" s="2435"/>
      <c r="FW17" s="2450"/>
      <c r="FX17" s="763"/>
      <c r="GC17" s="927">
        <v>15</v>
      </c>
    </row>
    <row s="926" customFormat="1" customHeight="1" ht="12" hidden="1">
      <c r="B18" s="924"/>
      <c r="E18" s="940"/>
      <c r="F18" s="1193"/>
      <c r="G18" s="1193"/>
      <c r="H18" s="1193"/>
      <c r="I18" s="1193"/>
      <c r="J18" s="1194"/>
      <c r="K18" s="1194"/>
      <c r="L18" s="1194"/>
      <c r="M18" s="1194"/>
      <c r="N18" s="1194"/>
      <c r="O18" s="1193"/>
      <c r="P18" s="1193"/>
      <c r="Q18" s="1193"/>
      <c r="R18" s="1193"/>
      <c r="S18" s="1193"/>
      <c r="T18" s="1193"/>
      <c r="U18" s="1195"/>
      <c r="V18" s="1195"/>
      <c r="W18" s="1195"/>
      <c r="X18" s="1195"/>
      <c r="Y18" s="1195"/>
      <c r="Z18" s="1195"/>
      <c r="AA18" s="1195"/>
      <c r="AB18" s="1193"/>
      <c r="AC18" s="1194"/>
      <c r="AD18" s="1194"/>
      <c r="AE18" s="1194"/>
      <c r="AF18" s="1194"/>
      <c r="AG18" s="1194"/>
      <c r="AH18" s="1194"/>
      <c r="AI18" s="1194"/>
      <c r="AJ18" s="1194"/>
      <c r="AK18" s="1194"/>
      <c r="AL18" s="1194"/>
      <c r="AM18" s="1194"/>
      <c r="AN18" s="1194"/>
      <c r="AO18" s="1194"/>
      <c r="AP18" s="1194"/>
      <c r="AQ18" s="1194"/>
      <c r="AR18" s="1194"/>
      <c r="AS18" s="1194"/>
      <c r="AT18" s="1194"/>
      <c r="AU18" s="1194"/>
      <c r="AV18" s="1194"/>
      <c r="AW18" s="1194"/>
      <c r="AX18" s="1194"/>
      <c r="AY18" s="1194"/>
      <c r="AZ18" s="1194"/>
      <c r="BA18" s="1194"/>
      <c r="BB18" s="1194"/>
      <c r="BC18" s="1194"/>
      <c r="BD18" s="1194"/>
      <c r="BE18" s="1194"/>
      <c r="BF18" s="1194"/>
      <c r="BG18" s="1194"/>
      <c r="BH18" s="1194"/>
      <c r="BI18" s="1194"/>
      <c r="BJ18" s="1194"/>
      <c r="BK18" s="1194"/>
      <c r="BL18" s="1194"/>
      <c r="BM18" s="1194"/>
      <c r="BN18" s="1194"/>
      <c r="BO18" s="1194"/>
      <c r="BP18" s="1194"/>
      <c r="BQ18" s="1194"/>
      <c r="BR18" s="1194"/>
      <c r="BS18" s="1194"/>
      <c r="BT18" s="1196"/>
      <c r="BU18" s="1196"/>
      <c r="BV18" s="1196"/>
      <c r="BW18" s="1196"/>
      <c r="BX18" s="1196"/>
      <c r="BY18" s="1196"/>
      <c r="BZ18" s="1196"/>
      <c r="CA18" s="1196"/>
      <c r="CB18" s="1196"/>
      <c r="CC18" s="1196"/>
      <c r="CD18" s="1196"/>
      <c r="CE18" s="1196"/>
      <c r="CF18" s="1196"/>
      <c r="CG18" s="1196"/>
      <c r="CH18" s="1196"/>
      <c r="CI18" s="1196"/>
      <c r="CJ18" s="1196"/>
      <c r="CK18" s="1196"/>
      <c r="CL18" s="1194"/>
      <c r="CM18" s="1194"/>
      <c r="CN18" s="1194"/>
      <c r="CO18" s="1194"/>
      <c r="CP18" s="1194"/>
      <c r="CQ18" s="1194"/>
      <c r="CR18" s="1194"/>
      <c r="CS18" s="1194"/>
      <c r="CT18" s="1194"/>
      <c r="CU18" s="1194"/>
      <c r="CV18" s="1194"/>
      <c r="CW18" s="1194"/>
      <c r="CX18" s="1194"/>
      <c r="CY18" s="1196"/>
      <c r="CZ18" s="1196"/>
      <c r="DA18" s="1196"/>
      <c r="DB18" s="1196"/>
      <c r="DC18" s="1196"/>
      <c r="DD18" s="1196"/>
      <c r="DE18" s="1196"/>
      <c r="DF18" s="1196"/>
      <c r="DG18" s="1196"/>
      <c r="DH18" s="1196"/>
      <c r="DI18" s="1196"/>
      <c r="DJ18" s="1196"/>
      <c r="DK18" s="1194"/>
      <c r="DL18" s="1194"/>
      <c r="DM18" s="1194"/>
      <c r="DN18" s="1194"/>
      <c r="DO18" s="1194"/>
      <c r="DP18" s="1194"/>
      <c r="DQ18" s="1194"/>
      <c r="DR18" s="1194"/>
      <c r="DS18" s="1194"/>
      <c r="DT18" s="1194"/>
      <c r="DU18" s="1194"/>
      <c r="DV18" s="1194"/>
      <c r="DW18" s="1194"/>
      <c r="DX18" s="1194"/>
      <c r="DY18" s="1194"/>
      <c r="DZ18" s="1194"/>
      <c r="EA18" s="1194"/>
      <c r="EB18" s="1194"/>
      <c r="EC18" s="1194"/>
      <c r="ED18" s="1194"/>
      <c r="EE18" s="1194"/>
      <c r="EF18" s="1194"/>
      <c r="EG18" s="1194"/>
      <c r="EH18" s="1194"/>
      <c r="EI18" s="1194"/>
      <c r="EJ18" s="1194"/>
      <c r="EK18" s="1194"/>
      <c r="EL18" s="1194"/>
      <c r="EM18" s="1194"/>
      <c r="EN18" s="1194"/>
      <c r="EO18" s="1194"/>
      <c r="EP18" s="1194"/>
      <c r="EQ18" s="1194"/>
      <c r="ER18" s="1194"/>
      <c r="ES18" s="1194"/>
      <c r="ET18" s="1194"/>
      <c r="EU18" s="1194"/>
      <c r="EV18" s="1194"/>
      <c r="EW18" s="1194"/>
      <c r="EX18" s="1194"/>
      <c r="EY18" s="1194"/>
      <c r="EZ18" s="1194"/>
      <c r="FA18" s="1194"/>
      <c r="FB18" s="1194"/>
      <c r="FC18" s="1194"/>
      <c r="FD18" s="1194"/>
      <c r="FE18" s="1194"/>
      <c r="FF18" s="1194"/>
      <c r="FG18" s="1194"/>
      <c r="FH18" s="1194"/>
      <c r="FI18" s="1194"/>
      <c r="FJ18" s="1194"/>
      <c r="FK18" s="1194"/>
      <c r="FL18" s="1194"/>
      <c r="FM18" s="1194"/>
      <c r="FN18" s="1194"/>
      <c r="FO18" s="1194"/>
      <c r="FP18" s="1194"/>
      <c r="FQ18" s="1194"/>
      <c r="FR18" s="1194"/>
      <c r="FS18" s="1194"/>
      <c r="FT18" s="1194"/>
      <c r="FU18" s="1194"/>
      <c r="FV18" s="1194"/>
      <c r="FW18" s="1193"/>
      <c r="FX18" s="1197"/>
      <c r="GC18" s="925">
        <v>0</v>
      </c>
    </row>
    <row s="926" customFormat="1" customHeight="1" ht="11.25" hidden="1">
      <c r="B19" s="924"/>
      <c r="E19" s="940"/>
      <c r="F19" s="1193"/>
      <c r="G19" s="1193"/>
      <c r="H19" s="1193"/>
      <c r="I19" s="1193"/>
      <c r="J19" s="1193"/>
      <c r="K19" s="1193"/>
      <c r="L19" s="1193"/>
      <c r="M19" s="1193"/>
      <c r="N19" s="1193"/>
      <c r="O19" s="1193"/>
      <c r="P19" s="1193"/>
      <c r="Q19" s="1193"/>
      <c r="R19" s="1193"/>
      <c r="S19" s="1193"/>
      <c r="T19" s="1193"/>
      <c r="U19" s="1195"/>
      <c r="V19" s="1195"/>
      <c r="W19" s="1195"/>
      <c r="X19" s="1195"/>
      <c r="Y19" s="1195"/>
      <c r="Z19" s="1195"/>
      <c r="AA19" s="1195"/>
      <c r="AB19" s="1193"/>
      <c r="AC19" s="1193"/>
      <c r="AD19" s="1193"/>
      <c r="AE19" s="1193"/>
      <c r="AF19" s="1193"/>
      <c r="AG19" s="1193"/>
      <c r="AH19" s="1193"/>
      <c r="AI19" s="1193"/>
      <c r="AJ19" s="1193"/>
      <c r="AK19" s="1193"/>
      <c r="AL19" s="1193"/>
      <c r="AM19" s="1193"/>
      <c r="AN19" s="1193"/>
      <c r="AO19" s="1193"/>
      <c r="AP19" s="1193"/>
      <c r="AQ19" s="1193"/>
      <c r="AR19" s="1193"/>
      <c r="AS19" s="1193"/>
      <c r="AT19" s="1193"/>
      <c r="AU19" s="1193"/>
      <c r="AV19" s="1193"/>
      <c r="AW19" s="1193"/>
      <c r="AX19" s="1193"/>
      <c r="AY19" s="1193"/>
      <c r="AZ19" s="1193"/>
      <c r="BA19" s="1193"/>
      <c r="BB19" s="1193"/>
      <c r="BC19" s="1193"/>
      <c r="BD19" s="1193"/>
      <c r="BE19" s="1193"/>
      <c r="BF19" s="1193"/>
      <c r="BG19" s="1193"/>
      <c r="BH19" s="1193"/>
      <c r="BI19" s="1193"/>
      <c r="BJ19" s="1193"/>
      <c r="BK19" s="1193"/>
      <c r="BL19" s="1193"/>
      <c r="BM19" s="1193"/>
      <c r="BN19" s="1193"/>
      <c r="BO19" s="1193"/>
      <c r="BP19" s="1193"/>
      <c r="BQ19" s="1193"/>
      <c r="BR19" s="1193"/>
      <c r="BS19" s="1193"/>
      <c r="BT19" s="1193"/>
      <c r="BU19" s="1193"/>
      <c r="BV19" s="1193"/>
      <c r="BW19" s="1193"/>
      <c r="BX19" s="1193"/>
      <c r="BY19" s="1193"/>
      <c r="BZ19" s="1193"/>
      <c r="CA19" s="1193"/>
      <c r="CB19" s="1193"/>
      <c r="CC19" s="1193"/>
      <c r="CD19" s="1193"/>
      <c r="CE19" s="1193"/>
      <c r="CF19" s="1193"/>
      <c r="CG19" s="1193"/>
      <c r="CH19" s="1193"/>
      <c r="CI19" s="1193"/>
      <c r="CJ19" s="1193"/>
      <c r="CK19" s="1193"/>
      <c r="CL19" s="1193"/>
      <c r="CM19" s="1193"/>
      <c r="CN19" s="1193"/>
      <c r="CO19" s="1193"/>
      <c r="CP19" s="1193"/>
      <c r="CQ19" s="1193"/>
      <c r="CR19" s="1193"/>
      <c r="CS19" s="1193"/>
      <c r="CT19" s="1193"/>
      <c r="CU19" s="1193"/>
      <c r="CV19" s="1193"/>
      <c r="CW19" s="1193"/>
      <c r="CX19" s="1193"/>
      <c r="CY19" s="1193"/>
      <c r="CZ19" s="1193"/>
      <c r="DA19" s="1193"/>
      <c r="DB19" s="1193"/>
      <c r="DC19" s="1193"/>
      <c r="DD19" s="1193"/>
      <c r="DE19" s="1193"/>
      <c r="DF19" s="1193"/>
      <c r="DG19" s="1193"/>
      <c r="DH19" s="1193"/>
      <c r="DI19" s="1193"/>
      <c r="DJ19" s="1193"/>
      <c r="DK19" s="1193"/>
      <c r="DL19" s="1193"/>
      <c r="DM19" s="1193"/>
      <c r="DN19" s="1193"/>
      <c r="DO19" s="1193"/>
      <c r="DP19" s="1193"/>
      <c r="DQ19" s="1193"/>
      <c r="DR19" s="1193"/>
      <c r="DS19" s="1193"/>
      <c r="DT19" s="1193"/>
      <c r="DU19" s="1193"/>
      <c r="DV19" s="1193"/>
      <c r="DW19" s="1193"/>
      <c r="DX19" s="1193"/>
      <c r="DY19" s="1193"/>
      <c r="DZ19" s="1193"/>
      <c r="EA19" s="1193"/>
      <c r="EB19" s="1193"/>
      <c r="EC19" s="1193"/>
      <c r="ED19" s="1193"/>
      <c r="EE19" s="1193"/>
      <c r="EF19" s="1193"/>
      <c r="EG19" s="1193"/>
      <c r="EH19" s="1193"/>
      <c r="EI19" s="1193"/>
      <c r="EJ19" s="1193"/>
      <c r="EK19" s="1193"/>
      <c r="EL19" s="1193"/>
      <c r="EM19" s="1193"/>
      <c r="EN19" s="1193"/>
      <c r="EO19" s="1193"/>
      <c r="EP19" s="1193"/>
      <c r="EQ19" s="1193"/>
      <c r="ER19" s="1193"/>
      <c r="ES19" s="1193"/>
      <c r="ET19" s="1193"/>
      <c r="EU19" s="1193"/>
      <c r="EV19" s="1193"/>
      <c r="EW19" s="1193"/>
      <c r="EX19" s="1193"/>
      <c r="EY19" s="1193"/>
      <c r="EZ19" s="1193"/>
      <c r="FA19" s="1193"/>
      <c r="FB19" s="1193"/>
      <c r="FC19" s="1193"/>
      <c r="FD19" s="1193"/>
      <c r="FE19" s="1193"/>
      <c r="FF19" s="1193"/>
      <c r="FG19" s="1193"/>
      <c r="FH19" s="1193"/>
      <c r="FI19" s="1193"/>
      <c r="FJ19" s="1193"/>
      <c r="FK19" s="1193"/>
      <c r="FL19" s="1193"/>
      <c r="FM19" s="1193"/>
      <c r="FN19" s="1193"/>
      <c r="FO19" s="1193"/>
      <c r="FP19" s="1193"/>
      <c r="FQ19" s="1193"/>
      <c r="FR19" s="1193"/>
      <c r="FS19" s="1193"/>
      <c r="FT19" s="1193"/>
      <c r="FU19" s="1193"/>
      <c r="FV19" s="1193"/>
      <c r="FW19" s="1193"/>
      <c r="FX19" s="1197"/>
      <c r="GC19" s="925">
        <v>0</v>
      </c>
    </row>
    <row s="926" customFormat="1" customHeight="1" ht="11.25" hidden="1">
      <c r="B20" s="941"/>
      <c r="D20" s="925"/>
      <c r="E20" s="940"/>
      <c r="F20" s="1198" t="s">
        <v>506</v>
      </c>
      <c r="G20" s="1199"/>
      <c r="H20" s="1200"/>
      <c r="I20" s="1200"/>
      <c r="J20" s="1200"/>
      <c r="K20" s="1200"/>
      <c r="L20" s="1200"/>
      <c r="M20" s="1200"/>
      <c r="N20" s="1200"/>
      <c r="O20" s="1199"/>
      <c r="P20" s="1199"/>
      <c r="Q20" s="1199"/>
      <c r="R20" s="1199"/>
      <c r="S20" s="1199"/>
      <c r="T20" s="1199"/>
      <c r="U20" s="1201"/>
      <c r="V20" s="1201"/>
      <c r="W20" s="1201"/>
      <c r="X20" s="1201"/>
      <c r="Y20" s="1201"/>
      <c r="Z20" s="1201"/>
      <c r="AA20" s="1201"/>
      <c r="AB20" s="1199"/>
      <c r="AC20" s="1200"/>
      <c r="AD20" s="1200"/>
      <c r="AE20" s="1200"/>
      <c r="AF20" s="1200"/>
      <c r="AG20" s="1200"/>
      <c r="AH20" s="1200"/>
      <c r="AI20" s="1200"/>
      <c r="AJ20" s="1200"/>
      <c r="AK20" s="1200"/>
      <c r="AL20" s="1200"/>
      <c r="AM20" s="1200"/>
      <c r="AN20" s="1200"/>
      <c r="AO20" s="1200"/>
      <c r="AP20" s="1200"/>
      <c r="AQ20" s="1200"/>
      <c r="AR20" s="1200"/>
      <c r="AS20" s="1200"/>
      <c r="AT20" s="1200"/>
      <c r="AU20" s="1200"/>
      <c r="AV20" s="1200"/>
      <c r="AW20" s="1200"/>
      <c r="AX20" s="1200"/>
      <c r="AY20" s="1200"/>
      <c r="AZ20" s="1200"/>
      <c r="BA20" s="1200"/>
      <c r="BB20" s="1200"/>
      <c r="BC20" s="1200"/>
      <c r="BD20" s="1200"/>
      <c r="BE20" s="1200"/>
      <c r="BF20" s="1200"/>
      <c r="BG20" s="1200"/>
      <c r="BH20" s="1200"/>
      <c r="BI20" s="1200"/>
      <c r="BJ20" s="1200"/>
      <c r="BK20" s="1200"/>
      <c r="BL20" s="1200"/>
      <c r="BM20" s="1200"/>
      <c r="BN20" s="1200"/>
      <c r="BO20" s="1200"/>
      <c r="BP20" s="1200"/>
      <c r="BQ20" s="1200"/>
      <c r="BR20" s="1200"/>
      <c r="BS20" s="1200"/>
      <c r="BT20" s="1200"/>
      <c r="BU20" s="1200"/>
      <c r="BV20" s="1200"/>
      <c r="BW20" s="1200"/>
      <c r="BX20" s="1200"/>
      <c r="BY20" s="1200"/>
      <c r="BZ20" s="1200"/>
      <c r="CA20" s="1200"/>
      <c r="CB20" s="1200"/>
      <c r="CC20" s="1200"/>
      <c r="CD20" s="1200"/>
      <c r="CE20" s="1200"/>
      <c r="CF20" s="1200"/>
      <c r="CG20" s="1200"/>
      <c r="CH20" s="1200"/>
      <c r="CI20" s="1200"/>
      <c r="CJ20" s="1200"/>
      <c r="CK20" s="1200"/>
      <c r="CL20" s="1202"/>
      <c r="CM20" s="1202"/>
      <c r="CN20" s="1202"/>
      <c r="CO20" s="1202"/>
      <c r="CP20" s="1202"/>
      <c r="CQ20" s="1202"/>
      <c r="CR20" s="1202"/>
      <c r="CS20" s="1202"/>
      <c r="CT20" s="1202"/>
      <c r="CU20" s="1202"/>
      <c r="CV20" s="1202"/>
      <c r="CW20" s="1202"/>
      <c r="CX20" s="1202"/>
      <c r="CY20" s="1202"/>
      <c r="CZ20" s="1202"/>
      <c r="DA20" s="1202"/>
      <c r="DB20" s="1202"/>
      <c r="DC20" s="1202"/>
      <c r="DD20" s="1202"/>
      <c r="DE20" s="1202"/>
      <c r="DF20" s="1202"/>
      <c r="DG20" s="1202"/>
      <c r="DH20" s="1202"/>
      <c r="DI20" s="1202"/>
      <c r="DJ20" s="1202"/>
      <c r="DK20" s="1202"/>
      <c r="DL20" s="1202"/>
      <c r="DM20" s="1202"/>
      <c r="DN20" s="1202"/>
      <c r="DO20" s="1202"/>
      <c r="DP20" s="1202"/>
      <c r="DQ20" s="1202"/>
      <c r="DR20" s="1202"/>
      <c r="DS20" s="1202"/>
      <c r="DT20" s="1202"/>
      <c r="DU20" s="1202"/>
      <c r="DV20" s="1202"/>
      <c r="DW20" s="1202"/>
      <c r="DX20" s="1202"/>
      <c r="DY20" s="1202"/>
      <c r="DZ20" s="1202"/>
      <c r="EA20" s="1202"/>
      <c r="EB20" s="1202"/>
      <c r="EC20" s="1202"/>
      <c r="ED20" s="1202"/>
      <c r="EE20" s="1202"/>
      <c r="EF20" s="1202"/>
      <c r="EG20" s="1202"/>
      <c r="EH20" s="1202"/>
      <c r="EI20" s="1202"/>
      <c r="EJ20" s="1202"/>
      <c r="EK20" s="1202"/>
      <c r="EL20" s="1202"/>
      <c r="EM20" s="1202"/>
      <c r="EN20" s="1202"/>
      <c r="EO20" s="1202"/>
      <c r="EP20" s="1202"/>
      <c r="EQ20" s="1202"/>
      <c r="ER20" s="1202"/>
      <c r="ES20" s="1202"/>
      <c r="ET20" s="1202"/>
      <c r="EU20" s="1202"/>
      <c r="EV20" s="1202"/>
      <c r="EW20" s="1202"/>
      <c r="EX20" s="1202"/>
      <c r="EY20" s="1202"/>
      <c r="EZ20" s="1202"/>
      <c r="FA20" s="1202"/>
      <c r="FB20" s="1202"/>
      <c r="FC20" s="1202"/>
      <c r="FD20" s="1202"/>
      <c r="FE20" s="1202"/>
      <c r="FF20" s="1202"/>
      <c r="FG20" s="1202"/>
      <c r="FH20" s="1202"/>
      <c r="FI20" s="1202"/>
      <c r="FJ20" s="1202"/>
      <c r="FK20" s="1202"/>
      <c r="FL20" s="1202"/>
      <c r="FM20" s="1202"/>
      <c r="FN20" s="1202"/>
      <c r="FO20" s="1202"/>
      <c r="FP20" s="1202"/>
      <c r="FQ20" s="1202"/>
      <c r="FR20" s="1202"/>
      <c r="FS20" s="1202"/>
      <c r="FT20" s="1202"/>
      <c r="FU20" s="1202"/>
      <c r="FV20" s="1202"/>
      <c r="FW20" s="1202"/>
      <c r="FX20" s="1203"/>
      <c r="GC20" s="923">
        <v>0</v>
      </c>
    </row>
    <row s="926" customFormat="1" customHeight="1" ht="12.75">
      <c r="A21" s="942"/>
      <c r="B21" s="942"/>
      <c r="C21" s="942"/>
      <c r="D21" s="942"/>
      <c r="E21" s="942"/>
      <c r="F21" s="940"/>
      <c r="G21" s="940"/>
      <c r="H21" s="940"/>
      <c r="I21" s="940"/>
      <c r="J21" s="940"/>
      <c r="K21" s="940"/>
      <c r="L21" s="940"/>
      <c r="M21" s="940"/>
      <c r="N21" s="940"/>
      <c r="O21" s="940"/>
      <c r="P21" s="940"/>
      <c r="Q21" s="940"/>
      <c r="R21" s="940"/>
      <c r="S21" s="943"/>
      <c r="T21" s="943"/>
      <c r="U21" s="940"/>
      <c r="V21" s="940"/>
      <c r="W21" s="940"/>
      <c r="X21" s="940"/>
      <c r="Y21" s="940"/>
      <c r="Z21" s="940"/>
      <c r="AA21" s="940"/>
      <c r="AB21" s="940"/>
      <c r="AC21" s="940"/>
      <c r="AD21" s="940"/>
      <c r="AE21" s="940"/>
      <c r="AF21" s="940"/>
      <c r="AG21" s="940"/>
      <c r="AH21" s="940"/>
      <c r="AI21" s="940"/>
      <c r="AJ21" s="940"/>
      <c r="AK21" s="940"/>
      <c r="AL21" s="940"/>
      <c r="AM21" s="940"/>
      <c r="AN21" s="940"/>
      <c r="AO21" s="940"/>
      <c r="AP21" s="940"/>
      <c r="AQ21" s="940"/>
      <c r="AR21" s="940"/>
      <c r="AS21" s="940"/>
      <c r="AT21" s="940"/>
      <c r="AU21" s="940"/>
      <c r="AV21" s="940"/>
      <c r="AW21" s="940"/>
      <c r="AX21" s="940"/>
      <c r="AY21" s="940"/>
      <c r="AZ21" s="940"/>
      <c r="BA21" s="940"/>
      <c r="BB21" s="940"/>
      <c r="BC21" s="940"/>
      <c r="BD21" s="940"/>
      <c r="BE21" s="940"/>
      <c r="BF21" s="940"/>
      <c r="BG21" s="940"/>
      <c r="BH21" s="940"/>
      <c r="BI21" s="940"/>
      <c r="BJ21" s="940"/>
      <c r="BK21" s="940"/>
      <c r="BL21" s="940"/>
      <c r="BM21" s="940"/>
      <c r="BN21" s="940"/>
      <c r="BO21" s="940"/>
      <c r="BP21" s="940"/>
      <c r="BQ21" s="940"/>
      <c r="BR21" s="940"/>
      <c r="BS21" s="940"/>
      <c r="BT21" s="940"/>
      <c r="BU21" s="940"/>
      <c r="BV21" s="940"/>
      <c r="BW21" s="940"/>
      <c r="BX21" s="940"/>
      <c r="BY21" s="940"/>
      <c r="BZ21" s="940"/>
      <c r="CA21" s="940"/>
      <c r="CB21" s="940"/>
      <c r="CC21" s="940"/>
      <c r="CD21" s="940"/>
      <c r="CE21" s="940"/>
      <c r="CF21" s="940"/>
      <c r="CG21" s="940"/>
      <c r="CH21" s="940"/>
      <c r="CI21" s="940"/>
      <c r="CJ21" s="940"/>
      <c r="CK21" s="940"/>
      <c r="CL21" s="940"/>
      <c r="CM21" s="940"/>
      <c r="CN21" s="940"/>
      <c r="CO21" s="940"/>
      <c r="CP21" s="940"/>
      <c r="CQ21" s="940"/>
      <c r="CR21" s="940"/>
      <c r="CS21" s="940"/>
      <c r="CT21" s="940"/>
      <c r="CU21" s="940"/>
      <c r="CV21" s="940"/>
      <c r="CW21" s="940"/>
      <c r="CX21" s="940"/>
      <c r="CY21" s="940"/>
      <c r="CZ21" s="940"/>
      <c r="DA21" s="940"/>
      <c r="DB21" s="940"/>
      <c r="DC21" s="940"/>
      <c r="DD21" s="940"/>
      <c r="DE21" s="940"/>
      <c r="DF21" s="940"/>
      <c r="DG21" s="940"/>
      <c r="DH21" s="940"/>
      <c r="DI21" s="940"/>
      <c r="DJ21" s="940"/>
      <c r="DK21" s="940"/>
      <c r="DL21" s="940"/>
      <c r="DM21" s="940"/>
      <c r="DN21" s="940"/>
      <c r="DO21" s="940"/>
      <c r="DP21" s="940"/>
      <c r="DQ21" s="940"/>
      <c r="DR21" s="940"/>
      <c r="DS21" s="940"/>
      <c r="DT21" s="940"/>
      <c r="DU21" s="940"/>
      <c r="DV21" s="940"/>
      <c r="DW21" s="940"/>
      <c r="DX21" s="940"/>
      <c r="DY21" s="940"/>
      <c r="DZ21" s="940"/>
      <c r="EA21" s="940"/>
      <c r="EB21" s="940"/>
      <c r="EC21" s="940"/>
      <c r="ED21" s="940"/>
      <c r="EE21" s="940"/>
      <c r="EF21" s="940"/>
      <c r="EG21" s="940"/>
      <c r="EH21" s="940"/>
      <c r="EI21" s="940"/>
      <c r="EJ21" s="940"/>
      <c r="EK21" s="940"/>
      <c r="EL21" s="940"/>
      <c r="EM21" s="940"/>
      <c r="EN21" s="940"/>
      <c r="EO21" s="940"/>
      <c r="EP21" s="940"/>
      <c r="EQ21" s="940"/>
      <c r="ER21" s="940"/>
      <c r="ES21" s="940"/>
      <c r="ET21" s="940"/>
      <c r="EU21" s="940"/>
      <c r="EV21" s="940"/>
      <c r="EW21" s="940"/>
      <c r="EX21" s="940"/>
      <c r="EY21" s="940"/>
      <c r="EZ21" s="940"/>
      <c r="FA21" s="940"/>
      <c r="FB21" s="940"/>
      <c r="FC21" s="940"/>
      <c r="FD21" s="940"/>
      <c r="FE21" s="940"/>
      <c r="FF21" s="940"/>
      <c r="FG21" s="940"/>
      <c r="FH21" s="940"/>
      <c r="FI21" s="940"/>
      <c r="FJ21" s="940"/>
      <c r="FK21" s="940"/>
      <c r="FL21" s="940"/>
      <c r="FM21" s="940"/>
      <c r="FN21" s="940"/>
      <c r="FO21" s="940"/>
      <c r="FP21" s="940"/>
      <c r="FQ21" s="940"/>
      <c r="FR21" s="940"/>
      <c r="FS21" s="940"/>
      <c r="FT21" s="940"/>
      <c r="FU21" s="940"/>
      <c r="FV21" s="940"/>
      <c r="FW21" s="940"/>
      <c r="FX21" s="942"/>
      <c r="FY21" s="942"/>
      <c r="FZ21" s="942"/>
      <c r="GA21" s="942"/>
      <c r="GB21" s="942"/>
      <c r="GC21" s="923">
        <v>12</v>
      </c>
    </row>
    <row s="926" customFormat="1" customHeight="1" ht="12.75">
      <c r="A22" s="942"/>
      <c r="B22" s="942"/>
      <c r="C22" s="942"/>
      <c r="D22" s="942"/>
      <c r="E22" s="942"/>
      <c r="FX22" s="942"/>
      <c r="FY22" s="942"/>
      <c r="FZ22" s="942"/>
      <c r="GA22" s="942"/>
      <c r="GB22" s="942"/>
      <c r="GC22" s="923">
        <v>12</v>
      </c>
    </row>
    <row s="1064" customFormat="1" customHeight="1" ht="12.75">
      <c r="A23" s="1063"/>
      <c r="B23" s="1063"/>
      <c r="C23" s="1063"/>
      <c r="D23" s="1063"/>
      <c r="E23" s="1063"/>
      <c r="O23" s="1065"/>
      <c r="P23" s="1065"/>
      <c r="Q23" s="1065"/>
      <c r="R23" s="1065"/>
      <c r="S23" s="1065"/>
      <c r="T23" s="1065"/>
      <c r="U23" s="1065"/>
      <c r="V23" s="1065"/>
      <c r="W23" s="1065"/>
      <c r="X23" s="1065"/>
      <c r="Y23" s="1065"/>
      <c r="Z23" s="1065"/>
      <c r="AA23" s="1065"/>
      <c r="AB23" s="1065"/>
      <c r="AC23" s="1065"/>
      <c r="AD23" s="1065"/>
      <c r="AE23" s="1065"/>
      <c r="AF23" s="1065"/>
      <c r="AG23" s="1065"/>
      <c r="AH23" s="1065"/>
      <c r="AI23" s="1065"/>
      <c r="AJ23" s="1065"/>
      <c r="AK23" s="1065"/>
      <c r="AL23" s="1065"/>
      <c r="AM23" s="1065"/>
      <c r="AN23" s="1065"/>
      <c r="AO23" s="1065"/>
      <c r="AP23" s="1065"/>
      <c r="AQ23" s="1065"/>
      <c r="AR23" s="1065"/>
      <c r="AS23" s="1065"/>
      <c r="AT23" s="1065"/>
      <c r="AU23" s="1065"/>
      <c r="AV23" s="1065"/>
      <c r="AW23" s="1065"/>
      <c r="AX23" s="1065"/>
      <c r="AY23" s="1065"/>
      <c r="AZ23" s="1065"/>
      <c r="BA23" s="1065"/>
      <c r="BB23" s="1065"/>
      <c r="BC23" s="1065"/>
      <c r="BD23" s="1065"/>
      <c r="BE23" s="1065"/>
      <c r="BF23" s="1065"/>
      <c r="BG23" s="1065"/>
      <c r="BH23" s="1065"/>
      <c r="BI23" s="1065"/>
      <c r="BJ23" s="1065"/>
      <c r="BK23" s="1065"/>
      <c r="BL23" s="1065"/>
      <c r="BM23" s="1065"/>
      <c r="BN23" s="1065"/>
      <c r="BO23" s="1065"/>
      <c r="BP23" s="1065"/>
      <c r="BQ23" s="1065"/>
      <c r="BR23" s="1065"/>
      <c r="BS23" s="1065"/>
      <c r="BT23" s="1066"/>
      <c r="BU23" s="1066"/>
      <c r="BV23" s="1066"/>
      <c r="BW23" s="1066"/>
      <c r="BX23" s="1066"/>
      <c r="BY23" s="1066"/>
      <c r="BZ23" s="1066"/>
      <c r="CA23" s="1066"/>
      <c r="CB23" s="1066"/>
      <c r="CC23" s="1066"/>
      <c r="CD23" s="1066"/>
      <c r="CE23" s="1066"/>
      <c r="CF23" s="1066"/>
      <c r="CG23" s="1066"/>
      <c r="CH23" s="1066"/>
      <c r="CI23" s="1066"/>
      <c r="CJ23" s="1066"/>
      <c r="CK23" s="1066"/>
      <c r="CL23" s="1066"/>
      <c r="CM23" s="1066"/>
      <c r="CN23" s="1066"/>
      <c r="CO23" s="1066"/>
      <c r="CP23" s="1066"/>
      <c r="CQ23" s="1066"/>
      <c r="CR23" s="1066"/>
      <c r="CS23" s="1066"/>
      <c r="CT23" s="1066"/>
      <c r="CU23" s="1066"/>
      <c r="CV23" s="1066"/>
      <c r="CW23" s="1066"/>
      <c r="CX23" s="1066"/>
      <c r="CY23" s="1066"/>
      <c r="CZ23" s="1066"/>
      <c r="DA23" s="1066"/>
      <c r="DB23" s="1066"/>
      <c r="DC23" s="1066"/>
      <c r="DD23" s="1066"/>
      <c r="DE23" s="1066"/>
      <c r="DF23" s="1066"/>
      <c r="DG23" s="1066"/>
      <c r="DH23" s="1066"/>
      <c r="DI23" s="1066"/>
      <c r="DJ23" s="1066"/>
      <c r="DK23" s="1066"/>
      <c r="DL23" s="1066"/>
      <c r="DM23" s="1066"/>
      <c r="DN23" s="1066"/>
      <c r="DO23" s="1066"/>
      <c r="DP23" s="1066"/>
      <c r="DQ23" s="1066"/>
      <c r="DR23" s="1066"/>
      <c r="DS23" s="1066"/>
      <c r="DT23" s="1066"/>
      <c r="DU23" s="1066"/>
      <c r="DV23" s="1066"/>
      <c r="DW23" s="1066"/>
      <c r="DX23" s="1066"/>
      <c r="FX23" s="1063"/>
      <c r="FY23" s="1063"/>
      <c r="FZ23" s="1063"/>
      <c r="GA23" s="1063"/>
      <c r="GB23" s="1063"/>
      <c r="GC23" s="1064">
        <v>12</v>
      </c>
    </row>
    <row customHeight="1" ht="12.75">
      <c r="S24" s="939"/>
      <c r="T24" s="939"/>
      <c r="U24" s="939"/>
      <c r="V24" s="939"/>
      <c r="W24" s="939"/>
      <c r="X24" s="939"/>
      <c r="Y24" s="939"/>
      <c r="Z24" s="939"/>
      <c r="AA24" s="939"/>
      <c r="AB24" s="939"/>
      <c r="FX24" s="939"/>
      <c r="FY24" s="939"/>
      <c r="FZ24" s="939"/>
      <c r="GA24" s="939"/>
      <c r="GB24" s="939"/>
      <c r="GC24" s="927">
        <v>12</v>
      </c>
    </row>
    <row customHeight="1" ht="12" hidden="1">
      <c r="A25" s="927" t="s">
        <v>86</v>
      </c>
      <c r="B25" s="937">
        <v>0</v>
      </c>
      <c r="C25" s="927">
        <v>0</v>
      </c>
      <c r="D25" s="927">
        <v>0</v>
      </c>
      <c r="E25" s="927">
        <v>3</v>
      </c>
      <c r="F25" s="927">
        <v>6</v>
      </c>
      <c r="G25" s="927">
        <v>18</v>
      </c>
      <c r="H25" s="927">
        <v>27</v>
      </c>
      <c r="I25" s="927">
        <v>18</v>
      </c>
      <c r="J25" s="927">
        <v>0</v>
      </c>
      <c r="K25" s="927">
        <v>0</v>
      </c>
      <c r="L25" s="927">
        <v>0</v>
      </c>
      <c r="M25" s="927">
        <v>0</v>
      </c>
      <c r="N25" s="927">
        <v>0</v>
      </c>
      <c r="O25" s="927">
        <v>0</v>
      </c>
      <c r="P25" s="927">
        <v>0</v>
      </c>
      <c r="Q25" s="927">
        <v>0</v>
      </c>
      <c r="R25" s="927">
        <v>0</v>
      </c>
      <c r="S25" s="927">
        <v>0</v>
      </c>
      <c r="T25" s="927">
        <v>0</v>
      </c>
      <c r="U25" s="927">
        <v>0</v>
      </c>
      <c r="V25" s="927">
        <v>0</v>
      </c>
      <c r="W25" s="927">
        <v>0</v>
      </c>
      <c r="X25" s="927">
        <v>0</v>
      </c>
      <c r="Y25" s="927">
        <v>0</v>
      </c>
      <c r="Z25" s="927">
        <v>0</v>
      </c>
      <c r="AA25" s="927">
        <v>0</v>
      </c>
      <c r="AB25" s="927">
        <v>0</v>
      </c>
      <c r="AC25" s="927">
        <v>0</v>
      </c>
      <c r="AD25" s="927">
        <v>0</v>
      </c>
      <c r="AE25" s="927">
        <v>0</v>
      </c>
      <c r="AF25" s="927">
        <v>0</v>
      </c>
      <c r="AG25" s="927">
        <v>0</v>
      </c>
      <c r="AH25" s="927">
        <v>0</v>
      </c>
      <c r="AI25" s="927">
        <v>0</v>
      </c>
      <c r="AJ25" s="927">
        <v>0</v>
      </c>
      <c r="AK25" s="927">
        <v>0</v>
      </c>
      <c r="AL25" s="927">
        <v>0</v>
      </c>
      <c r="AM25" s="927">
        <v>0</v>
      </c>
      <c r="AN25" s="927">
        <v>0</v>
      </c>
      <c r="AO25" s="927">
        <v>0</v>
      </c>
      <c r="AP25" s="927">
        <v>0</v>
      </c>
      <c r="AQ25" s="927">
        <v>0</v>
      </c>
      <c r="AR25" s="927">
        <v>0</v>
      </c>
      <c r="AS25" s="927">
        <v>0</v>
      </c>
      <c r="AT25" s="927">
        <v>0</v>
      </c>
      <c r="AU25" s="927">
        <v>0</v>
      </c>
      <c r="AV25" s="927">
        <v>0</v>
      </c>
      <c r="AW25" s="927">
        <v>0</v>
      </c>
      <c r="AX25" s="927">
        <v>0</v>
      </c>
      <c r="AY25" s="927">
        <v>0</v>
      </c>
      <c r="AZ25" s="927">
        <v>0</v>
      </c>
      <c r="BA25" s="927">
        <v>0</v>
      </c>
      <c r="BB25" s="927">
        <v>0</v>
      </c>
      <c r="BC25" s="927">
        <v>0</v>
      </c>
      <c r="BD25" s="927">
        <v>0</v>
      </c>
      <c r="BE25" s="927">
        <v>0</v>
      </c>
      <c r="BF25" s="927">
        <v>0</v>
      </c>
      <c r="BG25" s="927">
        <v>0</v>
      </c>
      <c r="BH25" s="927">
        <v>0</v>
      </c>
      <c r="BI25" s="927">
        <v>0</v>
      </c>
      <c r="BJ25" s="927">
        <v>0</v>
      </c>
      <c r="BK25" s="927">
        <v>0</v>
      </c>
      <c r="BL25" s="927">
        <v>0</v>
      </c>
      <c r="BM25" s="927">
        <v>0</v>
      </c>
      <c r="BN25" s="927">
        <v>0</v>
      </c>
      <c r="BO25" s="927">
        <v>0</v>
      </c>
      <c r="BP25" s="927">
        <v>0</v>
      </c>
      <c r="BQ25" s="927">
        <v>0</v>
      </c>
      <c r="BR25" s="927">
        <v>0</v>
      </c>
      <c r="BS25" s="927">
        <v>0</v>
      </c>
      <c r="BT25" s="927">
        <v>0</v>
      </c>
      <c r="BU25" s="927">
        <v>0</v>
      </c>
      <c r="BV25" s="927">
        <v>0</v>
      </c>
      <c r="BW25" s="927">
        <v>0</v>
      </c>
      <c r="BX25" s="927">
        <v>0</v>
      </c>
      <c r="BY25" s="927">
        <v>0</v>
      </c>
      <c r="BZ25" s="927">
        <v>0</v>
      </c>
      <c r="CA25" s="927">
        <v>0</v>
      </c>
      <c r="CB25" s="927">
        <v>0</v>
      </c>
      <c r="CC25" s="927">
        <v>0</v>
      </c>
      <c r="CD25" s="927">
        <v>0</v>
      </c>
      <c r="CE25" s="927">
        <v>0</v>
      </c>
      <c r="CF25" s="927">
        <v>0</v>
      </c>
      <c r="CG25" s="927">
        <v>0</v>
      </c>
      <c r="CH25" s="927">
        <v>0</v>
      </c>
      <c r="CI25" s="927">
        <v>0</v>
      </c>
      <c r="CJ25" s="927">
        <v>0</v>
      </c>
      <c r="CK25" s="927">
        <v>0</v>
      </c>
      <c r="CL25" s="927">
        <v>0</v>
      </c>
      <c r="CM25" s="927">
        <v>0</v>
      </c>
      <c r="CN25" s="927">
        <v>0</v>
      </c>
      <c r="CO25" s="927">
        <v>0</v>
      </c>
      <c r="CP25" s="927">
        <v>0</v>
      </c>
      <c r="CQ25" s="927">
        <v>0</v>
      </c>
      <c r="CR25" s="927">
        <v>0</v>
      </c>
      <c r="CS25" s="927">
        <v>0</v>
      </c>
      <c r="CT25" s="927">
        <v>0</v>
      </c>
      <c r="CU25" s="927">
        <v>0</v>
      </c>
      <c r="CV25" s="927">
        <v>0</v>
      </c>
      <c r="CW25" s="927">
        <v>0</v>
      </c>
      <c r="CX25" s="927">
        <v>0</v>
      </c>
      <c r="CY25" s="927">
        <v>0</v>
      </c>
      <c r="CZ25" s="927">
        <v>0</v>
      </c>
      <c r="DA25" s="927">
        <v>0</v>
      </c>
      <c r="DB25" s="927">
        <v>0</v>
      </c>
      <c r="DC25" s="927">
        <v>0</v>
      </c>
      <c r="DD25" s="927">
        <v>0</v>
      </c>
      <c r="DE25" s="927">
        <v>0</v>
      </c>
      <c r="DF25" s="927">
        <v>0</v>
      </c>
      <c r="DG25" s="927">
        <v>0</v>
      </c>
      <c r="DH25" s="927">
        <v>0</v>
      </c>
      <c r="DI25" s="927">
        <v>0</v>
      </c>
      <c r="DJ25" s="927">
        <v>0</v>
      </c>
      <c r="DK25" s="927">
        <v>0</v>
      </c>
      <c r="DL25" s="927">
        <v>0</v>
      </c>
      <c r="DM25" s="927">
        <v>0</v>
      </c>
      <c r="DN25" s="927">
        <v>0</v>
      </c>
      <c r="DO25" s="927">
        <v>0</v>
      </c>
      <c r="DP25" s="927">
        <v>0</v>
      </c>
      <c r="DQ25" s="927">
        <v>0</v>
      </c>
      <c r="DR25" s="927">
        <v>0</v>
      </c>
      <c r="DS25" s="927">
        <v>0</v>
      </c>
      <c r="DT25" s="927">
        <v>0</v>
      </c>
      <c r="DU25" s="927">
        <v>0</v>
      </c>
      <c r="DV25" s="927">
        <v>0</v>
      </c>
      <c r="DW25" s="927">
        <v>0</v>
      </c>
      <c r="DX25" s="927">
        <v>0</v>
      </c>
      <c r="DY25" s="927">
        <v>0</v>
      </c>
      <c r="DZ25" s="927">
        <v>0</v>
      </c>
      <c r="EA25" s="927">
        <v>0</v>
      </c>
      <c r="EB25" s="927">
        <v>0</v>
      </c>
      <c r="EC25" s="927">
        <v>0</v>
      </c>
      <c r="ED25" s="927">
        <v>0</v>
      </c>
      <c r="EE25" s="927">
        <v>0</v>
      </c>
      <c r="EF25" s="927">
        <v>0</v>
      </c>
      <c r="EG25" s="927">
        <v>0</v>
      </c>
      <c r="EH25" s="927">
        <v>0</v>
      </c>
      <c r="EI25" s="927">
        <v>0</v>
      </c>
      <c r="EJ25" s="927">
        <v>0</v>
      </c>
      <c r="EK25" s="927">
        <v>0</v>
      </c>
      <c r="EL25" s="927">
        <v>0</v>
      </c>
      <c r="EM25" s="927">
        <v>0</v>
      </c>
      <c r="EN25" s="927">
        <v>0</v>
      </c>
      <c r="EO25" s="927">
        <v>0</v>
      </c>
      <c r="EP25" s="927">
        <v>0</v>
      </c>
      <c r="EQ25" s="927">
        <v>0</v>
      </c>
      <c r="ER25" s="927">
        <v>0</v>
      </c>
      <c r="ES25" s="927">
        <v>0</v>
      </c>
      <c r="ET25" s="927">
        <v>0</v>
      </c>
      <c r="EU25" s="927">
        <v>0</v>
      </c>
      <c r="EV25" s="927">
        <v>0</v>
      </c>
      <c r="EW25" s="927">
        <v>0</v>
      </c>
      <c r="EX25" s="927">
        <v>0</v>
      </c>
      <c r="EY25" s="927">
        <v>0</v>
      </c>
      <c r="EZ25" s="927">
        <v>0</v>
      </c>
      <c r="FA25" s="927">
        <v>0</v>
      </c>
      <c r="FB25" s="927">
        <v>0</v>
      </c>
      <c r="FC25" s="927">
        <v>0</v>
      </c>
      <c r="FD25" s="927">
        <v>0</v>
      </c>
      <c r="FE25" s="927">
        <v>0</v>
      </c>
      <c r="FF25" s="927">
        <v>0</v>
      </c>
      <c r="FG25" s="927">
        <v>0</v>
      </c>
      <c r="FH25" s="927">
        <v>0</v>
      </c>
      <c r="FI25" s="927">
        <v>0</v>
      </c>
      <c r="FJ25" s="927">
        <v>0</v>
      </c>
      <c r="FK25" s="927">
        <v>0</v>
      </c>
      <c r="FL25" s="927">
        <v>0</v>
      </c>
      <c r="FM25" s="927">
        <v>0</v>
      </c>
      <c r="FN25" s="927">
        <v>0</v>
      </c>
      <c r="FO25" s="927">
        <v>0</v>
      </c>
      <c r="FP25" s="927">
        <v>0</v>
      </c>
      <c r="FQ25" s="927">
        <v>0</v>
      </c>
      <c r="FR25" s="927">
        <v>0</v>
      </c>
      <c r="FS25" s="927">
        <v>0</v>
      </c>
      <c r="FT25" s="927">
        <v>0</v>
      </c>
      <c r="FU25" s="927">
        <v>0</v>
      </c>
      <c r="FV25" s="927">
        <v>0</v>
      </c>
      <c r="FW25" s="927">
        <v>0</v>
      </c>
      <c r="FX25" s="927">
        <v>8</v>
      </c>
      <c r="FY25" s="927">
        <v>8</v>
      </c>
      <c r="FZ25" s="927">
        <v>8</v>
      </c>
      <c r="GA25" s="927">
        <v>8</v>
      </c>
      <c r="GB25" s="927">
        <v>8</v>
      </c>
      <c r="GC25" s="927">
        <v>12</v>
      </c>
    </row>
  </sheetData>
  <sheetProtection formatColumns="0" formatRows="0" autoFilter="0" sort="0" insertRows="0" insertColumns="1" deleteRows="0" deleteColumns="0"/>
  <mergeCells count="198">
    <mergeCell ref="CJ14:CK15"/>
    <mergeCell ref="CJ16:CK16"/>
    <mergeCell ref="CY13:CZ15"/>
    <mergeCell ref="CY16:CZ16"/>
    <mergeCell ref="DA13:DB15"/>
    <mergeCell ref="DA16:DB16"/>
    <mergeCell ref="CV11:CV17"/>
    <mergeCell ref="CW11:CW17"/>
    <mergeCell ref="CX11:CX17"/>
    <mergeCell ref="CY11:DJ11"/>
    <mergeCell ref="CY12:DD12"/>
    <mergeCell ref="DG12:DJ12"/>
    <mergeCell ref="CP11:CP17"/>
    <mergeCell ref="CQ11:CQ17"/>
    <mergeCell ref="CR11:CR17"/>
    <mergeCell ref="CS11:CS17"/>
    <mergeCell ref="CT11:CT17"/>
    <mergeCell ref="CU11:CU17"/>
    <mergeCell ref="DC13:DD15"/>
    <mergeCell ref="DC16:DD16"/>
    <mergeCell ref="DE12:DF12"/>
    <mergeCell ref="DE13:DF15"/>
    <mergeCell ref="DE16:DF16"/>
    <mergeCell ref="DG14:DH15"/>
    <mergeCell ref="AA14:AB15"/>
    <mergeCell ref="AA16:AB16"/>
    <mergeCell ref="BT13:BU15"/>
    <mergeCell ref="BT16:BU16"/>
    <mergeCell ref="O14:P15"/>
    <mergeCell ref="O16:P16"/>
    <mergeCell ref="Q14:R15"/>
    <mergeCell ref="Q16:R16"/>
    <mergeCell ref="S13:T15"/>
    <mergeCell ref="S16:T16"/>
    <mergeCell ref="U14:V15"/>
    <mergeCell ref="W14:X15"/>
    <mergeCell ref="U16:V16"/>
    <mergeCell ref="W16:X16"/>
    <mergeCell ref="BR11:BR17"/>
    <mergeCell ref="BS11:BS17"/>
    <mergeCell ref="BT11:CK11"/>
    <mergeCell ref="BT12:BW12"/>
    <mergeCell ref="BX12:CA12"/>
    <mergeCell ref="CD12:CK12"/>
    <mergeCell ref="BV16:BW16"/>
    <mergeCell ref="BX13:BY15"/>
    <mergeCell ref="CH14:CI15"/>
    <mergeCell ref="CH16:CI16"/>
    <mergeCell ref="DY8:FV8"/>
    <mergeCell ref="FW8:FW17"/>
    <mergeCell ref="AE11:AE17"/>
    <mergeCell ref="AF11:AF17"/>
    <mergeCell ref="EI11:EI17"/>
    <mergeCell ref="EJ11:EJ17"/>
    <mergeCell ref="EK11:EK17"/>
    <mergeCell ref="EL11:EL17"/>
    <mergeCell ref="CL11:CL17"/>
    <mergeCell ref="CM11:CM17"/>
    <mergeCell ref="CN11:CN17"/>
    <mergeCell ref="CO11:CO17"/>
    <mergeCell ref="AG11:AG17"/>
    <mergeCell ref="AH11:AH17"/>
    <mergeCell ref="AI11:AI17"/>
    <mergeCell ref="AJ11:AJ17"/>
    <mergeCell ref="AK11:AK17"/>
    <mergeCell ref="AL11:AL17"/>
    <mergeCell ref="AY11:AY17"/>
    <mergeCell ref="AZ11:AZ17"/>
    <mergeCell ref="BA11:BA17"/>
    <mergeCell ref="BB11:BB17"/>
    <mergeCell ref="BV13:BW15"/>
    <mergeCell ref="O8:BS8"/>
    <mergeCell ref="BT8:CX8"/>
    <mergeCell ref="CY8:DX8"/>
    <mergeCell ref="L11:L17"/>
    <mergeCell ref="M11:M17"/>
    <mergeCell ref="N11:N17"/>
    <mergeCell ref="O11:AB11"/>
    <mergeCell ref="AC11:AC17"/>
    <mergeCell ref="AD11:AD17"/>
    <mergeCell ref="O12:R12"/>
    <mergeCell ref="S12:AB12"/>
    <mergeCell ref="AM11:AM17"/>
    <mergeCell ref="AN11:AN17"/>
    <mergeCell ref="AO11:AO17"/>
    <mergeCell ref="AP11:AP17"/>
    <mergeCell ref="AQ11:AQ17"/>
    <mergeCell ref="AR11:AR17"/>
    <mergeCell ref="AS11:AS17"/>
    <mergeCell ref="AT11:AT17"/>
    <mergeCell ref="AU11:AU17"/>
    <mergeCell ref="AV11:AV17"/>
    <mergeCell ref="AW11:AW17"/>
    <mergeCell ref="AX11:AX17"/>
    <mergeCell ref="BK11:BK17"/>
    <mergeCell ref="BQ11:BQ17"/>
    <mergeCell ref="F11:F17"/>
    <mergeCell ref="G11:G17"/>
    <mergeCell ref="H11:H17"/>
    <mergeCell ref="I11:I17"/>
    <mergeCell ref="J11:J17"/>
    <mergeCell ref="K11:K17"/>
    <mergeCell ref="BP11:BP17"/>
    <mergeCell ref="BE11:BE17"/>
    <mergeCell ref="BF11:BF17"/>
    <mergeCell ref="BG11:BG17"/>
    <mergeCell ref="BH11:BH17"/>
    <mergeCell ref="BI11:BI17"/>
    <mergeCell ref="BJ11:BJ17"/>
    <mergeCell ref="BC11:BC17"/>
    <mergeCell ref="BD11:BD17"/>
    <mergeCell ref="O13:R13"/>
    <mergeCell ref="U13:X13"/>
    <mergeCell ref="Y13:AB13"/>
    <mergeCell ref="BL11:BL17"/>
    <mergeCell ref="BM11:BM17"/>
    <mergeCell ref="BN11:BN17"/>
    <mergeCell ref="BO11:BO17"/>
    <mergeCell ref="Y14:Z15"/>
    <mergeCell ref="Y16:Z16"/>
    <mergeCell ref="BX16:BY16"/>
    <mergeCell ref="BZ13:CA15"/>
    <mergeCell ref="BZ16:CA16"/>
    <mergeCell ref="CB12:CC12"/>
    <mergeCell ref="CB13:CC15"/>
    <mergeCell ref="CB16:CC16"/>
    <mergeCell ref="CD13:CE15"/>
    <mergeCell ref="CD16:CE16"/>
    <mergeCell ref="CF13:CG15"/>
    <mergeCell ref="CF16:CG16"/>
    <mergeCell ref="DG16:DH16"/>
    <mergeCell ref="DQ11:DQ17"/>
    <mergeCell ref="DR11:DR17"/>
    <mergeCell ref="DS11:DS17"/>
    <mergeCell ref="DT11:DT17"/>
    <mergeCell ref="DI14:DJ15"/>
    <mergeCell ref="DI16:DJ16"/>
    <mergeCell ref="DU11:DU17"/>
    <mergeCell ref="DV11:DV17"/>
    <mergeCell ref="DK11:DK17"/>
    <mergeCell ref="DL11:DL17"/>
    <mergeCell ref="DM11:DM17"/>
    <mergeCell ref="DN11:DN17"/>
    <mergeCell ref="DO11:DO17"/>
    <mergeCell ref="DP11:DP17"/>
    <mergeCell ref="EC11:EC17"/>
    <mergeCell ref="ED11:ED17"/>
    <mergeCell ref="EE11:EE17"/>
    <mergeCell ref="EF11:EF17"/>
    <mergeCell ref="EG11:EG17"/>
    <mergeCell ref="EH11:EH17"/>
    <mergeCell ref="DW11:DW17"/>
    <mergeCell ref="DX11:DX17"/>
    <mergeCell ref="DY11:DY17"/>
    <mergeCell ref="DZ11:DZ17"/>
    <mergeCell ref="EA11:EA17"/>
    <mergeCell ref="EB11:EB17"/>
    <mergeCell ref="FN11:FN17"/>
    <mergeCell ref="FO11:FO17"/>
    <mergeCell ref="FP11:FP17"/>
    <mergeCell ref="FQ11:FQ17"/>
    <mergeCell ref="FR11:FR17"/>
    <mergeCell ref="EV11:EV17"/>
    <mergeCell ref="EW11:EW17"/>
    <mergeCell ref="EX11:EX17"/>
    <mergeCell ref="EM11:EM17"/>
    <mergeCell ref="EN11:EN17"/>
    <mergeCell ref="EO11:EO17"/>
    <mergeCell ref="EP11:EP17"/>
    <mergeCell ref="EQ11:EQ17"/>
    <mergeCell ref="ER11:ER17"/>
    <mergeCell ref="ES11:ES17"/>
    <mergeCell ref="ET11:ET17"/>
    <mergeCell ref="EU11:EU17"/>
    <mergeCell ref="F10:FV10"/>
    <mergeCell ref="F5:BS5"/>
    <mergeCell ref="F6:BS6"/>
    <mergeCell ref="DG13:DJ13"/>
    <mergeCell ref="CH13:CK13"/>
    <mergeCell ref="FE11:FE17"/>
    <mergeCell ref="FF11:FF17"/>
    <mergeCell ref="FG11:FG17"/>
    <mergeCell ref="FH11:FH17"/>
    <mergeCell ref="FI11:FI17"/>
    <mergeCell ref="FJ11:FJ17"/>
    <mergeCell ref="EY11:EY17"/>
    <mergeCell ref="EZ11:EZ17"/>
    <mergeCell ref="FA11:FA17"/>
    <mergeCell ref="FB11:FB17"/>
    <mergeCell ref="FC11:FC17"/>
    <mergeCell ref="FD11:FD17"/>
    <mergeCell ref="FS11:FS17"/>
    <mergeCell ref="FT11:FT17"/>
    <mergeCell ref="FU11:FU17"/>
    <mergeCell ref="FV11:FV17"/>
    <mergeCell ref="FK11:FK17"/>
    <mergeCell ref="FL11:FL17"/>
    <mergeCell ref="FM11:FM17"/>
  </mergeCells>
  <dataValidations count="1">
    <dataValidation allowBlank="1" showInputMessage="1" showErrorMessage="1" sqref="AA14:AB16 U16:Z16"/>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81812C1-75EA-A5B8-9401-19E036D8CEF8}" mc:Ignorable="x14ac xr xr2 xr3">
  <sheetPr>
    <tabColor theme="2" tint="-0.1"/>
  </sheetPr>
  <dimension ref="A1:S23"/>
  <sheetViews>
    <sheetView showGridLines="0" zoomScale="90" workbookViewId="0">
      <pane xSplit="7" ySplit="14" topLeftCell="H15" activePane="bottomRight" state="frozen"/>
      <selection pane="bottomLeft" activeCell="A15" sqref="A15"/>
      <selection pane="topRight" activeCell="H1" sqref="H1"/>
      <selection pane="bottomRight" activeCell="A1" sqref="A1"/>
    </sheetView>
  </sheetViews>
  <sheetFormatPr defaultColWidth="10.57421875" customHeight="1" defaultRowHeight="15"/>
  <cols>
    <col min="1" max="1" style="1633" width="9.140625" hidden="1" customWidth="1"/>
    <col min="2" max="2" style="1636" width="9.140625" hidden="1" customWidth="1"/>
    <col min="3" max="3" style="684" width="4.00390625" customWidth="1"/>
    <col min="4" max="4" style="1636" width="6.00390625" customWidth="1"/>
    <col min="5" max="5" style="1636" width="36.00390625" customWidth="1"/>
    <col min="6" max="6" style="1636" width="9.00390625" customWidth="1"/>
    <col min="7" max="7" style="1636" width="42.421875" hidden="1" customWidth="1"/>
    <col min="8" max="8" style="1636" width="40.7109375" customWidth="1"/>
    <col min="9" max="9" style="1367" width="93.00390625" customWidth="1"/>
    <col min="10" max="17" style="1636" width="10.00390625" customWidth="1"/>
    <col min="18" max="18" style="676" width="10.00390625" customWidth="1"/>
    <col min="19" max="19" style="1636" width="10.57421875" hidden="1"/>
  </cols>
  <sheetData>
    <row s="1367" customFormat="1" customHeight="1" ht="15" hidden="1">
      <c r="C1" s="673"/>
      <c r="H1" s="418">
        <v>4</v>
      </c>
      <c r="R1" s="421"/>
      <c r="S1" s="418" t="s">
        <v>14</v>
      </c>
    </row>
    <row customHeight="1" ht="22.5" hidden="1">
      <c r="C2" s="1929" t="s">
        <v>108</v>
      </c>
      <c r="D2" s="540"/>
      <c r="E2" s="664"/>
      <c r="F2" s="1762" t="str">
        <f>IF(TEMPLATE_SPHERE="HEAT","Гкал/час","тыс. куб. м/сутки")</f>
        <v>Гкал/час</v>
      </c>
      <c r="G2" s="681"/>
      <c r="H2" s="681"/>
      <c r="I2" s="290"/>
      <c r="S2" s="506">
        <v>0</v>
      </c>
    </row>
    <row s="1367" customFormat="1" customHeight="1" ht="15" hidden="1">
      <c r="C3" s="673"/>
      <c r="R3" s="421"/>
      <c r="S3" s="418">
        <v>0</v>
      </c>
    </row>
    <row customHeight="1" ht="15.75">
      <c r="C4" s="177"/>
      <c r="D4" s="510"/>
      <c r="E4" s="510"/>
      <c r="F4" s="510"/>
      <c r="G4" s="510"/>
      <c r="H4" s="510"/>
      <c r="S4" s="506">
        <v>15</v>
      </c>
    </row>
    <row customHeight="1" ht="39.75">
      <c r="C5" s="177"/>
      <c r="D5" s="2238" t="str">
        <f>TP_NAME_FORM</f>
        <v>Форма 14. Информация о наличии (об отсутствии) технической возможности подключения (технологического присоединения) к системе теплоснабжения, а также о принятии и ходе рассмотрения заявок на заключение договора о подключении (технологическом присоединении) к системе теплоснабжения</v>
      </c>
      <c r="E5" s="2238"/>
      <c r="F5" s="2238"/>
      <c r="G5" s="2238"/>
      <c r="H5" s="2238"/>
      <c r="I5" s="538"/>
      <c r="S5" s="506">
        <v>38</v>
      </c>
    </row>
    <row customHeight="1" ht="15.75">
      <c r="C6" s="177"/>
      <c r="D6" s="2177" t="str">
        <f>IF(org=0,"Не определено",org)</f>
        <v>ПАО "ТГК-1" (филиал "Кольский")</v>
      </c>
      <c r="E6" s="2177"/>
      <c r="F6" s="2177"/>
      <c r="G6" s="2177"/>
      <c r="H6" s="2177"/>
      <c r="I6" s="538"/>
      <c r="S6" s="506">
        <v>15</v>
      </c>
    </row>
    <row s="1636" customFormat="1" customHeight="1" ht="15.75">
      <c r="A7" s="760"/>
      <c r="C7" s="177"/>
      <c r="D7" s="677"/>
      <c r="E7" s="677"/>
      <c r="F7" s="677"/>
      <c r="G7" s="677"/>
      <c r="H7" s="753"/>
      <c r="I7" s="538"/>
      <c r="R7" s="676"/>
      <c r="S7" s="759">
        <v>15</v>
      </c>
    </row>
    <row customHeight="1" ht="1.05">
      <c r="C8" s="177"/>
      <c r="D8" s="510"/>
      <c r="E8" s="510"/>
      <c r="F8" s="510"/>
      <c r="G8" s="510"/>
      <c r="H8" s="538" t="s">
        <v>130</v>
      </c>
      <c r="S8" s="506">
        <v>1</v>
      </c>
    </row>
    <row customHeight="1" ht="15.75">
      <c r="C9" s="177"/>
      <c r="D9" s="712"/>
      <c r="E9" s="2368" t="s">
        <v>119</v>
      </c>
      <c r="F9" s="2369"/>
      <c r="G9" s="817" t="str">
        <f>IF(G8="","",INDEX(DIFFERENTIATION_UNMERGE_VD,MATCH(G8,DIFFERENTIATION_ID_DIFF,0)))</f>
        <v/>
      </c>
      <c r="H9" s="817">
        <f>IF(H8="","",INDEX(DIFFERENTIATION_UNMERGE_VD,MATCH(H8,DIFFERENTIATION_ID_DIFF,0)))</f>
        <v>0</v>
      </c>
      <c r="I9" s="2128" t="s">
        <v>431</v>
      </c>
      <c r="S9" s="506">
        <v>15</v>
      </c>
    </row>
    <row s="1636" customFormat="1" customHeight="1" ht="15.75">
      <c r="A10" s="760"/>
      <c r="C10" s="177"/>
      <c r="D10" s="712"/>
      <c r="E10" s="2368" t="s">
        <v>695</v>
      </c>
      <c r="F10" s="2369"/>
      <c r="G10" s="817" t="str">
        <f>IF(G8="","",INDEX(DIFFERENTIATION_UNMERGE_AREA,MATCH(G8,DIFFERENTIATION_ID_DIFF,0)))</f>
        <v/>
      </c>
      <c r="H10" s="817" t="str">
        <f>IF(H8="","",INDEX(DIFFERENTIATION_UNMERGE_AREA,MATCH(H8,DIFFERENTIATION_ID_DIFF,0)))</f>
        <v/>
      </c>
      <c r="I10" s="2128"/>
      <c r="R10" s="676"/>
      <c r="S10" s="759">
        <v>15</v>
      </c>
    </row>
    <row s="1636" customFormat="1" customHeight="1" ht="15.75">
      <c r="A11" s="760"/>
      <c r="C11" s="177"/>
      <c r="D11" s="712"/>
      <c r="E11" s="2368" t="s">
        <v>696</v>
      </c>
      <c r="F11" s="2369"/>
      <c r="G11" s="817" t="str">
        <f>IF(G8="","",INDEX(DIFFERENTIATION_UNMERGE_SYSTEM,MATCH(G8,DIFFERENTIATION_ID_DIFF,0)))</f>
        <v/>
      </c>
      <c r="H11" s="817" t="str">
        <f>IF(H8="","",INDEX(DIFFERENTIATION_UNMERGE_SYSTEM,MATCH(H8,DIFFERENTIATION_ID_DIFF,0)))</f>
        <v>без дифференциации</v>
      </c>
      <c r="I11" s="2128"/>
      <c r="R11" s="676"/>
      <c r="S11" s="759">
        <v>15</v>
      </c>
    </row>
    <row s="1636" customFormat="1" customHeight="1" ht="15.75">
      <c r="A12" s="760"/>
      <c r="C12" s="177"/>
      <c r="D12" s="2370" t="s">
        <v>430</v>
      </c>
      <c r="E12" s="2371"/>
      <c r="F12" s="2371"/>
      <c r="G12" s="888"/>
      <c r="H12" s="888"/>
      <c r="I12" s="2128"/>
      <c r="R12" s="676"/>
      <c r="S12" s="759">
        <v>15</v>
      </c>
    </row>
    <row customHeight="1" ht="35.699999999999996">
      <c r="C13" s="177"/>
      <c r="D13" s="762" t="s">
        <v>92</v>
      </c>
      <c r="E13" s="761" t="s">
        <v>432</v>
      </c>
      <c r="F13" s="761" t="s">
        <v>697</v>
      </c>
      <c r="G13" s="809" t="s">
        <v>433</v>
      </c>
      <c r="H13" s="755" t="s">
        <v>433</v>
      </c>
      <c r="I13" s="2128"/>
      <c r="S13" s="506">
        <v>34</v>
      </c>
    </row>
    <row customHeight="1" ht="15" hidden="1">
      <c r="C14" s="177"/>
      <c r="D14" s="594" t="s">
        <v>123</v>
      </c>
      <c r="E14" s="594" t="s">
        <v>107</v>
      </c>
      <c r="F14" s="594" t="s">
        <v>94</v>
      </c>
      <c r="G14" s="660" t="str">
        <f>G1&amp;".1"</f>
        <v>.1</v>
      </c>
      <c r="H14" s="660" t="str">
        <f>H1&amp;".1"</f>
        <v>4.1</v>
      </c>
      <c r="I14" s="290"/>
      <c r="S14" s="506">
        <v>0</v>
      </c>
    </row>
    <row customHeight="1" ht="15.75">
      <c r="A15" s="506"/>
      <c r="C15" s="527"/>
      <c r="D15" s="522">
        <v>1</v>
      </c>
      <c r="E15" s="1931" t="str">
        <f>TP_P_A</f>
        <v>Количество поданных заявок</v>
      </c>
      <c r="F15" s="522" t="s">
        <v>1245</v>
      </c>
      <c r="G15" s="686"/>
      <c r="H15" s="686"/>
      <c r="I15" s="209" t="str">
        <f>TP_P_NOTE_A</f>
        <v>Указывается количество поданных заявок на подключение (технологическое присоединение) к системе теплоснабжения в течение отчетного квартала.</v>
      </c>
      <c r="S15" s="506">
        <v>15</v>
      </c>
    </row>
    <row customHeight="1" ht="15.75">
      <c r="A16" s="506"/>
      <c r="C16" s="527"/>
      <c r="D16" s="522">
        <v>2</v>
      </c>
      <c r="E16" s="1931" t="str">
        <f>TP_P_B</f>
        <v>Количество рассмотренных заявок</v>
      </c>
      <c r="F16" s="522" t="s">
        <v>1245</v>
      </c>
      <c r="G16" s="686"/>
      <c r="H16" s="686"/>
      <c r="I16" s="209" t="str">
        <f>TP_P_NOTE_B</f>
        <v>Указывается количество исполненных заявок на подключение (технологическое присоединение) к системе теплоснабжения в течение отчетного квартала.</v>
      </c>
      <c r="S16" s="506">
        <v>15</v>
      </c>
    </row>
    <row customHeight="1" ht="77.7">
      <c r="A17" s="506"/>
      <c r="C17" s="527"/>
      <c r="D17" s="522">
        <v>3</v>
      </c>
      <c r="E17" s="1931" t="str">
        <f>TP_P_V</f>
        <v>Количество заявок на заключение договора о подключении (технологическом присоединении) к системе теплоснабжения, по которым регулируемой организацией отказано в заключении договора о подключении (технологическом присоединении) к системе теплоснабжения</v>
      </c>
      <c r="F17" s="522" t="s">
        <v>1245</v>
      </c>
      <c r="G17" s="686"/>
      <c r="H17" s="686"/>
      <c r="I17" s="209" t="str">
        <f>TP_P_NOTE_V</f>
        <v>Указывается количество заявок с решением об отказе в течение отчетного квартала.</v>
      </c>
      <c r="S17" s="506">
        <v>74</v>
      </c>
    </row>
    <row customHeight="1" ht="54.75">
      <c r="A18" s="506"/>
      <c r="C18" s="527"/>
      <c r="D18" s="522">
        <v>4</v>
      </c>
      <c r="E18" s="1931" t="str">
        <f>TP_P_V_1</f>
        <v>Причины отказа в заключении договора о подключении (технологическом присоединении) к системе теплоснабжения</v>
      </c>
      <c r="F18" s="522" t="s">
        <v>436</v>
      </c>
      <c r="G18" s="687"/>
      <c r="H18" s="687"/>
      <c r="I18" s="839" t="str">
        <f>TP_P_NOTE_V_1</f>
        <v>Указывается текстовое описание причин принятия решений.
Не заполняется в случае, если решения об отказе в течение отчетного периода не принимались.</v>
      </c>
      <c r="S18" s="506">
        <v>52</v>
      </c>
    </row>
    <row customHeight="1" ht="60">
      <c r="A19" s="506"/>
      <c r="C19" s="527"/>
      <c r="D19" s="522">
        <v>5</v>
      </c>
      <c r="E19" s="1931" t="str">
        <f>TP_P_G</f>
        <v>Резерв мощности источников тепловой энергии, входящих в систему теплоснабжения, в течение одного квартала, в том числе:</v>
      </c>
      <c r="F19" s="522" t="str">
        <f>IF(TEMPLATE_SPHERE="HEAT","Гкал/час","тыс. куб. м/сутки")</f>
        <v>Гкал/час</v>
      </c>
      <c r="G19" s="688">
        <f>SUM(G20:G22)</f>
        <v>0</v>
      </c>
      <c r="H19" s="688">
        <f>SUM(H20:H22)</f>
        <v>0</v>
      </c>
      <c r="I19" s="209" t="str">
        <f>TP_P_NOTE_G</f>
        <v>Указывается резерв мощности для системы теплоснабжения, тариф для которой не является отличным от тарифов других систем теплоснабжения регулируемой организации.
При использовании регулируемой организацией нескольких систем теплоснабжения информация о резерве мощности источников тепловой энергии таких систем раскрывается в отношении каждой системы теплоснабжения в отдельных строках. </v>
      </c>
      <c r="S19" s="506">
        <v>57</v>
      </c>
    </row>
    <row customHeight="1" ht="15" hidden="1">
      <c r="D20" s="510" t="s">
        <v>1246</v>
      </c>
      <c r="E20" s="689"/>
      <c r="F20" s="510"/>
      <c r="G20" s="510"/>
      <c r="H20" s="510"/>
      <c r="I20" s="1764"/>
      <c r="S20" s="506">
        <v>0</v>
      </c>
    </row>
    <row customHeight="1" ht="29.25">
      <c r="C21" s="452"/>
      <c r="D21" s="540" t="s">
        <v>443</v>
      </c>
      <c r="E21" s="671"/>
      <c r="F21" s="1762" t="str">
        <f>IF(TEMPLATE_SPHERE="HEAT","Гкал/час","тыс. куб. м/сутки")</f>
        <v>Гкал/час</v>
      </c>
      <c r="G21" s="681"/>
      <c r="H21" s="681"/>
      <c r="I21" s="2170" t="str">
        <f>TP_P_NOTE_G_1</f>
        <v>Указывается резерв мощности для системы теплоснабжения, тариф для которой не является отличным от тарифов других систем теплоснабжения регулируемой организации.
При использовании регулируемой организацией нескольких систем теплоснабжения информация о резерве мощности источников тепловой энергии таких систем раскрывается в отношении каждой системы теплоснабжения в отдельных строках. </v>
      </c>
      <c r="S21" s="506">
        <v>28</v>
      </c>
    </row>
    <row customHeight="1" ht="15.75">
      <c r="A22" s="506"/>
      <c r="C22" s="506"/>
      <c r="D22" s="348"/>
      <c r="E22" s="581" t="s">
        <v>1247</v>
      </c>
      <c r="F22" s="573"/>
      <c r="G22" s="573"/>
      <c r="H22" s="573"/>
      <c r="I22" s="2172"/>
      <c r="R22" s="506"/>
      <c r="S22" s="506">
        <v>15</v>
      </c>
    </row>
    <row customHeight="1" ht="22.5" hidden="1">
      <c r="A23" s="450" t="s">
        <v>86</v>
      </c>
      <c r="B23" s="506">
        <v>0</v>
      </c>
      <c r="C23" s="684">
        <v>4</v>
      </c>
      <c r="D23" s="506">
        <v>6</v>
      </c>
      <c r="E23" s="506">
        <v>36</v>
      </c>
      <c r="F23" s="506">
        <v>9</v>
      </c>
      <c r="G23" s="759">
        <v>0</v>
      </c>
      <c r="H23" s="506">
        <v>40</v>
      </c>
      <c r="I23" s="418">
        <v>93</v>
      </c>
      <c r="J23" s="506">
        <v>10</v>
      </c>
      <c r="K23" s="506">
        <v>10</v>
      </c>
      <c r="L23" s="506">
        <v>10</v>
      </c>
      <c r="M23" s="506">
        <v>10</v>
      </c>
      <c r="N23" s="506">
        <v>10</v>
      </c>
      <c r="O23" s="506">
        <v>10</v>
      </c>
      <c r="P23" s="506">
        <v>10</v>
      </c>
      <c r="Q23" s="506">
        <v>10</v>
      </c>
      <c r="R23" s="676">
        <v>10</v>
      </c>
      <c r="S23" s="506">
        <v>23</v>
      </c>
    </row>
  </sheetData>
  <sheetProtection formatColumns="0" formatRows="0" autoFilter="0" sort="0" insertRows="0" insertColumns="1" deleteRows="0" deleteColumns="0"/>
  <mergeCells count="8">
    <mergeCell ref="I21:I22"/>
    <mergeCell ref="I9:I13"/>
    <mergeCell ref="D5:H5"/>
    <mergeCell ref="D6:H6"/>
    <mergeCell ref="E9:F9"/>
    <mergeCell ref="E10:F10"/>
    <mergeCell ref="E11:F11"/>
    <mergeCell ref="D12:F12"/>
  </mergeCells>
  <dataValidations count="4">
    <dataValidation type="decimal" allowBlank="1" showErrorMessage="1" errorTitle="Ошибка" error="Допускается ввод только действительных чисел!" sqref="G2:H2 G21:H21">
      <formula1>-9.99999999999999E+23</formula1>
      <formula2>9.99999999999999E+23</formula2>
    </dataValidation>
    <dataValidation type="whole" allowBlank="1" showErrorMessage="1" errorTitle="Ошибка" error="Допускается ввод только неотрицательных целых чисел!" sqref="G15:H17">
      <formula1>0</formula1>
      <formula2>9.99999999999999E+23</formula2>
    </dataValidation>
    <dataValidation type="textLength" operator="lessThanOrEqual" allowBlank="1" showInputMessage="1" showErrorMessage="1" errorTitle="Ошибка" error="Допускается ввод не более 900 символов!" sqref="E21 E2 G18:H18">
      <formula1>900</formula1>
    </dataValidation>
    <dataValidation allowBlank="1" showInputMessage="1" showErrorMessage="1" prompt="Количество поданных заявок на подключение (технологическое присоединение) к системе теплоснабжения в течение квартала, шт." sqref="E15 E13"/>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5607E08-7248-29B2-6688-E59963A8CBA8}" mc:Ignorable="x14ac xr xr2 xr3">
  <sheetPr>
    <tabColor theme="6" tint="0.4"/>
    <pageSetUpPr fitToPage="1"/>
  </sheetPr>
  <dimension ref="A1:Q32"/>
  <sheetViews>
    <sheetView showGridLines="0" zoomScale="90" workbookViewId="0">
      <pane xSplit="5" ySplit="13" topLeftCell="F14" activePane="bottomRight" state="frozen"/>
      <selection pane="bottomLeft" activeCell="A14" sqref="A14"/>
      <selection pane="topRight" activeCell="F1" sqref="F1"/>
      <selection pane="bottomRight" activeCell="A1" sqref="A1"/>
    </sheetView>
  </sheetViews>
  <sheetFormatPr defaultColWidth="10.57421875" customHeight="1" defaultRowHeight="14.25"/>
  <cols>
    <col min="1" max="1" style="2398" width="9.140625" hidden="1" customWidth="1"/>
    <col min="2" max="2" style="1367" width="9.140625" hidden="1" customWidth="1"/>
    <col min="3" max="3" style="345" width="3.00390625" customWidth="1"/>
    <col min="4" max="4" style="1636" width="6.00390625" customWidth="1"/>
    <col min="5" max="6" style="1636" width="64.00390625" customWidth="1"/>
    <col min="7" max="7" style="1636" width="140.00390625" customWidth="1"/>
    <col min="8" max="8" style="1636" width="10.00390625" customWidth="1"/>
    <col min="9" max="10" style="1625" width="10.00390625" customWidth="1"/>
    <col min="11" max="16" style="1636" width="10.00390625" customWidth="1"/>
    <col min="17" max="17" style="1636" width="10.57421875" hidden="1"/>
  </cols>
  <sheetData>
    <row customHeight="1" ht="22.5" hidden="1">
      <c r="M1" s="256"/>
      <c r="N1" s="256"/>
      <c r="P1" s="256"/>
      <c r="Q1" s="84" t="s">
        <v>14</v>
      </c>
    </row>
    <row customHeight="1" ht="14.25" hidden="1">
      <c r="Q2" s="84">
        <v>0</v>
      </c>
    </row>
    <row customHeight="1" ht="14.25" hidden="1">
      <c r="Q3" s="84">
        <v>0</v>
      </c>
    </row>
    <row customHeight="1" ht="3">
      <c r="C4" s="97"/>
      <c r="D4" s="85"/>
      <c r="E4" s="85"/>
      <c r="F4" s="86"/>
      <c r="G4" s="86"/>
      <c r="Q4" s="84">
        <v>3</v>
      </c>
    </row>
    <row customHeight="1" ht="29.25">
      <c r="C5" s="97"/>
      <c r="D5" s="2455" t="str">
        <f>TERMS_NAME_FORM</f>
        <v>Форма 15. Информация об условиях, на которых осуществляется поставка товаров (оказание услуг) в сфере теплоснабжения, цены (тарифы) на которые подлежат регулированию, и (или) условиях договоров о подключении (технологическом присоединении) к системе теплоснабжения, информация об условиях, на которых осуществляется поставка товаров (оказание услуг) по ценам, определяемым по соглашению сторон в соответствии с Федеральным законом от 27 июля 2010 г. N 190-ФЗ "О теплоснабжении", и (или) условиях договоров о подключении (технологическом присоединении) к системе теплоснабжения</v>
      </c>
      <c r="E5" s="2456"/>
      <c r="F5" s="2456"/>
      <c r="G5" s="2457"/>
      <c r="Q5" s="84">
        <v>28</v>
      </c>
    </row>
    <row s="1636" customFormat="1" customHeight="1" ht="18.75">
      <c r="A6" s="883"/>
      <c r="B6" s="418"/>
      <c r="C6" s="377"/>
      <c r="D6" s="2458" t="str">
        <f>IF(org=0,"Не определено",org)</f>
        <v>ПАО "ТГК-1" (филиал "Кольский")</v>
      </c>
      <c r="E6" s="2459"/>
      <c r="F6" s="2459"/>
      <c r="G6" s="2460"/>
      <c r="I6" s="501"/>
      <c r="J6" s="501"/>
      <c r="Q6" s="759">
        <v>18</v>
      </c>
    </row>
    <row customHeight="1" ht="14.699999999999998">
      <c r="C7" s="97"/>
      <c r="D7" s="85"/>
      <c r="E7" s="96"/>
      <c r="F7" s="753"/>
      <c r="G7" s="194"/>
      <c r="Q7" s="84">
        <v>14</v>
      </c>
    </row>
    <row s="1636" customFormat="1" customHeight="1" ht="1.05">
      <c r="A8" s="1670"/>
      <c r="B8" s="1161"/>
      <c r="C8" s="377"/>
      <c r="D8" s="364"/>
      <c r="E8" s="390"/>
      <c r="F8" s="753"/>
      <c r="G8" s="194"/>
      <c r="I8" s="1625"/>
      <c r="J8" s="1625"/>
      <c r="Q8" s="1632">
        <v>1</v>
      </c>
    </row>
    <row customHeight="1" ht="14.699999999999998">
      <c r="C9" s="97"/>
      <c r="D9" s="2210" t="s">
        <v>430</v>
      </c>
      <c r="E9" s="2210"/>
      <c r="F9" s="2210"/>
      <c r="G9" s="2390" t="s">
        <v>431</v>
      </c>
      <c r="Q9" s="84">
        <v>14</v>
      </c>
    </row>
    <row customHeight="1" ht="24">
      <c r="C10" s="97"/>
      <c r="D10" s="106" t="s">
        <v>92</v>
      </c>
      <c r="E10" s="109" t="s">
        <v>432</v>
      </c>
      <c r="F10" s="109" t="s">
        <v>520</v>
      </c>
      <c r="G10" s="2390"/>
      <c r="Q10" s="84">
        <v>23</v>
      </c>
    </row>
    <row customHeight="1" ht="12" hidden="1">
      <c r="C11" s="97"/>
      <c r="D11" s="88"/>
      <c r="E11" s="88"/>
      <c r="F11" s="88"/>
      <c r="G11" s="88"/>
      <c r="Q11" s="84">
        <v>0</v>
      </c>
    </row>
    <row customHeight="1" ht="65.25">
      <c r="A12" s="193"/>
      <c r="C12" s="97"/>
      <c r="D12" s="148">
        <v>1</v>
      </c>
      <c r="E12" s="198" t="str">
        <f>TERMS_P_1</f>
        <v>Сведения об условиях публичных договоров регулируемых организаций,  сведения об условиях публичных договоров, заключаемых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в том числе</v>
      </c>
      <c r="F12" s="199" t="s">
        <v>436</v>
      </c>
      <c r="G12" s="152"/>
      <c r="Q12" s="84">
        <v>62</v>
      </c>
    </row>
    <row customHeight="1" ht="24">
      <c r="A13" s="193"/>
      <c r="C13" s="97"/>
      <c r="D13" s="148" t="s">
        <v>1152</v>
      </c>
      <c r="E13" s="195" t="str">
        <f>"Форма публичного договора "&amp;IF(TEMPLATE_SPHERE="TKO","на оказание регулируемых услуг","поставки товаров (оказания услуг)")&amp;IF(OR(TEMPLATE_SPHERE&lt;&gt;"HEAT",TEMPLATE_SPHERE&lt;&gt;"TKO"),", тарифы на которые подлежат регулированию","")</f>
        <v>Форма публичного договора поставки товаров (оказания услуг), тарифы на которые подлежат регулированию</v>
      </c>
      <c r="F13" s="199" t="s">
        <v>436</v>
      </c>
      <c r="G13" s="152"/>
      <c r="Q13" s="84">
        <v>23</v>
      </c>
    </row>
    <row customHeight="1" ht="14.699999999999998">
      <c r="A14" s="193"/>
      <c r="C14" s="97"/>
      <c r="D14" s="148" t="s">
        <v>1188</v>
      </c>
      <c r="E14" s="196"/>
      <c r="F14" s="214"/>
      <c r="G14" s="2170" t="str">
        <f>"Указывается форма "&amp;IF(TEMPLATE_SPHERE="TKO","публичного ","")&amp;"договора, "&amp;IF(TEMPLATE_SPHERE="HEAT","","используемая регулируемой организацией, ")&amp;"в виде ссылки на документ, предварительно загруженный в хранилище файлов ФГИС ЕИАС"&amp;IF(TEMPLATE_SPHERE="TKO",", либо ссылка на официальный сайт в сети ""Интернет"", на котором размещена информация","")&amp;".
В случае наличия нескольких форм таких договоров информация по каждой из них указывается в отдельной строке."</f>
        <v>Указывается форма договора, в виде ссылки на документ, предварительно загруженный в хранилище файлов ФГИС ЕИАС.
В случае наличия нескольких форм таких договоров информация по каждой из них указывается в отдельной строке.</v>
      </c>
      <c r="Q14" s="84">
        <v>14</v>
      </c>
    </row>
    <row customHeight="1" ht="15.75">
      <c r="A15" s="193"/>
      <c r="C15" s="97"/>
      <c r="D15" s="110"/>
      <c r="E15" s="350" t="s">
        <v>1248</v>
      </c>
      <c r="F15" s="202"/>
      <c r="G15" s="2172"/>
      <c r="Q15" s="84">
        <v>15</v>
      </c>
    </row>
    <row customHeight="1" ht="14.699999999999998">
      <c r="A16" s="193"/>
      <c r="C16" s="97"/>
      <c r="D16" s="148" t="s">
        <v>1154</v>
      </c>
      <c r="E16" s="195" t="str">
        <f>"Договор о подключении (технологическом присоединении) к"&amp;IF(TEMPLATE_SPHERE="HEAT",""," централизованной")&amp;" системе "&amp;TEMPLATE_SPHERE_RUS</f>
        <v>Договор о подключении (технологическом присоединении) к системе теплоснабжения</v>
      </c>
      <c r="F16" s="199" t="s">
        <v>436</v>
      </c>
      <c r="G16" s="338"/>
      <c r="Q16" s="84">
        <v>14</v>
      </c>
    </row>
    <row customHeight="1" ht="14.699999999999998">
      <c r="A17" s="193"/>
      <c r="C17" s="97"/>
      <c r="D17" s="148" t="s">
        <v>1196</v>
      </c>
      <c r="E17" s="196"/>
      <c r="F17" s="386"/>
      <c r="G17" s="2170" t="str">
        <f>"Информация размещается в случае, если"&amp;IF(TEMPLATE_SPHERE="HEAT",""," регулируемая")&amp;" организация осуществляет услуги по подключению (технологическому присоединению) к системе "&amp;TEMPLATE_SPHERE_RUS&amp;".
Указывается ссылка на документ, предварительно загруженный в хранилище файлов ФГИС ЕИАС.
В случае наличия нескольких договоров о подключении к"&amp;IF(TEMPLATE_SPHERE="HEAT",""," централизованной")&amp;" системе "&amp;TEMPLATE_SPHERE_RUS&amp;" информация по каждому из них указывается в отдельной строке."</f>
        <v>Информация размещается в случае, если организация осуществляет услуги по подключению (технологическому присоединению) к системе теплоснабжения.
Указывается ссылка на документ, предварительно загруженный в хранилище файлов ФГИС ЕИАС.
В случае наличия нескольких договоров о подключении к системе теплоснабжения информация по каждому из них указывается в отдельной строке.</v>
      </c>
      <c r="Q17" s="84">
        <v>14</v>
      </c>
    </row>
    <row s="1636" customFormat="1" customHeight="1" ht="22.049999999999997">
      <c r="A18" s="344"/>
      <c r="B18" s="147"/>
      <c r="C18" s="308"/>
      <c r="D18" s="348"/>
      <c r="E18" s="350" t="s">
        <v>1249</v>
      </c>
      <c r="F18" s="339"/>
      <c r="G18" s="2172"/>
      <c r="I18" s="351"/>
      <c r="J18" s="351"/>
      <c r="Q18" s="343">
        <v>21</v>
      </c>
    </row>
    <row s="1636" customFormat="1" customHeight="1" ht="256.5" hidden="1">
      <c r="A19" s="344"/>
      <c r="B19" s="418"/>
      <c r="C19" s="377"/>
      <c r="D19" s="885" t="s">
        <v>1156</v>
      </c>
      <c r="E19" s="884" t="s">
        <v>1250</v>
      </c>
      <c r="F19" s="386"/>
      <c r="G19" s="338" t="s">
        <v>1251</v>
      </c>
      <c r="I19" s="501"/>
      <c r="J19" s="501"/>
      <c r="Q19" s="759">
        <v>0</v>
      </c>
    </row>
    <row s="1636" customFormat="1" customHeight="1" ht="14.699999999999998">
      <c r="A20" s="344"/>
      <c r="B20" s="147"/>
      <c r="C20" s="308"/>
      <c r="D20" s="886">
        <v>2</v>
      </c>
      <c r="E20" s="331" t="s">
        <v>1252</v>
      </c>
      <c r="F20" s="199" t="s">
        <v>436</v>
      </c>
      <c r="G20" s="338"/>
      <c r="I20" s="351"/>
      <c r="J20" s="351"/>
      <c r="Q20" s="343">
        <v>14</v>
      </c>
    </row>
    <row s="1636" customFormat="1" customHeight="1" ht="18.75" hidden="1">
      <c r="A21" s="344"/>
      <c r="B21" s="147"/>
      <c r="C21" s="308"/>
      <c r="D21" s="334" t="s">
        <v>767</v>
      </c>
      <c r="E21" s="333"/>
      <c r="F21" s="332"/>
      <c r="G21" s="342"/>
      <c r="H21" s="335"/>
      <c r="I21" s="351"/>
      <c r="J21" s="351"/>
      <c r="Q21" s="343">
        <v>0</v>
      </c>
    </row>
    <row customHeight="1" ht="15.75">
      <c r="A22" s="193"/>
      <c r="C22" s="97"/>
      <c r="D22" s="110"/>
      <c r="E22" s="204" t="s">
        <v>452</v>
      </c>
      <c r="F22" s="339"/>
      <c r="G22" s="340"/>
      <c r="Q22" s="84">
        <v>15</v>
      </c>
    </row>
    <row s="1636" customFormat="1" customHeight="1" ht="22.5" hidden="1">
      <c r="A23" s="344"/>
      <c r="B23" s="1161"/>
      <c r="C23" s="377"/>
      <c r="D23" s="1674" t="s">
        <v>107</v>
      </c>
      <c r="E23" s="198" t="s">
        <v>1253</v>
      </c>
      <c r="F23" s="1671" t="s">
        <v>436</v>
      </c>
      <c r="G23" s="346"/>
      <c r="I23" s="1625"/>
      <c r="J23" s="1625"/>
      <c r="Q23" s="1632">
        <v>0</v>
      </c>
    </row>
    <row s="1636" customFormat="1" customHeight="1" ht="14.25" hidden="1">
      <c r="A24" s="344"/>
      <c r="B24" s="1161"/>
      <c r="C24" s="377"/>
      <c r="D24" s="1674" t="s">
        <v>839</v>
      </c>
      <c r="E24" s="1673" t="s">
        <v>1254</v>
      </c>
      <c r="F24" s="1671" t="s">
        <v>436</v>
      </c>
      <c r="G24" s="338"/>
      <c r="I24" s="1625"/>
      <c r="J24" s="1625"/>
      <c r="Q24" s="1632">
        <v>0</v>
      </c>
    </row>
    <row s="1636" customFormat="1" customHeight="1" ht="14.25" hidden="1">
      <c r="A25" s="344"/>
      <c r="B25" s="1161"/>
      <c r="C25" s="377"/>
      <c r="D25" s="1674" t="s">
        <v>842</v>
      </c>
      <c r="E25" s="196"/>
      <c r="F25" s="386"/>
      <c r="G25" s="2170" t="s">
        <v>1255</v>
      </c>
      <c r="I25" s="1625"/>
      <c r="J25" s="1625"/>
      <c r="Q25" s="1632">
        <v>0</v>
      </c>
    </row>
    <row s="1636" customFormat="1" customHeight="1" ht="22.5" hidden="1">
      <c r="A26" s="344"/>
      <c r="B26" s="1161"/>
      <c r="C26" s="377"/>
      <c r="D26" s="348"/>
      <c r="E26" s="350" t="s">
        <v>1256</v>
      </c>
      <c r="F26" s="339"/>
      <c r="G26" s="2172"/>
      <c r="I26" s="1625"/>
      <c r="J26" s="1625"/>
      <c r="Q26" s="1632">
        <v>0</v>
      </c>
    </row>
    <row customHeight="1" ht="3">
      <c r="Q27" s="84">
        <v>3</v>
      </c>
    </row>
    <row customHeight="1" ht="14.699999999999998">
      <c r="D28" s="337"/>
      <c r="E28" s="336"/>
      <c r="F28" s="316"/>
      <c r="G28" s="316"/>
      <c r="H28" s="316"/>
      <c r="I28" s="316"/>
      <c r="J28" s="316"/>
      <c r="K28" s="316"/>
      <c r="L28" s="316"/>
      <c r="M28" s="316"/>
      <c r="N28" s="316"/>
      <c r="O28" s="316"/>
      <c r="P28" s="316"/>
      <c r="Q28" s="84">
        <v>14</v>
      </c>
    </row>
    <row customHeight="1" ht="14.699999999999998">
      <c r="D29" s="337"/>
      <c r="E29" s="583"/>
      <c r="Q29" s="84">
        <v>14</v>
      </c>
    </row>
    <row customHeight="1" ht="14.699999999999998">
      <c r="Q30" s="84">
        <v>14</v>
      </c>
    </row>
    <row customHeight="1" ht="14.699999999999998">
      <c r="E31" s="759"/>
      <c r="Q31" s="84">
        <v>14</v>
      </c>
    </row>
    <row customHeight="1" ht="22.5" hidden="1">
      <c r="A32" s="102" t="s">
        <v>86</v>
      </c>
      <c r="B32" s="147">
        <v>0</v>
      </c>
      <c r="C32" s="98">
        <v>3</v>
      </c>
      <c r="D32" s="84">
        <v>6</v>
      </c>
      <c r="E32" s="84">
        <v>64</v>
      </c>
      <c r="F32" s="84">
        <v>64</v>
      </c>
      <c r="G32" s="84">
        <v>140</v>
      </c>
      <c r="H32" s="84">
        <v>10</v>
      </c>
      <c r="I32" s="156">
        <v>10</v>
      </c>
      <c r="J32" s="156">
        <v>10</v>
      </c>
      <c r="K32" s="84">
        <v>10</v>
      </c>
      <c r="L32" s="84">
        <v>10</v>
      </c>
      <c r="M32" s="84">
        <v>10</v>
      </c>
      <c r="N32" s="84">
        <v>10</v>
      </c>
      <c r="O32" s="84">
        <v>10</v>
      </c>
      <c r="P32" s="84">
        <v>10</v>
      </c>
      <c r="Q32" s="84">
        <v>23</v>
      </c>
    </row>
  </sheetData>
  <sheetProtection formatColumns="0" formatRows="0" autoFilter="0" sort="0" insertRows="0" insertColumns="1" deleteRows="0" deleteColumns="0"/>
  <mergeCells count="7">
    <mergeCell ref="D5:G5"/>
    <mergeCell ref="D6:G6"/>
    <mergeCell ref="G25:G26"/>
    <mergeCell ref="G17:G18"/>
    <mergeCell ref="D9:F9"/>
    <mergeCell ref="G9:G10"/>
    <mergeCell ref="G14:G15"/>
  </mergeCells>
  <dataValidations count="2">
    <dataValidation type="textLength" operator="lessThanOrEqual" allowBlank="1" showInputMessage="1" showErrorMessage="1" errorTitle="Ошибка" error="Допускается ввод не более 900 символов!" sqref="G14 G25 E17 E14 G17 G21 E25">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F14 F17:F19 F25:F26">
      <formula1>900</formula1>
    </dataValidation>
  </dataValidations>
  <printOptions horizontalCentered="1" verticalCentered="1"/>
  <pageMargins left="0.00" right="0.00" top="0.00" bottom="0.00" header="0.00" footer="0.79"/>
  <pageSetup paperSize="9" scale="41" fitToHeight="0" pageOrder="downThenOver" orientation="portrait" blackAndWhite="1"/>
  <headerFooter>
    <oddHeader>&amp;L&amp;C&amp;R</oddHeader>
    <oddFooter>&amp;L&amp;C&amp;R</oddFooter>
    <evenHeader>&amp;L&amp;C&amp;R</evenHeader>
    <evenFooter>&amp;L&amp;C&amp;R</evenFooter>
  </headerFooter>
</worksheet>
</file>

<file path=xl/worksheets/sheet4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C041A38-F9C7-E618-8498-92777E4E3888}" mc:Ignorable="x14ac xr xr2 xr3">
  <sheetPr>
    <tabColor theme="6" tint="0.4"/>
  </sheetPr>
  <dimension ref="A1:M44"/>
  <sheetViews>
    <sheetView showGridLines="0" zoomScale="90" workbookViewId="0">
      <pane xSplit="6" ySplit="21" topLeftCell="G28" activePane="bottomRight" state="frozen"/>
      <selection pane="bottomLeft" activeCell="A22" sqref="A22"/>
      <selection pane="topRight" activeCell="G1" sqref="G1"/>
      <selection pane="bottomRight" activeCell="G37" sqref="G37"/>
    </sheetView>
  </sheetViews>
  <sheetFormatPr defaultColWidth="10.57421875" customHeight="1" defaultRowHeight="14.25"/>
  <cols>
    <col min="1" max="1" style="1777" width="9.140625" hidden="1" customWidth="1"/>
    <col min="2" max="2" style="1367" width="9.140625" hidden="1" customWidth="1"/>
    <col min="3" max="3" style="345" width="3.00390625" customWidth="1"/>
    <col min="4" max="4" style="1636" width="6.00390625" customWidth="1"/>
    <col min="5" max="5" style="1636" width="63.00390625" customWidth="1"/>
    <col min="6" max="6" style="1636" width="1.7109375" hidden="1" customWidth="1"/>
    <col min="7" max="8" style="1636" width="35.00390625" customWidth="1"/>
    <col min="9" max="9" style="1636" width="91.00390625" customWidth="1"/>
    <col min="10" max="10" style="1636" width="68.00390625" customWidth="1"/>
    <col min="11" max="12" style="1625" width="10.00390625" customWidth="1"/>
    <col min="13" max="13" style="1636" width="10.57421875" hidden="1"/>
  </cols>
  <sheetData>
    <row customHeight="1" ht="22.5" hidden="1">
      <c r="M1" s="84" t="s">
        <v>14</v>
      </c>
    </row>
    <row s="1636" customFormat="1" customHeight="1" ht="18.75" hidden="1">
      <c r="A2" s="1684"/>
      <c r="B2" s="1161"/>
      <c r="C2" s="1731" t="s">
        <v>108</v>
      </c>
      <c r="D2" s="1674"/>
      <c r="E2" s="200"/>
      <c r="F2" s="1671"/>
      <c r="G2" s="1671" t="s">
        <v>436</v>
      </c>
      <c r="H2" s="1162"/>
      <c r="K2" s="1625"/>
      <c r="L2" s="1625"/>
      <c r="M2" s="1632">
        <v>0</v>
      </c>
    </row>
    <row s="1636" customFormat="1" customHeight="1" ht="14.25" hidden="1">
      <c r="A3" s="1363"/>
      <c r="B3" s="1161"/>
      <c r="C3" s="345"/>
      <c r="K3" s="1625"/>
      <c r="L3" s="1625"/>
      <c r="M3" s="1632">
        <v>0</v>
      </c>
    </row>
    <row s="1636" customFormat="1" customHeight="1" ht="18.75" hidden="1">
      <c r="A4" s="1684"/>
      <c r="B4" s="1161"/>
      <c r="C4" s="1731" t="s">
        <v>108</v>
      </c>
      <c r="D4" s="1674"/>
      <c r="E4" s="206" t="s">
        <v>1257</v>
      </c>
      <c r="F4" s="1671"/>
      <c r="G4" s="258"/>
      <c r="H4" s="1671" t="s">
        <v>436</v>
      </c>
      <c r="K4" s="1625"/>
      <c r="L4" s="1625"/>
      <c r="M4" s="1632">
        <v>0</v>
      </c>
    </row>
    <row s="1636" customFormat="1" customHeight="1" ht="14.25" hidden="1">
      <c r="A5" s="1363"/>
      <c r="B5" s="1161"/>
      <c r="C5" s="345"/>
      <c r="K5" s="1625"/>
      <c r="L5" s="1625"/>
      <c r="M5" s="1632">
        <v>0</v>
      </c>
    </row>
    <row s="1636" customFormat="1" customHeight="1" ht="18.75" hidden="1">
      <c r="A6" s="1684"/>
      <c r="B6" s="1161"/>
      <c r="C6" s="1731" t="s">
        <v>108</v>
      </c>
      <c r="D6" s="1674"/>
      <c r="E6" s="207" t="s">
        <v>1258</v>
      </c>
      <c r="F6" s="1671"/>
      <c r="G6" s="258"/>
      <c r="H6" s="1671" t="s">
        <v>436</v>
      </c>
      <c r="K6" s="1625"/>
      <c r="L6" s="1625"/>
      <c r="M6" s="1632">
        <v>0</v>
      </c>
    </row>
    <row s="1636" customFormat="1" customHeight="1" ht="14.25" hidden="1">
      <c r="A7" s="1363"/>
      <c r="B7" s="1161"/>
      <c r="C7" s="345"/>
      <c r="K7" s="1625"/>
      <c r="L7" s="1625"/>
      <c r="M7" s="1632">
        <v>0</v>
      </c>
    </row>
    <row s="1636" customFormat="1" customHeight="1" ht="18.75" hidden="1">
      <c r="A8" s="1684"/>
      <c r="B8" s="1161"/>
      <c r="C8" s="1731" t="s">
        <v>108</v>
      </c>
      <c r="D8" s="1674"/>
      <c r="E8" s="207" t="s">
        <v>1259</v>
      </c>
      <c r="F8" s="1671"/>
      <c r="G8" s="258"/>
      <c r="H8" s="1671" t="s">
        <v>436</v>
      </c>
      <c r="K8" s="1625"/>
      <c r="L8" s="1625"/>
      <c r="M8" s="1632">
        <v>0</v>
      </c>
    </row>
    <row s="1636" customFormat="1" customHeight="1" ht="14.25" hidden="1">
      <c r="A9" s="1363"/>
      <c r="B9" s="1161"/>
      <c r="C9" s="345"/>
      <c r="K9" s="1625"/>
      <c r="L9" s="1625"/>
      <c r="M9" s="1632">
        <v>0</v>
      </c>
    </row>
    <row s="1636" customFormat="1" customHeight="1" ht="18.75" hidden="1">
      <c r="A10" s="1684"/>
      <c r="B10" s="1161"/>
      <c r="C10" s="1731" t="s">
        <v>108</v>
      </c>
      <c r="D10" s="1674"/>
      <c r="E10" s="207" t="s">
        <v>1260</v>
      </c>
      <c r="F10" s="1671"/>
      <c r="G10" s="1675"/>
      <c r="H10" s="1671" t="s">
        <v>436</v>
      </c>
      <c r="K10" s="1625"/>
      <c r="L10" s="1625" t="s">
        <v>1261</v>
      </c>
      <c r="M10" s="1632">
        <v>0</v>
      </c>
    </row>
    <row customHeight="1" ht="14.25" hidden="1">
      <c r="M11" s="84">
        <v>0</v>
      </c>
    </row>
    <row customHeight="1" ht="14.25" hidden="1">
      <c r="M12" s="84">
        <v>0</v>
      </c>
    </row>
    <row customHeight="1" ht="14.699999999999998">
      <c r="C13" s="97"/>
      <c r="D13" s="85"/>
      <c r="E13" s="85"/>
      <c r="F13" s="85"/>
      <c r="G13" s="85"/>
      <c r="H13" s="86"/>
      <c r="I13" s="86"/>
      <c r="M13" s="84">
        <v>14</v>
      </c>
    </row>
    <row customHeight="1" ht="29.25">
      <c r="C14" s="97"/>
      <c r="D14" s="2455" t="str">
        <f>PROCEDURE_TC_NAME_FORM</f>
        <v>Форма 16. Информация о порядке выполнения технологических, технических и других мероприятий, связанных с подключением (технологическим присоединением) к системе теплоснабжения</v>
      </c>
      <c r="E14" s="2456"/>
      <c r="F14" s="2456"/>
      <c r="G14" s="2456"/>
      <c r="H14" s="2457"/>
      <c r="J14" s="1632"/>
      <c r="M14" s="84">
        <v>28</v>
      </c>
    </row>
    <row s="1636" customFormat="1" customHeight="1" ht="14.699999999999998">
      <c r="A15" s="1363"/>
      <c r="B15" s="1161"/>
      <c r="C15" s="377"/>
      <c r="D15" s="2458" t="str">
        <f>IF(org=0,"Не определено",org)</f>
        <v>ПАО "ТГК-1" (филиал "Кольский")</v>
      </c>
      <c r="E15" s="2459"/>
      <c r="F15" s="2459"/>
      <c r="G15" s="2459"/>
      <c r="H15" s="2460"/>
      <c r="J15" s="853"/>
      <c r="K15" s="1625"/>
      <c r="L15" s="1625"/>
      <c r="M15" s="1632">
        <v>14</v>
      </c>
    </row>
    <row customHeight="1" ht="14.699999999999998">
      <c r="C16" s="97"/>
      <c r="D16" s="85"/>
      <c r="E16" s="96"/>
      <c r="F16" s="96"/>
      <c r="G16" s="96"/>
      <c r="H16" s="753"/>
      <c r="I16" s="194"/>
      <c r="M16" s="84">
        <v>14</v>
      </c>
    </row>
    <row s="1636" customFormat="1" customHeight="1" ht="14.25" hidden="1">
      <c r="A17" s="1363"/>
      <c r="B17" s="1161"/>
      <c r="C17" s="377"/>
      <c r="D17" s="364"/>
      <c r="E17" s="390"/>
      <c r="F17" s="390"/>
      <c r="G17" s="390"/>
      <c r="H17" s="753"/>
      <c r="I17" s="194"/>
      <c r="K17" s="1625"/>
      <c r="L17" s="1625"/>
      <c r="M17" s="1632">
        <v>0</v>
      </c>
    </row>
    <row customHeight="1" ht="22.049999999999997">
      <c r="C18" s="97"/>
      <c r="D18" s="2210" t="s">
        <v>430</v>
      </c>
      <c r="E18" s="2210"/>
      <c r="F18" s="2210"/>
      <c r="G18" s="2210"/>
      <c r="H18" s="2210"/>
      <c r="I18" s="2390" t="s">
        <v>431</v>
      </c>
      <c r="M18" s="84">
        <v>21</v>
      </c>
    </row>
    <row customHeight="1" ht="22.049999999999997">
      <c r="C19" s="97"/>
      <c r="D19" s="106" t="s">
        <v>92</v>
      </c>
      <c r="E19" s="109" t="s">
        <v>432</v>
      </c>
      <c r="F19" s="109"/>
      <c r="G19" s="109" t="s">
        <v>433</v>
      </c>
      <c r="H19" s="109" t="s">
        <v>520</v>
      </c>
      <c r="I19" s="2390"/>
      <c r="M19" s="84">
        <v>21</v>
      </c>
    </row>
    <row customHeight="1" ht="12" hidden="1">
      <c r="C20" s="97"/>
      <c r="D20" s="88"/>
      <c r="E20" s="88"/>
      <c r="F20" s="88"/>
      <c r="G20" s="88"/>
      <c r="H20" s="88"/>
      <c r="I20" s="88"/>
      <c r="M20" s="84">
        <v>0</v>
      </c>
    </row>
    <row customHeight="1" ht="14.699999999999998">
      <c r="A21" s="1684"/>
      <c r="C21" s="97"/>
      <c r="D21" s="148">
        <v>1</v>
      </c>
      <c r="E21" s="2462" t="s">
        <v>1262</v>
      </c>
      <c r="F21" s="2462"/>
      <c r="G21" s="2462"/>
      <c r="H21" s="2462"/>
      <c r="I21" s="209"/>
      <c r="M21" s="84">
        <v>14</v>
      </c>
    </row>
    <row customHeight="1" ht="21">
      <c r="A22" s="1684"/>
      <c r="C22" s="97"/>
      <c r="D22" s="148" t="s">
        <v>1152</v>
      </c>
      <c r="E22" s="195" t="s">
        <v>1263</v>
      </c>
      <c r="F22" s="199"/>
      <c r="G22" s="1738">
        <v>45288.618680555555</v>
      </c>
      <c r="H22" s="199" t="s">
        <v>436</v>
      </c>
      <c r="I22" s="152" t="s">
        <v>1264</v>
      </c>
      <c r="M22" s="84">
        <v>20</v>
      </c>
    </row>
    <row customHeight="1" ht="60">
      <c r="A23" s="1684"/>
      <c r="C23" s="97"/>
      <c r="D23" s="148" t="s">
        <v>1154</v>
      </c>
      <c r="E23" s="195" t="s">
        <v>1265</v>
      </c>
      <c r="F23" s="199"/>
      <c r="G23" s="258" t="s">
        <v>1266</v>
      </c>
      <c r="H23" s="214" t="s">
        <v>1267</v>
      </c>
      <c r="I23" s="259" t="s">
        <v>1268</v>
      </c>
      <c r="M23" s="84">
        <v>57</v>
      </c>
    </row>
    <row customHeight="1" ht="35.25">
      <c r="A24" s="1684"/>
      <c r="B24" s="147">
        <v>3</v>
      </c>
      <c r="C24" s="97"/>
      <c r="D24" s="148">
        <v>2</v>
      </c>
      <c r="E24" s="223" t="str">
        <f>"Форма заявки на заключение договора о подключении (технологическом присоединении) к системе "&amp;TEMPLATE_SPHERE_RUS</f>
        <v>Форма заявки на заключение договора о подключении (технологическом присоединении) к системе теплоснабжения</v>
      </c>
      <c r="F24" s="199"/>
      <c r="G24" s="199" t="s">
        <v>436</v>
      </c>
      <c r="H24" s="214" t="s">
        <v>1269</v>
      </c>
      <c r="I24" s="260" t="s">
        <v>762</v>
      </c>
      <c r="M24" s="84">
        <v>14</v>
      </c>
    </row>
    <row customHeight="1" ht="48.29999999999999">
      <c r="A25" s="1684"/>
      <c r="C25" s="97"/>
      <c r="D25" s="148">
        <v>3</v>
      </c>
      <c r="E25" s="2461" t="str">
        <f>"Перечень документов и сведений, представляемых одновременно "&amp;IF(TEMPLATE_SPHERE="HEAT","с заявкой на заключение","с заявлением о заключении")&amp;" договора о подключении (технологическом присоединении) к системе "&amp;TEMPLATE_SPHERE_RUS&amp;IF(TEMPLATE_SPHERE="HEAT","",", и указание на запрет требовать представления документов и сведений или осуществления действий, не предусмотренных законодательством Российской Федерации"&amp;" о градостроительной деятельности и законодательством Российской Федерации в сфере водоснабжения и водоотведения")</f>
        <v>Перечень документов и сведений, представляемых одновременно с заявкой на заключение договора о подключении (технологическом присоединении) к системе теплоснабжения</v>
      </c>
      <c r="F25" s="2461"/>
      <c r="G25" s="2461"/>
      <c r="H25" s="2461"/>
      <c r="I25" s="257"/>
      <c r="M25" s="84">
        <v>46</v>
      </c>
    </row>
    <row customHeight="1" ht="15">
      <c r="A26" s="1684"/>
      <c r="C26" s="97"/>
      <c r="D26" s="148" t="s">
        <v>454</v>
      </c>
      <c r="E26" s="200" t="s">
        <v>1270</v>
      </c>
      <c r="F26" s="199"/>
      <c r="G26" s="199" t="s">
        <v>436</v>
      </c>
      <c r="H26" s="214" t="s">
        <v>1269</v>
      </c>
      <c r="I26" s="2170" t="s">
        <v>1271</v>
      </c>
      <c r="M26" s="84">
        <v>14</v>
      </c>
    </row>
    <row customHeight="1" ht="15.75">
      <c r="A27" s="1684" t="s">
        <v>123</v>
      </c>
      <c r="C27" s="97"/>
      <c r="D27" s="110"/>
      <c r="E27" s="204" t="s">
        <v>452</v>
      </c>
      <c r="F27" s="205"/>
      <c r="G27" s="205"/>
      <c r="H27" s="202"/>
      <c r="I27" s="2172"/>
      <c r="M27" s="84">
        <v>15</v>
      </c>
    </row>
    <row customHeight="1" ht="39.75">
      <c r="A28" s="1684"/>
      <c r="B28" s="147">
        <v>3</v>
      </c>
      <c r="C28" s="97"/>
      <c r="D28" s="148">
        <v>4</v>
      </c>
      <c r="E28" s="2461" t="str">
        <f>"Реквизиты нормативных правовых актов, регламентирующих порядок действий заявителя и "&amp;IF(TEMPLATE_SPHERE="HEAT","регулируемой ","")&amp;"организации"&amp;IF(TEMPLATE_SPHERE="HEAT",""," "&amp;TEMPLATE_SPHERE_RUS)&amp;" при подаче, приеме, обработке "&amp;IF(TEMPLATE_SPHERE="HEAT","заявки на заключение","заявления о заключении")&amp;" договора о подключении (технологическом присоединении) к системе "&amp;TEMPLATE_SPHERE_RUS&amp;IF(TEMPLATE_SPHERE="HEAT",""," (в том числе в форме электронного документа)")</f>
        <v>Реквизиты нормативных правовых актов, регламентирующих порядок действий заявителя и регулируемой организации при подаче, приеме, обработке заявки на заключение договора о подключении (технологическом присоединении) к системе теплоснабжения</v>
      </c>
      <c r="F28" s="2461"/>
      <c r="G28" s="2461"/>
      <c r="H28" s="2461"/>
      <c r="I28" s="257"/>
      <c r="M28" s="84">
        <v>38</v>
      </c>
    </row>
    <row customHeight="1" ht="21">
      <c r="A29" s="1684"/>
      <c r="C29" s="97"/>
      <c r="D29" s="148" t="s">
        <v>884</v>
      </c>
      <c r="E29" s="206" t="s">
        <v>1257</v>
      </c>
      <c r="F29" s="199"/>
      <c r="G29" s="258" t="s">
        <v>1272</v>
      </c>
      <c r="H29" s="199" t="s">
        <v>436</v>
      </c>
      <c r="I29" s="2170" t="s">
        <v>1273</v>
      </c>
      <c r="M29" s="84">
        <v>20</v>
      </c>
    </row>
    <row s="1636" customFormat="1" customHeight="1" ht="18.75">
      <c r="A30" s="1684"/>
      <c r="B30" s="1367"/>
      <c r="C30" s="1731" t="s">
        <v>108</v>
      </c>
      <c r="D30" s="2205" t="s">
        <v>926</v>
      </c>
      <c r="E30" s="2404" t="s">
        <v>1257</v>
      </c>
      <c r="F30" s="2578"/>
      <c r="G30" s="2570" t="s">
        <v>1274</v>
      </c>
      <c r="H30" s="2578" t="s">
        <v>436</v>
      </c>
      <c r="I30" s="1636"/>
      <c r="J30" s="1636"/>
      <c r="K30" s="1625"/>
      <c r="L30" s="1625"/>
      <c r="M30" s="1636">
        <v>0</v>
      </c>
    </row>
    <row customHeight="1" ht="15.75">
      <c r="A31" s="1684" t="s">
        <v>107</v>
      </c>
      <c r="C31" s="97"/>
      <c r="D31" s="110"/>
      <c r="E31" s="204" t="s">
        <v>452</v>
      </c>
      <c r="F31" s="205"/>
      <c r="G31" s="205"/>
      <c r="H31" s="202"/>
      <c r="I31" s="2172"/>
      <c r="M31" s="84">
        <v>15</v>
      </c>
    </row>
    <row customHeight="1" ht="31.5">
      <c r="A32" s="1684"/>
      <c r="B32" s="147">
        <v>3</v>
      </c>
      <c r="C32" s="97"/>
      <c r="D32" s="148">
        <v>5</v>
      </c>
      <c r="E32" s="2461" t="str">
        <f>"Телефоны, адреса и график работы службы, ответственной за прием и обработку заявок на заключение договора о подключении (технологическом присоединении) к системе "&amp;TEMPLATE_SPHERE_RUS</f>
        <v>Телефоны, адреса и график работы службы, ответственной за прием и обработку заявок на заключение договора о подключении (технологическом присоединении) к системе теплоснабжения</v>
      </c>
      <c r="F32" s="2461"/>
      <c r="G32" s="2461"/>
      <c r="H32" s="2461"/>
      <c r="I32" s="257"/>
      <c r="M32" s="84">
        <v>30</v>
      </c>
    </row>
    <row customHeight="1" ht="27.299999999999997">
      <c r="A33" s="1684"/>
      <c r="C33" s="97"/>
      <c r="D33" s="148" t="s">
        <v>443</v>
      </c>
      <c r="E33" s="2404" t="str">
        <f>"телефоны службы, ответственной за прием и обработку заявок на заключение договора о подключении (технологическом присоединении) к системе "&amp;TEMPLATE_SPHERE_RUS</f>
        <v>телефоны службы, ответственной за прием и обработку заявок на заключение договора о подключении (технологическом присоединении) к системе теплоснабжения</v>
      </c>
      <c r="F33" s="2404"/>
      <c r="G33" s="2404"/>
      <c r="H33" s="2404"/>
      <c r="I33" s="257"/>
      <c r="M33" s="84">
        <v>26</v>
      </c>
    </row>
    <row customHeight="1" ht="15">
      <c r="A34" s="1684"/>
      <c r="C34" s="97"/>
      <c r="D34" s="148" t="s">
        <v>1275</v>
      </c>
      <c r="E34" s="207" t="s">
        <v>1258</v>
      </c>
      <c r="F34" s="199"/>
      <c r="G34" s="258" t="s">
        <v>1276</v>
      </c>
      <c r="H34" s="199" t="s">
        <v>436</v>
      </c>
      <c r="I34" s="2170" t="s">
        <v>1277</v>
      </c>
      <c r="M34" s="84">
        <v>14</v>
      </c>
    </row>
    <row customHeight="1" ht="15.75">
      <c r="A35" s="1684" t="s">
        <v>94</v>
      </c>
      <c r="C35" s="97"/>
      <c r="D35" s="110"/>
      <c r="E35" s="205" t="s">
        <v>452</v>
      </c>
      <c r="F35" s="201"/>
      <c r="G35" s="201"/>
      <c r="H35" s="202"/>
      <c r="I35" s="2172"/>
      <c r="M35" s="84">
        <v>15</v>
      </c>
    </row>
    <row customHeight="1" ht="25.2">
      <c r="A36" s="1684"/>
      <c r="C36" s="97"/>
      <c r="D36" s="148" t="s">
        <v>1012</v>
      </c>
      <c r="E36" s="2404" t="str">
        <f>"адреса службы, ответственной за прием и обработку заявок на заключение договора о подключении (технологическом присоединении) к системе "&amp;TEMPLATE_SPHERE_RUS</f>
        <v>адреса службы, ответственной за прием и обработку заявок на заключение договора о подключении (технологическом присоединении) к системе теплоснабжения</v>
      </c>
      <c r="F36" s="2404"/>
      <c r="G36" s="2404"/>
      <c r="H36" s="2404"/>
      <c r="I36" s="257"/>
      <c r="M36" s="84">
        <v>24</v>
      </c>
    </row>
    <row customHeight="1" ht="15">
      <c r="A37" s="1684"/>
      <c r="C37" s="97"/>
      <c r="D37" s="148" t="s">
        <v>1278</v>
      </c>
      <c r="E37" s="207" t="s">
        <v>1259</v>
      </c>
      <c r="F37" s="199"/>
      <c r="G37" s="258" t="s">
        <v>1279</v>
      </c>
      <c r="H37" s="199" t="s">
        <v>436</v>
      </c>
      <c r="I37" s="2144" t="s">
        <v>1280</v>
      </c>
      <c r="M37" s="84">
        <v>14</v>
      </c>
    </row>
    <row customHeight="1" ht="15.75">
      <c r="A38" s="1684" t="s">
        <v>95</v>
      </c>
      <c r="C38" s="97"/>
      <c r="D38" s="110"/>
      <c r="E38" s="205" t="s">
        <v>452</v>
      </c>
      <c r="F38" s="201"/>
      <c r="G38" s="201"/>
      <c r="H38" s="202"/>
      <c r="I38" s="2144"/>
      <c r="M38" s="84">
        <v>15</v>
      </c>
    </row>
    <row customHeight="1" ht="27.299999999999997">
      <c r="A39" s="1684"/>
      <c r="C39" s="97"/>
      <c r="D39" s="148" t="s">
        <v>1013</v>
      </c>
      <c r="E39" s="2404" t="str">
        <f>"график работы службы, ответственной за прием и обработку заявок на заключение договора о подключении (технологическом присоединении) к системе "&amp;TEMPLATE_SPHERE_RUS</f>
        <v>график работы службы, ответственной за прием и обработку заявок на заключение договора о подключении (технологическом присоединении) к системе теплоснабжения</v>
      </c>
      <c r="F39" s="2404"/>
      <c r="G39" s="2404"/>
      <c r="H39" s="2404"/>
      <c r="I39" s="257"/>
      <c r="M39" s="84">
        <v>26</v>
      </c>
    </row>
    <row customHeight="1" ht="15">
      <c r="A40" s="1684"/>
      <c r="C40" s="97"/>
      <c r="D40" s="148" t="s">
        <v>1014</v>
      </c>
      <c r="E40" s="207" t="s">
        <v>1260</v>
      </c>
      <c r="F40" s="199"/>
      <c r="G40" s="208" t="s">
        <v>1281</v>
      </c>
      <c r="H40" s="199" t="s">
        <v>436</v>
      </c>
      <c r="I40" s="2170" t="s">
        <v>1282</v>
      </c>
      <c r="L40" s="156" t="s">
        <v>1261</v>
      </c>
      <c r="M40" s="84">
        <v>14</v>
      </c>
    </row>
    <row customHeight="1" ht="15.75">
      <c r="A41" s="1684" t="s">
        <v>124</v>
      </c>
      <c r="C41" s="97"/>
      <c r="D41" s="110"/>
      <c r="E41" s="205" t="s">
        <v>452</v>
      </c>
      <c r="F41" s="201"/>
      <c r="G41" s="201"/>
      <c r="H41" s="202"/>
      <c r="I41" s="2172"/>
      <c r="M41" s="84">
        <v>15</v>
      </c>
    </row>
    <row s="1824" customFormat="1" customHeight="1" ht="3">
      <c r="A42" s="1684"/>
      <c r="K42" s="197"/>
      <c r="L42" s="197"/>
      <c r="M42" s="141">
        <v>3</v>
      </c>
    </row>
    <row customHeight="1" ht="26.25">
      <c r="D43" s="1682" t="s">
        <v>934</v>
      </c>
      <c r="E43" s="2286" t="str">
        <f>"Информация размещается в случае, если организация осуществляет услуги по подключению (технологическому присоединению) к системе "&amp;TEMPLATE_SPHERE_RUS&amp;"."</f>
        <v>Информация размещается в случае, если организация осуществляет услуги по подключению (технологическому присоединению) к системе теплоснабжения.</v>
      </c>
      <c r="F43" s="2286"/>
      <c r="G43" s="2286"/>
      <c r="H43" s="2286"/>
      <c r="I43" s="2286"/>
      <c r="M43" s="84">
        <v>25</v>
      </c>
    </row>
    <row customHeight="1" ht="22.5" hidden="1">
      <c r="A44" s="1363" t="s">
        <v>86</v>
      </c>
      <c r="B44" s="147">
        <v>0</v>
      </c>
      <c r="C44" s="98">
        <v>3</v>
      </c>
      <c r="D44" s="84">
        <v>6</v>
      </c>
      <c r="E44" s="84">
        <v>63</v>
      </c>
      <c r="F44" s="84">
        <v>0</v>
      </c>
      <c r="G44" s="84">
        <v>35</v>
      </c>
      <c r="H44" s="84">
        <v>35</v>
      </c>
      <c r="I44" s="84">
        <v>91</v>
      </c>
      <c r="J44" s="84">
        <v>68</v>
      </c>
      <c r="K44" s="156">
        <v>10</v>
      </c>
      <c r="L44" s="156">
        <v>10</v>
      </c>
      <c r="M44" s="84">
        <v>23</v>
      </c>
    </row>
  </sheetData>
  <sheetProtection formatColumns="0" formatRows="0" autoFilter="0" sort="0" insertRows="0" insertColumns="1" deleteRows="0" deleteColumns="0"/>
  <mergeCells count="17">
    <mergeCell ref="I29:I31"/>
    <mergeCell ref="E32:H32"/>
    <mergeCell ref="D14:H14"/>
    <mergeCell ref="D18:H18"/>
    <mergeCell ref="I18:I19"/>
    <mergeCell ref="E21:H21"/>
    <mergeCell ref="E25:H25"/>
    <mergeCell ref="I26:I27"/>
    <mergeCell ref="E28:H28"/>
    <mergeCell ref="D15:H15"/>
    <mergeCell ref="E43:I43"/>
    <mergeCell ref="E33:H33"/>
    <mergeCell ref="E36:H36"/>
    <mergeCell ref="E39:H39"/>
    <mergeCell ref="I34:I35"/>
    <mergeCell ref="I37:I38"/>
    <mergeCell ref="I40:I41"/>
  </mergeCells>
  <dataValidations count="4">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22"/>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G10 G40">
      <formula1>"a"</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26 H23:H24 H2">
      <formula1>900</formula1>
    </dataValidation>
    <dataValidation type="textLength" operator="lessThanOrEqual" allowBlank="1" showInputMessage="1" showErrorMessage="1" errorTitle="Ошибка" error="Допускается ввод не более 900 символов!" sqref="I23:I24 I34 G37 I40 I26 E29:E30 G34 E37 I29:I30 E34 I37 G23 E26 I10 E23 G29:G30 E10 G8 E2 I2 I4 G4 E4 E6 I6 G6 E8 I8 E40">
      <formula1>900</formula1>
    </dataValidation>
  </dataValidations>
  <hyperlinks>
    <hyperlink ref="H23" r:id="rId2" tooltip="https://portal.eias.ru/Portal/DownloadPage.aspx?type=12&amp;guid=1e291b01-6579-4458-96e8-e65ecce34e9d" xr:uid="{6CA5423D-28C4-12B8-7D82-6F035D068948}"/>
    <hyperlink ref="H24" r:id="rId3" tooltip="https://portal.eias.ru/Portal/DownloadPage.aspx?type=12&amp;guid=27df82f0-827f-49c4-be73-741c630613a6" xr:uid="{4082C719-0C76-1D98-B368-A3EE10422988}"/>
    <hyperlink ref="H26" r:id="rId4" tooltip="https://portal.eias.ru/Portal/DownloadPage.aspx?type=12&amp;guid=27df82f0-827f-49c4-be73-741c630613a6" xr:uid="{2D296058-D5B4-4E68-4EE1-1F5727B4938F}"/>
  </hyperlinks>
  <pageMargins left="0.70" right="0.70" top="0.75" bottom="0.75" header="0.30" footer="0.30"/>
  <pageSetup pageOrder="downThenOver" orientation="portrait"/>
  <headerFooter>
    <oddHeader>&amp;L&amp;C&amp;R</oddHeader>
    <oddFooter>&amp;L&amp;C&amp;R</oddFooter>
    <evenHeader>&amp;L&amp;C&amp;R</evenHeader>
    <evenFooter>&amp;L&amp;C&amp;R</evenFooter>
  </headerFooter>
  <drawing r:id="rId1"/>
</worksheet>
</file>

<file path=xl/worksheets/sheet4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074DF75-C308-6DC8-A6CE-7AA1B3182CF8}" mc:Ignorable="x14ac xr xr2 xr3">
  <sheetPr>
    <tabColor theme="6" tint="0.4"/>
  </sheetPr>
  <dimension ref="A1:AH492"/>
  <sheetViews>
    <sheetView showGridLines="0" zoomScale="90" workbookViewId="0">
      <pane xSplit="7" ySplit="21" topLeftCell="H22" activePane="bottomRight" state="frozen"/>
      <selection pane="bottomLeft" activeCell="A22" sqref="A22"/>
      <selection pane="topRight" activeCell="H1" sqref="H1"/>
      <selection pane="bottomRight" activeCell="A439" sqref="A439:AH440"/>
    </sheetView>
  </sheetViews>
  <sheetFormatPr defaultColWidth="10.57421875" customHeight="1" defaultRowHeight="14.25"/>
  <cols>
    <col min="1" max="2" style="1780" width="25.140625" hidden="1" customWidth="1"/>
    <col min="3" max="3" style="1688" width="9.140625" hidden="1" customWidth="1"/>
    <col min="4" max="4" style="345" width="3.00390625" customWidth="1"/>
    <col min="5" max="5" style="1636" width="6.00390625" customWidth="1"/>
    <col min="6" max="6" style="1636" width="46.7109375" customWidth="1"/>
    <col min="7" max="7" style="1636" width="35.00390625" customWidth="1"/>
    <col min="8" max="8" style="1636" width="3.00390625" customWidth="1"/>
    <col min="9" max="10" style="1636" width="11.00390625" customWidth="1"/>
    <col min="11" max="12" style="1636" width="35.00390625" customWidth="1"/>
    <col min="13" max="13" style="1636" width="84.00390625" customWidth="1"/>
    <col min="14" max="14" style="1636" width="10.00390625" customWidth="1"/>
    <col min="15" max="16" style="1625" width="10.00390625" customWidth="1"/>
    <col min="17" max="33" style="1636" width="10.00390625" customWidth="1"/>
    <col min="34" max="34" style="1636" width="10.57421875" hidden="1"/>
  </cols>
  <sheetData>
    <row s="1636" customFormat="1" customHeight="1" ht="22.5" hidden="1">
      <c r="A1" s="1780"/>
      <c r="B1" s="1780"/>
      <c r="C1" s="370"/>
      <c r="D1" s="345"/>
      <c r="N1" s="1637">
        <f>_xlfn.IFERROR(MATCH("метод экономически обоснованных расходов (затрат)",OFFER_METHOD,0),0)</f>
        <v>0</v>
      </c>
      <c r="O1" s="1625"/>
      <c r="P1" s="1625"/>
      <c r="T1" s="832"/>
      <c r="AG1" s="256"/>
      <c r="AH1" s="1632" t="s">
        <v>14</v>
      </c>
    </row>
    <row s="1636" customFormat="1" customHeight="1" ht="18.75" hidden="1">
      <c r="A2" s="1781" t="s">
        <v>172</v>
      </c>
      <c r="B2" s="1781" t="s">
        <v>173</v>
      </c>
      <c r="C2" s="370"/>
      <c r="D2" s="345"/>
      <c r="E2" s="1032"/>
      <c r="F2" s="1032"/>
      <c r="G2" s="2428" t="str">
        <f>INDEX(PT_DIFFERENTIATION_NTAR,MATCH(B2,PT_DIFFERENTIATION_NTAR_ID,0))</f>
        <v>Тарифы на тепловую энергию (мощность) на коллекторах источника тепловой энергии. Для потребителей, в случае отсутствия дифференциации тарифов по схеме подключения. Муниципальный округ город Апатиты с подведомственной территорией Мурманской области, муниципальный округ город Кировск с подведомственной территорией Мурманской области</v>
      </c>
      <c r="H2" s="1865"/>
      <c r="I2" s="1740"/>
      <c r="J2" s="1774"/>
      <c r="K2" s="1866"/>
      <c r="L2" s="1865" t="s">
        <v>436</v>
      </c>
      <c r="M2" s="1876"/>
      <c r="N2" s="335"/>
      <c r="O2" s="1625"/>
      <c r="P2" s="1625"/>
      <c r="AH2" s="1632">
        <v>0</v>
      </c>
    </row>
    <row s="1636" customFormat="1" customHeight="1" ht="18.75" hidden="1">
      <c r="A3" s="1781"/>
      <c r="B3" s="1781"/>
      <c r="C3" s="370" t="s">
        <v>1283</v>
      </c>
      <c r="D3" s="345"/>
      <c r="E3" s="1032"/>
      <c r="F3" s="1032"/>
      <c r="G3" s="2428"/>
      <c r="H3" s="1501"/>
      <c r="I3" s="652" t="s">
        <v>1284</v>
      </c>
      <c r="J3" s="572"/>
      <c r="K3" s="1501"/>
      <c r="L3" s="215"/>
      <c r="M3" s="1876"/>
      <c r="N3" s="335"/>
      <c r="O3" s="1625"/>
      <c r="P3" s="1625"/>
      <c r="AH3" s="1632">
        <v>0</v>
      </c>
    </row>
    <row s="1636" customFormat="1" customHeight="1" ht="14.25" hidden="1">
      <c r="A4" s="1780"/>
      <c r="B4" s="1780"/>
      <c r="C4" s="370"/>
      <c r="D4" s="345"/>
      <c r="N4" s="1637">
        <f>_xlfn.IFERROR(MATCH("метод экономически обоснованных расходов (затрат)",OFFER_METHOD,0),0)</f>
        <v>0</v>
      </c>
      <c r="O4" s="1625"/>
      <c r="P4" s="1625"/>
      <c r="T4" s="832"/>
      <c r="AG4" s="256"/>
      <c r="AH4" s="1632">
        <v>0</v>
      </c>
    </row>
    <row s="1636" customFormat="1" customHeight="1" ht="18.75" hidden="1">
      <c r="A5" s="1781" t="s">
        <v>172</v>
      </c>
      <c r="B5" s="1781" t="s">
        <v>173</v>
      </c>
      <c r="C5" s="370"/>
      <c r="D5" s="345"/>
      <c r="E5" s="1032"/>
      <c r="F5" s="1032"/>
      <c r="G5" s="2428" t="str">
        <f>INDEX(PT_DIFFERENTIATION_NTAR,MATCH(B5,PT_DIFFERENTIATION_NTAR_ID,0))</f>
        <v>Тарифы на тепловую энергию (мощность) на коллекторах источника тепловой энергии. Для потребителей, в случае отсутствия дифференциации тарифов по схеме подключения. Муниципальный округ город Апатиты с подведомственной территорией Мурманской области, муниципальный округ город Кировск с подведомственной территорией Мурманской области</v>
      </c>
      <c r="H5" s="1865"/>
      <c r="I5" s="1740"/>
      <c r="J5" s="1774"/>
      <c r="K5" s="1779"/>
      <c r="L5" s="1865" t="s">
        <v>436</v>
      </c>
      <c r="M5" s="1876"/>
      <c r="N5" s="335"/>
      <c r="O5" s="1625"/>
      <c r="P5" s="1625"/>
      <c r="AH5" s="1632">
        <v>0</v>
      </c>
    </row>
    <row s="1636" customFormat="1" customHeight="1" ht="18.75" hidden="1">
      <c r="A6" s="1781"/>
      <c r="B6" s="1781"/>
      <c r="C6" s="370" t="s">
        <v>1285</v>
      </c>
      <c r="D6" s="345"/>
      <c r="E6" s="1032"/>
      <c r="F6" s="1032"/>
      <c r="G6" s="2428"/>
      <c r="H6" s="1501"/>
      <c r="I6" s="652" t="s">
        <v>1284</v>
      </c>
      <c r="J6" s="572"/>
      <c r="K6" s="1501"/>
      <c r="L6" s="215"/>
      <c r="M6" s="1876"/>
      <c r="N6" s="335"/>
      <c r="O6" s="1625"/>
      <c r="P6" s="1625"/>
      <c r="AH6" s="1632">
        <v>0</v>
      </c>
    </row>
    <row s="1636" customFormat="1" customHeight="1" ht="14.25" hidden="1">
      <c r="A7" s="1780"/>
      <c r="B7" s="1780"/>
      <c r="C7" s="370"/>
      <c r="D7" s="345"/>
      <c r="N7" s="1637">
        <f>_xlfn.IFERROR(MATCH("метод экономически обоснованных расходов (затрат)",OFFER_METHOD,0),0)</f>
        <v>0</v>
      </c>
      <c r="O7" s="1625"/>
      <c r="P7" s="1625"/>
      <c r="T7" s="832"/>
      <c r="AG7" s="256"/>
      <c r="AH7" s="1632">
        <v>0</v>
      </c>
    </row>
    <row s="1636" customFormat="1" customHeight="1" ht="56.25" hidden="1">
      <c r="A8" s="1781"/>
      <c r="B8" s="1781"/>
      <c r="C8" s="370"/>
      <c r="D8" s="345"/>
      <c r="E8" s="1032"/>
      <c r="F8" s="1032"/>
      <c r="G8" s="1032"/>
      <c r="H8" s="1772"/>
      <c r="I8" s="1740"/>
      <c r="J8" s="1774"/>
      <c r="K8" s="1866"/>
      <c r="L8" s="1772" t="s">
        <v>436</v>
      </c>
      <c r="M8" s="1876"/>
      <c r="N8" s="335"/>
      <c r="O8" s="1625"/>
      <c r="P8" s="1625"/>
      <c r="AH8" s="1632">
        <v>0</v>
      </c>
    </row>
    <row customHeight="1" ht="14.25" hidden="1">
      <c r="T9" s="398"/>
      <c r="AG9" s="256"/>
      <c r="AH9" s="375">
        <v>0</v>
      </c>
    </row>
    <row s="1636" customFormat="1" customHeight="1" ht="56.25" hidden="1">
      <c r="A10" s="1781"/>
      <c r="B10" s="1781"/>
      <c r="C10" s="370"/>
      <c r="D10" s="345"/>
      <c r="E10" s="1032"/>
      <c r="F10" s="1032"/>
      <c r="G10" s="1032"/>
      <c r="H10" s="1771"/>
      <c r="I10" s="1740"/>
      <c r="J10" s="1774"/>
      <c r="K10" s="1779"/>
      <c r="L10" s="1772" t="s">
        <v>436</v>
      </c>
      <c r="M10" s="1876"/>
      <c r="N10" s="335"/>
      <c r="O10" s="1625"/>
      <c r="P10" s="1625"/>
      <c r="AH10" s="1632">
        <v>0</v>
      </c>
    </row>
    <row customHeight="1" ht="14.25" hidden="1">
      <c r="AH11" s="375">
        <v>0</v>
      </c>
    </row>
    <row customHeight="1" ht="14.25" hidden="1">
      <c r="AH12" s="375">
        <v>0</v>
      </c>
    </row>
    <row customHeight="1" ht="6.3">
      <c r="D13" s="377"/>
      <c r="E13" s="364"/>
      <c r="F13" s="364"/>
      <c r="G13" s="364"/>
      <c r="H13" s="364"/>
      <c r="I13" s="364"/>
      <c r="J13" s="364"/>
      <c r="K13" s="364"/>
      <c r="L13" s="86"/>
      <c r="M13" s="86"/>
      <c r="AH13" s="375">
        <v>6</v>
      </c>
    </row>
    <row customHeight="1" ht="14.699999999999998">
      <c r="D14" s="377"/>
      <c r="E14" s="2466" t="str">
        <f>"Форма "&amp;IF(TEMPLATE_SPHERE="HEAT","18","12")&amp;". Информация о предложении "&amp;IF(TEMPLATE_SPHERE="HEAT","регулируемой организации","организации "&amp;TEMPLATE_SPHERE_RUS)&amp;" об установлении "&amp;IF(TEMPLATE_SPHERE="HEAT","цен (тарифов)","тарифов")&amp;" в сфере "&amp;TEMPLATE_SPHERE_RUS&amp;" на очередной"&amp;IF(TEMPLATE_SPHERE="HEAT"," расчетный","")&amp;" период регулирования"</f>
        <v>Форма 18. Информация о предложении регулируемой организации об установлении цен (тарифов) в сфере теплоснабжения на очередной расчетный период регулирования</v>
      </c>
      <c r="F14" s="2466"/>
      <c r="G14" s="2466"/>
      <c r="H14" s="2466"/>
      <c r="I14" s="2466"/>
      <c r="J14" s="2466"/>
      <c r="K14" s="2466"/>
      <c r="L14" s="2466"/>
      <c r="M14" s="221"/>
      <c r="AH14" s="375">
        <v>14</v>
      </c>
    </row>
    <row customHeight="1" ht="6.3">
      <c r="D15" s="377"/>
      <c r="E15" s="364"/>
      <c r="F15" s="390"/>
      <c r="G15" s="390"/>
      <c r="H15" s="390"/>
      <c r="I15" s="390"/>
      <c r="J15" s="390"/>
      <c r="K15" s="390"/>
      <c r="L15" s="323"/>
      <c r="M15" s="194"/>
      <c r="AH15" s="375">
        <v>6</v>
      </c>
    </row>
    <row customHeight="1" ht="24">
      <c r="D16" s="377"/>
      <c r="E16" s="364"/>
      <c r="F16" s="306" t="str">
        <f>"Дата подачи заявления об "&amp;IF(TITLE_DATE_PR_CHANGE="","утверждении","изменении")&amp;" тарифов"</f>
        <v>Дата подачи заявления об изменении тарифов</v>
      </c>
      <c r="G16" s="2265" t="str">
        <f>IF(TITLE_DATE_PR_CHANGE="",IF(TITLE_DATE_PR="","",TITLE_DATE_PR),TITLE_DATE_PR_CHANGE)</f>
        <v>46010</v>
      </c>
      <c r="H16" s="2265"/>
      <c r="I16" s="2265"/>
      <c r="J16" s="2265"/>
      <c r="K16" s="2265"/>
      <c r="L16" s="2265"/>
      <c r="M16" s="399"/>
      <c r="N16" s="327"/>
      <c r="AH16" s="375">
        <v>23</v>
      </c>
    </row>
    <row customHeight="1" ht="24">
      <c r="D17" s="377"/>
      <c r="E17" s="364"/>
      <c r="F17" s="306" t="str">
        <f>"Номер подачи заявления об "&amp;IF(TITLE_DATE_PR_CHANGE="","утверждении","изменении")&amp;" тарифов"</f>
        <v>Номер подачи заявления об изменении тарифов</v>
      </c>
      <c r="G17" s="2252" t="str">
        <f>IF(TITLE_NUMBER_PR_CHANGE="",IF(TITLE_NUMBER_PR="","",TITLE_NUMBER_PR),TITLE_NUMBER_PR_CHANGE)</f>
        <v>53/77; 53/49</v>
      </c>
      <c r="H17" s="2252"/>
      <c r="I17" s="2252"/>
      <c r="J17" s="2252"/>
      <c r="K17" s="2252"/>
      <c r="L17" s="2252"/>
      <c r="M17" s="399"/>
      <c r="N17" s="327"/>
      <c r="AH17" s="375">
        <v>23</v>
      </c>
    </row>
    <row customHeight="1" ht="14.699999999999998">
      <c r="D18" s="377"/>
      <c r="E18" s="364"/>
      <c r="F18" s="390"/>
      <c r="G18" s="390"/>
      <c r="H18" s="390"/>
      <c r="I18" s="390"/>
      <c r="J18" s="390"/>
      <c r="K18" s="390"/>
      <c r="L18" s="753"/>
      <c r="M18" s="194"/>
      <c r="AH18" s="375">
        <v>14</v>
      </c>
    </row>
    <row customHeight="1" ht="22.049999999999997">
      <c r="D19" s="377"/>
      <c r="E19" s="2210" t="s">
        <v>430</v>
      </c>
      <c r="F19" s="2210"/>
      <c r="G19" s="2210"/>
      <c r="H19" s="2210"/>
      <c r="I19" s="2210"/>
      <c r="J19" s="2210"/>
      <c r="K19" s="2210"/>
      <c r="L19" s="2210"/>
      <c r="M19" s="2390" t="s">
        <v>431</v>
      </c>
      <c r="AH19" s="375">
        <v>21</v>
      </c>
    </row>
    <row customHeight="1" ht="22.049999999999997">
      <c r="D20" s="377"/>
      <c r="E20" s="2278" t="s">
        <v>92</v>
      </c>
      <c r="F20" s="2225" t="s">
        <v>135</v>
      </c>
      <c r="G20" s="2225" t="s">
        <v>136</v>
      </c>
      <c r="H20" s="2387" t="s">
        <v>1286</v>
      </c>
      <c r="I20" s="2388"/>
      <c r="J20" s="2434"/>
      <c r="K20" s="2225" t="s">
        <v>433</v>
      </c>
      <c r="L20" s="2225" t="s">
        <v>520</v>
      </c>
      <c r="M20" s="2390"/>
      <c r="AH20" s="375">
        <v>21</v>
      </c>
    </row>
    <row customHeight="1" ht="22.049999999999997">
      <c r="D21" s="377"/>
      <c r="E21" s="2280"/>
      <c r="F21" s="2226"/>
      <c r="G21" s="2226"/>
      <c r="H21" s="2219" t="s">
        <v>1287</v>
      </c>
      <c r="I21" s="2221"/>
      <c r="J21" s="109" t="s">
        <v>1288</v>
      </c>
      <c r="K21" s="2226"/>
      <c r="L21" s="2226"/>
      <c r="M21" s="2390"/>
      <c r="AH21" s="375">
        <v>21</v>
      </c>
    </row>
    <row customHeight="1" ht="12.75">
      <c r="D22" s="377"/>
      <c r="E22" s="282"/>
      <c r="F22" s="282"/>
      <c r="G22" s="282"/>
      <c r="H22" s="2468"/>
      <c r="I22" s="2468"/>
      <c r="J22" s="282"/>
      <c r="K22" s="282"/>
      <c r="L22" s="282"/>
      <c r="M22" s="282"/>
      <c r="AH22" s="375">
        <v>12</v>
      </c>
    </row>
    <row customHeight="1" ht="19.95">
      <c r="A23" s="1781"/>
      <c r="B23" s="1781"/>
      <c r="D23" s="377"/>
      <c r="E23" s="1867" t="s">
        <v>123</v>
      </c>
      <c r="F23" s="2469" t="str">
        <f>"Предлагаемый метод регулирования"&amp;IF(TEMPLATE_SPHERE="HEAT"," в сфере "&amp;TEMPLATE_SPHERE_RUS,"")</f>
        <v>Предлагаемый метод регулирования в сфере теплоснабжения</v>
      </c>
      <c r="G23" s="2470"/>
      <c r="H23" s="2462"/>
      <c r="I23" s="2462"/>
      <c r="J23" s="2462"/>
      <c r="K23" s="2470" t="s">
        <v>436</v>
      </c>
      <c r="L23" s="2462"/>
      <c r="M23" s="1770"/>
      <c r="N23" s="335"/>
      <c r="AH23" s="375">
        <v>19</v>
      </c>
    </row>
    <row customHeight="1" ht="60.75" hidden="1">
      <c r="A24" s="1781" t="s">
        <v>172</v>
      </c>
      <c r="B24" s="1781" t="s">
        <v>173</v>
      </c>
      <c r="D24" s="2467"/>
      <c r="E24" s="2205"/>
      <c r="F24" s="2471" t="str">
        <f>INDEX(PT_DIFFERENTIATION_VTAR,MATCH(A24,PT_DIFFERENTIATION_VTAR_ID,0))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24" s="2428" t="str">
        <f>INDEX(PT_DIFFERENTIATION_NTAR,MATCH(B24,PT_DIFFERENTIATION_NTAR_ID,0))</f>
        <v>Тарифы на тепловую энергию (мощность) на коллекторах источника тепловой энергии. Для потребителей, в случае отсутствия дифференциации тарифов по схеме подключения. Муниципальный округ город Апатиты с подведомственной территорией Мурманской области, муниципальный округ город Кировск с подведомственной территорией Мурманской области</v>
      </c>
      <c r="H24" s="1863"/>
      <c r="I24" s="1740"/>
      <c r="J24" s="1774"/>
      <c r="K24" s="1866"/>
      <c r="L24" s="1769" t="s">
        <v>436</v>
      </c>
      <c r="M24" s="2170"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"&amp;"Значение в колонке «Информация» выбирается из перечня:
- метод экономически обоснованных расходов (затрат);
- метод индексации установленных тарифов;
- метод обеспечения доходности инвестированного капитала;
- метод сравнения аналогов.
"&amp;"Даты начала и окончания срока действия тарифов указываются в виде «ДД.ММ.ГГГГ».
В случае дифференциации предлагаемых методов регулирования по видам тарифов и (или) по периодам действия тарифов информация по каждому из них указывается в отдельной строке."</f>
        <v>Значение в колонке «Вид тарифа» выбирается из перечня видов тарифов в сфере теплоснабжения, предусмотренных законодательством в сфере теплоснабжения.
Значение в колонке «Информация» выбирается из перечня:
- метод экономически обоснованных расходов (затрат);
- метод индексации установленных тарифов;
- метод обеспечения доходности инвестированного капитала;
- метод сравнения аналогов.
Даты начала и окончания срока действия тарифов указываются в виде «ДД.ММ.ГГГГ».
В случае дифференциации предлагаемых методов регулирования по видам тарифов и (или) по периодам действия тарифов информация по каждому из них указывается в отдельной строке.</v>
      </c>
      <c r="N24" s="335"/>
      <c r="AH24" s="375">
        <v>0</v>
      </c>
    </row>
    <row s="1636" customFormat="1" customHeight="1" ht="18.75" hidden="1">
      <c r="A25" s="1781"/>
      <c r="B25" s="1781"/>
      <c r="C25" s="370" t="s">
        <v>1283</v>
      </c>
      <c r="D25" s="2467"/>
      <c r="E25" s="2205"/>
      <c r="F25" s="2471"/>
      <c r="G25" s="2428"/>
      <c r="H25" s="1501"/>
      <c r="I25" s="652" t="s">
        <v>1284</v>
      </c>
      <c r="J25" s="572"/>
      <c r="K25" s="1501"/>
      <c r="L25" s="215"/>
      <c r="M25" s="2171"/>
      <c r="N25" s="335"/>
      <c r="O25" s="1625"/>
      <c r="P25" s="1625"/>
      <c r="AH25" s="1632">
        <v>0</v>
      </c>
    </row>
    <row s="1636" customFormat="1" customHeight="1" ht="18.75">
      <c r="A26" s="1824" t="s">
        <v>172</v>
      </c>
      <c r="B26" s="1824" t="s">
        <v>185</v>
      </c>
      <c r="C26" s="1688"/>
      <c r="D26" s="345"/>
      <c r="E26" s="1032"/>
      <c r="F26" s="1032"/>
      <c r="G26" s="2428" t="str">
        <f>INDEX(PT_DIFFERENTIATION_NTAR,MATCH(B26,PT_DIFFERENTIATION_NTAR_ID,0))</f>
        <v>Льготные тарифы на тепловую энергию, поставляемую группе потребителей "население". Для потребителей, в случае отсутствия дифференциации тарифов по схеме подключения. Муниципальный округ город Апатиты с подведомственной территорией Мурманской области</v>
      </c>
      <c r="H26" s="2272"/>
      <c r="I26" s="1740"/>
      <c r="J26" s="1774"/>
      <c r="K26" s="2306"/>
      <c r="L26" s="2272" t="s">
        <v>436</v>
      </c>
      <c r="M26" s="2319"/>
      <c r="N26" s="619"/>
      <c r="O26" s="1625"/>
      <c r="P26" s="1625"/>
      <c r="Q26" s="1636"/>
      <c r="R26" s="1636"/>
      <c r="S26" s="1636"/>
      <c r="T26" s="1636"/>
      <c r="U26" s="1636"/>
      <c r="V26" s="1636"/>
      <c r="W26" s="1636"/>
      <c r="X26" s="1636"/>
      <c r="Y26" s="1636"/>
      <c r="Z26" s="1636"/>
      <c r="AA26" s="1636"/>
      <c r="AB26" s="1636"/>
      <c r="AC26" s="1636"/>
      <c r="AD26" s="1636"/>
      <c r="AE26" s="1636"/>
      <c r="AF26" s="1636"/>
      <c r="AG26" s="1636"/>
      <c r="AH26" s="1636">
        <v>0</v>
      </c>
    </row>
    <row s="1636" customFormat="1" customHeight="1" ht="18.75">
      <c r="A27" s="1824"/>
      <c r="B27" s="1824"/>
      <c r="C27" s="1688" t="s">
        <v>1283</v>
      </c>
      <c r="D27" s="345"/>
      <c r="E27" s="1032"/>
      <c r="F27" s="1032"/>
      <c r="G27" s="2428"/>
      <c r="H27" s="4838"/>
      <c r="I27" s="4839" t="s">
        <v>1284</v>
      </c>
      <c r="J27" s="4840"/>
      <c r="K27" s="4841"/>
      <c r="L27" s="4842"/>
      <c r="M27" s="2319"/>
      <c r="N27" s="619"/>
      <c r="O27" s="1625"/>
      <c r="P27" s="1625"/>
      <c r="Q27" s="1636"/>
      <c r="R27" s="1636"/>
      <c r="S27" s="1636"/>
      <c r="T27" s="1636"/>
      <c r="U27" s="1636"/>
      <c r="V27" s="1636"/>
      <c r="W27" s="1636"/>
      <c r="X27" s="1636"/>
      <c r="Y27" s="1636"/>
      <c r="Z27" s="1636"/>
      <c r="AA27" s="1636"/>
      <c r="AB27" s="1636"/>
      <c r="AC27" s="1636"/>
      <c r="AD27" s="1636"/>
      <c r="AE27" s="1636"/>
      <c r="AF27" s="1636"/>
      <c r="AG27" s="1636"/>
      <c r="AH27" s="1636">
        <v>0</v>
      </c>
    </row>
    <row s="1636" customFormat="1" customHeight="1" ht="18.75">
      <c r="A28" s="1824" t="s">
        <v>172</v>
      </c>
      <c r="B28" s="1824" t="s">
        <v>193</v>
      </c>
      <c r="C28" s="1688"/>
      <c r="D28" s="345"/>
      <c r="E28" s="1032"/>
      <c r="F28" s="1032"/>
      <c r="G28" s="2428" t="str">
        <f>INDEX(PT_DIFFERENTIATION_NTAR,MATCH(B28,PT_DIFFERENTIATION_NTAR_ID,0))</f>
        <v>Льготные тарифы на тепловую энергию, поставляемую группе потребителей "потребители (кроме населения)". Для потребителей, подключенных к тепловым сетям ПАО "ТГК-1". Муниципальный округ город Апатиты с подведомственной территорией Мурманской области</v>
      </c>
      <c r="H28" s="2272"/>
      <c r="I28" s="1740"/>
      <c r="J28" s="1774"/>
      <c r="K28" s="2306"/>
      <c r="L28" s="2272" t="s">
        <v>436</v>
      </c>
      <c r="M28" s="2319"/>
      <c r="N28" s="619"/>
      <c r="O28" s="1625"/>
      <c r="P28" s="1625"/>
      <c r="Q28" s="1636"/>
      <c r="R28" s="1636"/>
      <c r="S28" s="1636"/>
      <c r="T28" s="1636"/>
      <c r="U28" s="1636"/>
      <c r="V28" s="1636"/>
      <c r="W28" s="1636"/>
      <c r="X28" s="1636"/>
      <c r="Y28" s="1636"/>
      <c r="Z28" s="1636"/>
      <c r="AA28" s="1636"/>
      <c r="AB28" s="1636"/>
      <c r="AC28" s="1636"/>
      <c r="AD28" s="1636"/>
      <c r="AE28" s="1636"/>
      <c r="AF28" s="1636"/>
      <c r="AG28" s="1636"/>
      <c r="AH28" s="1636">
        <v>0</v>
      </c>
    </row>
    <row s="1636" customFormat="1" customHeight="1" ht="18.75">
      <c r="A29" s="1824"/>
      <c r="B29" s="1824"/>
      <c r="C29" s="1688" t="s">
        <v>1283</v>
      </c>
      <c r="D29" s="345"/>
      <c r="E29" s="1032"/>
      <c r="F29" s="1032"/>
      <c r="G29" s="2428"/>
      <c r="H29" s="4843"/>
      <c r="I29" s="4844" t="s">
        <v>1284</v>
      </c>
      <c r="J29" s="4845"/>
      <c r="K29" s="4846"/>
      <c r="L29" s="4847"/>
      <c r="M29" s="2319"/>
      <c r="N29" s="619"/>
      <c r="O29" s="1625"/>
      <c r="P29" s="1625"/>
      <c r="Q29" s="1636"/>
      <c r="R29" s="1636"/>
      <c r="S29" s="1636"/>
      <c r="T29" s="1636"/>
      <c r="U29" s="1636"/>
      <c r="V29" s="1636"/>
      <c r="W29" s="1636"/>
      <c r="X29" s="1636"/>
      <c r="Y29" s="1636"/>
      <c r="Z29" s="1636"/>
      <c r="AA29" s="1636"/>
      <c r="AB29" s="1636"/>
      <c r="AC29" s="1636"/>
      <c r="AD29" s="1636"/>
      <c r="AE29" s="1636"/>
      <c r="AF29" s="1636"/>
      <c r="AG29" s="1636"/>
      <c r="AH29" s="1636">
        <v>0</v>
      </c>
    </row>
    <row s="1636" customFormat="1" customHeight="1" ht="18.75">
      <c r="A30" s="1824" t="s">
        <v>172</v>
      </c>
      <c r="B30" s="1824" t="s">
        <v>198</v>
      </c>
      <c r="C30" s="1688"/>
      <c r="D30" s="345"/>
      <c r="E30" s="1032"/>
      <c r="F30" s="1032"/>
      <c r="G30" s="2428" t="str">
        <f>INDEX(PT_DIFFERENTIATION_NTAR,MATCH(B30,PT_DIFFERENTIATION_NTAR_ID,0))</f>
        <v>Льготные тарифы на тепловую энергию, поставляемую группе потребителей "потребители (кроме населения)". Для потребителей, подключенных к тепловым сетям АО "Апатитыэнерго". Муниципальный округ город Апатиты с подведомственной территорией Мурманской области</v>
      </c>
      <c r="H30" s="2272"/>
      <c r="I30" s="1740"/>
      <c r="J30" s="1774"/>
      <c r="K30" s="2306"/>
      <c r="L30" s="2272" t="s">
        <v>436</v>
      </c>
      <c r="M30" s="2319"/>
      <c r="N30" s="619"/>
      <c r="O30" s="1625"/>
      <c r="P30" s="1625"/>
      <c r="Q30" s="1636"/>
      <c r="R30" s="1636"/>
      <c r="S30" s="1636"/>
      <c r="T30" s="1636"/>
      <c r="U30" s="1636"/>
      <c r="V30" s="1636"/>
      <c r="W30" s="1636"/>
      <c r="X30" s="1636"/>
      <c r="Y30" s="1636"/>
      <c r="Z30" s="1636"/>
      <c r="AA30" s="1636"/>
      <c r="AB30" s="1636"/>
      <c r="AC30" s="1636"/>
      <c r="AD30" s="1636"/>
      <c r="AE30" s="1636"/>
      <c r="AF30" s="1636"/>
      <c r="AG30" s="1636"/>
      <c r="AH30" s="1636">
        <v>0</v>
      </c>
    </row>
    <row s="1636" customFormat="1" customHeight="1" ht="18.75">
      <c r="A31" s="1824"/>
      <c r="B31" s="1824"/>
      <c r="C31" s="1688" t="s">
        <v>1283</v>
      </c>
      <c r="D31" s="345"/>
      <c r="E31" s="1032"/>
      <c r="F31" s="1032"/>
      <c r="G31" s="2428"/>
      <c r="H31" s="4848"/>
      <c r="I31" s="4849" t="s">
        <v>1284</v>
      </c>
      <c r="J31" s="4850"/>
      <c r="K31" s="4851"/>
      <c r="L31" s="4852"/>
      <c r="M31" s="2319"/>
      <c r="N31" s="619"/>
      <c r="O31" s="1625"/>
      <c r="P31" s="1625"/>
      <c r="Q31" s="1636"/>
      <c r="R31" s="1636"/>
      <c r="S31" s="1636"/>
      <c r="T31" s="1636"/>
      <c r="U31" s="1636"/>
      <c r="V31" s="1636"/>
      <c r="W31" s="1636"/>
      <c r="X31" s="1636"/>
      <c r="Y31" s="1636"/>
      <c r="Z31" s="1636"/>
      <c r="AA31" s="1636"/>
      <c r="AB31" s="1636"/>
      <c r="AC31" s="1636"/>
      <c r="AD31" s="1636"/>
      <c r="AE31" s="1636"/>
      <c r="AF31" s="1636"/>
      <c r="AG31" s="1636"/>
      <c r="AH31" s="1636">
        <v>0</v>
      </c>
    </row>
    <row s="1636" customFormat="1" customHeight="1" ht="18.75">
      <c r="A32" s="1824" t="s">
        <v>172</v>
      </c>
      <c r="B32" s="1824" t="s">
        <v>203</v>
      </c>
      <c r="C32" s="1688"/>
      <c r="D32" s="345"/>
      <c r="E32" s="1032"/>
      <c r="F32" s="1032"/>
      <c r="G32" s="2428" t="str">
        <f>INDEX(PT_DIFFERENTIATION_NTAR,MATCH(B32,PT_DIFFERENTIATION_NTAR_ID,0))</f>
        <v>Льготные тарифы на тепловую энергию, поставляемую группе потребителей "потребители (кроме населения)". Для потребителей в случае отсутствия дифференциации тарифов по схеме подключения. Муниципальный округ город Кировск с подведомственной территорией Мурманской области</v>
      </c>
      <c r="H32" s="2272"/>
      <c r="I32" s="1740"/>
      <c r="J32" s="1774"/>
      <c r="K32" s="2306"/>
      <c r="L32" s="2272" t="s">
        <v>436</v>
      </c>
      <c r="M32" s="2319"/>
      <c r="N32" s="619"/>
      <c r="O32" s="1625"/>
      <c r="P32" s="1625"/>
      <c r="Q32" s="1636"/>
      <c r="R32" s="1636"/>
      <c r="S32" s="1636"/>
      <c r="T32" s="1636"/>
      <c r="U32" s="1636"/>
      <c r="V32" s="1636"/>
      <c r="W32" s="1636"/>
      <c r="X32" s="1636"/>
      <c r="Y32" s="1636"/>
      <c r="Z32" s="1636"/>
      <c r="AA32" s="1636"/>
      <c r="AB32" s="1636"/>
      <c r="AC32" s="1636"/>
      <c r="AD32" s="1636"/>
      <c r="AE32" s="1636"/>
      <c r="AF32" s="1636"/>
      <c r="AG32" s="1636"/>
      <c r="AH32" s="1636">
        <v>0</v>
      </c>
    </row>
    <row s="1636" customFormat="1" customHeight="1" ht="18.75">
      <c r="A33" s="1824"/>
      <c r="B33" s="1824"/>
      <c r="C33" s="1688" t="s">
        <v>1283</v>
      </c>
      <c r="D33" s="345"/>
      <c r="E33" s="1032"/>
      <c r="F33" s="1032"/>
      <c r="G33" s="2428"/>
      <c r="H33" s="4853"/>
      <c r="I33" s="4854" t="s">
        <v>1284</v>
      </c>
      <c r="J33" s="4855"/>
      <c r="K33" s="4856"/>
      <c r="L33" s="4857"/>
      <c r="M33" s="2319"/>
      <c r="N33" s="619"/>
      <c r="O33" s="1625"/>
      <c r="P33" s="1625"/>
      <c r="Q33" s="1636"/>
      <c r="R33" s="1636"/>
      <c r="S33" s="1636"/>
      <c r="T33" s="1636"/>
      <c r="U33" s="1636"/>
      <c r="V33" s="1636"/>
      <c r="W33" s="1636"/>
      <c r="X33" s="1636"/>
      <c r="Y33" s="1636"/>
      <c r="Z33" s="1636"/>
      <c r="AA33" s="1636"/>
      <c r="AB33" s="1636"/>
      <c r="AC33" s="1636"/>
      <c r="AD33" s="1636"/>
      <c r="AE33" s="1636"/>
      <c r="AF33" s="1636"/>
      <c r="AG33" s="1636"/>
      <c r="AH33" s="1636">
        <v>0</v>
      </c>
    </row>
    <row s="1636" customFormat="1" customHeight="1" ht="18.75">
      <c r="A34" s="1824" t="s">
        <v>172</v>
      </c>
      <c r="B34" s="1824" t="s">
        <v>208</v>
      </c>
      <c r="C34" s="1688"/>
      <c r="D34" s="345"/>
      <c r="E34" s="1032"/>
      <c r="F34" s="1032"/>
      <c r="G34" s="2428" t="str">
        <f>INDEX(PT_DIFFERENTIATION_NTAR,MATCH(B34,PT_DIFFERENTIATION_NTAR_ID,0))</f>
        <v>Тарифы на тепловую энергию, поставляемую потребителям. Для потребителей, подключенных к тепловым сетям ПАО "ТГК-1". Муниципальный  округ город Апатиты с подведомственной территорией Мурманской области</v>
      </c>
      <c r="H34" s="2272"/>
      <c r="I34" s="1740"/>
      <c r="J34" s="1774"/>
      <c r="K34" s="2306"/>
      <c r="L34" s="2272" t="s">
        <v>436</v>
      </c>
      <c r="M34" s="2319"/>
      <c r="N34" s="619"/>
      <c r="O34" s="1625"/>
      <c r="P34" s="1625"/>
      <c r="Q34" s="1636"/>
      <c r="R34" s="1636"/>
      <c r="S34" s="1636"/>
      <c r="T34" s="1636"/>
      <c r="U34" s="1636"/>
      <c r="V34" s="1636"/>
      <c r="W34" s="1636"/>
      <c r="X34" s="1636"/>
      <c r="Y34" s="1636"/>
      <c r="Z34" s="1636"/>
      <c r="AA34" s="1636"/>
      <c r="AB34" s="1636"/>
      <c r="AC34" s="1636"/>
      <c r="AD34" s="1636"/>
      <c r="AE34" s="1636"/>
      <c r="AF34" s="1636"/>
      <c r="AG34" s="1636"/>
      <c r="AH34" s="1636">
        <v>0</v>
      </c>
    </row>
    <row s="1636" customFormat="1" customHeight="1" ht="18.75">
      <c r="A35" s="1824"/>
      <c r="B35" s="1824"/>
      <c r="C35" s="1688" t="s">
        <v>1283</v>
      </c>
      <c r="D35" s="345"/>
      <c r="E35" s="1032"/>
      <c r="F35" s="1032"/>
      <c r="G35" s="2428"/>
      <c r="H35" s="4858"/>
      <c r="I35" s="4859" t="s">
        <v>1284</v>
      </c>
      <c r="J35" s="4860"/>
      <c r="K35" s="4861"/>
      <c r="L35" s="4862"/>
      <c r="M35" s="2319"/>
      <c r="N35" s="619"/>
      <c r="O35" s="1625"/>
      <c r="P35" s="1625"/>
      <c r="Q35" s="1636"/>
      <c r="R35" s="1636"/>
      <c r="S35" s="1636"/>
      <c r="T35" s="1636"/>
      <c r="U35" s="1636"/>
      <c r="V35" s="1636"/>
      <c r="W35" s="1636"/>
      <c r="X35" s="1636"/>
      <c r="Y35" s="1636"/>
      <c r="Z35" s="1636"/>
      <c r="AA35" s="1636"/>
      <c r="AB35" s="1636"/>
      <c r="AC35" s="1636"/>
      <c r="AD35" s="1636"/>
      <c r="AE35" s="1636"/>
      <c r="AF35" s="1636"/>
      <c r="AG35" s="1636"/>
      <c r="AH35" s="1636">
        <v>0</v>
      </c>
    </row>
    <row s="1636" customFormat="1" customHeight="1" ht="18.75">
      <c r="A36" s="1824" t="s">
        <v>172</v>
      </c>
      <c r="B36" s="1824" t="s">
        <v>213</v>
      </c>
      <c r="C36" s="1688"/>
      <c r="D36" s="345"/>
      <c r="E36" s="1032"/>
      <c r="F36" s="1032"/>
      <c r="G36" s="2428" t="str">
        <f>INDEX(PT_DIFFERENTIATION_NTAR,MATCH(B36,PT_DIFFERENTIATION_NTAR_ID,0))</f>
        <v>Тарифы на тепловую энергию, поставляемую потребителям. Для потребителей, подключенных к тепловым сетям АО "Апатитыэнерго". Муниципальный округ город Апатиты с подведомственной территорией Мурманской области</v>
      </c>
      <c r="H36" s="2272"/>
      <c r="I36" s="1740"/>
      <c r="J36" s="1774"/>
      <c r="K36" s="2306"/>
      <c r="L36" s="2272" t="s">
        <v>436</v>
      </c>
      <c r="M36" s="2319"/>
      <c r="N36" s="619"/>
      <c r="O36" s="1625"/>
      <c r="P36" s="1625"/>
      <c r="Q36" s="1636"/>
      <c r="R36" s="1636"/>
      <c r="S36" s="1636"/>
      <c r="T36" s="1636"/>
      <c r="U36" s="1636"/>
      <c r="V36" s="1636"/>
      <c r="W36" s="1636"/>
      <c r="X36" s="1636"/>
      <c r="Y36" s="1636"/>
      <c r="Z36" s="1636"/>
      <c r="AA36" s="1636"/>
      <c r="AB36" s="1636"/>
      <c r="AC36" s="1636"/>
      <c r="AD36" s="1636"/>
      <c r="AE36" s="1636"/>
      <c r="AF36" s="1636"/>
      <c r="AG36" s="1636"/>
      <c r="AH36" s="1636">
        <v>0</v>
      </c>
    </row>
    <row s="1636" customFormat="1" customHeight="1" ht="18.75">
      <c r="A37" s="1824"/>
      <c r="B37" s="1824"/>
      <c r="C37" s="1688" t="s">
        <v>1283</v>
      </c>
      <c r="D37" s="345"/>
      <c r="E37" s="1032"/>
      <c r="F37" s="1032"/>
      <c r="G37" s="2428"/>
      <c r="H37" s="4863"/>
      <c r="I37" s="4864" t="s">
        <v>1284</v>
      </c>
      <c r="J37" s="4865"/>
      <c r="K37" s="4866"/>
      <c r="L37" s="4867"/>
      <c r="M37" s="2319"/>
      <c r="N37" s="619"/>
      <c r="O37" s="1625"/>
      <c r="P37" s="1625"/>
      <c r="Q37" s="1636"/>
      <c r="R37" s="1636"/>
      <c r="S37" s="1636"/>
      <c r="T37" s="1636"/>
      <c r="U37" s="1636"/>
      <c r="V37" s="1636"/>
      <c r="W37" s="1636"/>
      <c r="X37" s="1636"/>
      <c r="Y37" s="1636"/>
      <c r="Z37" s="1636"/>
      <c r="AA37" s="1636"/>
      <c r="AB37" s="1636"/>
      <c r="AC37" s="1636"/>
      <c r="AD37" s="1636"/>
      <c r="AE37" s="1636"/>
      <c r="AF37" s="1636"/>
      <c r="AG37" s="1636"/>
      <c r="AH37" s="1636">
        <v>0</v>
      </c>
    </row>
    <row s="1636" customFormat="1" customHeight="1" ht="18.75">
      <c r="A38" s="1824" t="s">
        <v>172</v>
      </c>
      <c r="B38" s="1824" t="s">
        <v>218</v>
      </c>
      <c r="C38" s="1688"/>
      <c r="D38" s="345"/>
      <c r="E38" s="1032"/>
      <c r="F38" s="1032"/>
      <c r="G38" s="2428" t="str">
        <f>INDEX(PT_DIFFERENTIATION_NTAR,MATCH(B38,PT_DIFFERENTIATION_NTAR_ID,0))</f>
        <v>Тарифы на тепловую энергию, поставляемую потребителям. Для потребителей в случае отсутствия дифференциации тарифов по схеме подключения. Муниципальный округ город Кировск с подведомственной территорией Мурманской области</v>
      </c>
      <c r="H38" s="2272"/>
      <c r="I38" s="1740"/>
      <c r="J38" s="1774"/>
      <c r="K38" s="2306"/>
      <c r="L38" s="2272" t="s">
        <v>436</v>
      </c>
      <c r="M38" s="2319"/>
      <c r="N38" s="619"/>
      <c r="O38" s="1625"/>
      <c r="P38" s="1625"/>
      <c r="Q38" s="1636"/>
      <c r="R38" s="1636"/>
      <c r="S38" s="1636"/>
      <c r="T38" s="1636"/>
      <c r="U38" s="1636"/>
      <c r="V38" s="1636"/>
      <c r="W38" s="1636"/>
      <c r="X38" s="1636"/>
      <c r="Y38" s="1636"/>
      <c r="Z38" s="1636"/>
      <c r="AA38" s="1636"/>
      <c r="AB38" s="1636"/>
      <c r="AC38" s="1636"/>
      <c r="AD38" s="1636"/>
      <c r="AE38" s="1636"/>
      <c r="AF38" s="1636"/>
      <c r="AG38" s="1636"/>
      <c r="AH38" s="1636">
        <v>0</v>
      </c>
    </row>
    <row s="1636" customFormat="1" customHeight="1" ht="18.75">
      <c r="A39" s="1824"/>
      <c r="B39" s="1824"/>
      <c r="C39" s="1688" t="s">
        <v>1283</v>
      </c>
      <c r="D39" s="345"/>
      <c r="E39" s="1032"/>
      <c r="F39" s="1032"/>
      <c r="G39" s="2428"/>
      <c r="H39" s="4868"/>
      <c r="I39" s="4869" t="s">
        <v>1284</v>
      </c>
      <c r="J39" s="4870"/>
      <c r="K39" s="4871"/>
      <c r="L39" s="4872"/>
      <c r="M39" s="2319"/>
      <c r="N39" s="619"/>
      <c r="O39" s="1625"/>
      <c r="P39" s="1625"/>
      <c r="Q39" s="1636"/>
      <c r="R39" s="1636"/>
      <c r="S39" s="1636"/>
      <c r="T39" s="1636"/>
      <c r="U39" s="1636"/>
      <c r="V39" s="1636"/>
      <c r="W39" s="1636"/>
      <c r="X39" s="1636"/>
      <c r="Y39" s="1636"/>
      <c r="Z39" s="1636"/>
      <c r="AA39" s="1636"/>
      <c r="AB39" s="1636"/>
      <c r="AC39" s="1636"/>
      <c r="AD39" s="1636"/>
      <c r="AE39" s="1636"/>
      <c r="AF39" s="1636"/>
      <c r="AG39" s="1636"/>
      <c r="AH39" s="1636">
        <v>0</v>
      </c>
    </row>
    <row customHeight="1" ht="0.75" hidden="1">
      <c r="A40" s="1781"/>
      <c r="B40" s="1781"/>
      <c r="C40" s="370" t="s">
        <v>1289</v>
      </c>
      <c r="D40" s="2467"/>
      <c r="E40" s="2205"/>
      <c r="F40" s="2384"/>
      <c r="G40" s="401"/>
      <c r="H40" s="1501"/>
      <c r="I40" s="396"/>
      <c r="J40" s="350"/>
      <c r="K40" s="1501"/>
      <c r="L40" s="202"/>
      <c r="M40" s="2171"/>
      <c r="N40" s="335"/>
      <c r="AH40" s="375">
        <v>0</v>
      </c>
    </row>
    <row s="1636" customFormat="1" customHeight="1" ht="45" hidden="1">
      <c r="A41" s="1781" t="s">
        <v>228</v>
      </c>
      <c r="B41" s="1781" t="s">
        <v>229</v>
      </c>
      <c r="C41" s="370"/>
      <c r="D41" s="2463"/>
      <c r="E41" s="2464"/>
      <c r="F41" s="2465" t="str">
        <f>INDEX(PT_DIFFERENTIATION_VTAR,MATCH(A41,PT_DIFFERENTIATION_VTAR_ID,0))</f>
        <v>Тарифы на тепловую энергию (мощность), поставляемую теплоснабжающими организациями потребителям, другим теплоснабжающим организациям</v>
      </c>
      <c r="G41" s="2428" t="str">
        <f>INDEX(PT_DIFFERENTIATION_NTAR,MATCH(B41,PT_DIFFERENTIATION_NTAR_ID,0))</f>
        <v>Льготные тарифы на тепловую энергию, поставляемую группе потребителей "население". Для потребителей, в случае отсутствия дифференциации тарифов по схеме подключения. Населенный пункт Раякоски Печенгского муниципального округа Мурманской области
</v>
      </c>
      <c r="H41" s="1863"/>
      <c r="I41" s="1740"/>
      <c r="J41" s="1774"/>
      <c r="K41" s="1866"/>
      <c r="L41" s="1863" t="s">
        <v>436</v>
      </c>
      <c r="M41" s="2171"/>
      <c r="N41" s="335"/>
      <c r="O41" s="1625"/>
      <c r="P41" s="1625"/>
      <c r="AH41" s="1632">
        <v>0</v>
      </c>
    </row>
    <row s="1636" customFormat="1" customHeight="1" ht="18.75" hidden="1">
      <c r="A42" s="1781"/>
      <c r="B42" s="1781"/>
      <c r="C42" s="370" t="s">
        <v>1283</v>
      </c>
      <c r="D42" s="2463"/>
      <c r="E42" s="2464"/>
      <c r="F42" s="2465"/>
      <c r="G42" s="2428"/>
      <c r="H42" s="1501"/>
      <c r="I42" s="652" t="s">
        <v>1284</v>
      </c>
      <c r="J42" s="572"/>
      <c r="K42" s="1501"/>
      <c r="L42" s="215"/>
      <c r="M42" s="2171"/>
      <c r="N42" s="335"/>
      <c r="O42" s="1625"/>
      <c r="P42" s="1625"/>
      <c r="AH42" s="1632">
        <v>0</v>
      </c>
    </row>
    <row s="1636" customFormat="1" customHeight="1" ht="18.75">
      <c r="A43" s="1824" t="s">
        <v>228</v>
      </c>
      <c r="B43" s="1824" t="s">
        <v>234</v>
      </c>
      <c r="C43" s="1688"/>
      <c r="D43" s="345"/>
      <c r="E43" s="1032"/>
      <c r="F43" s="1032"/>
      <c r="G43" s="2428" t="str">
        <f>INDEX(PT_DIFFERENTIATION_NTAR,MATCH(B43,PT_DIFFERENTIATION_NTAR_ID,0))</f>
        <v>Льготные тарифы на тепловую энергию, поставляемую группе потребителей "потребители (кроме населения)". Для потребителей, в случае отсутствия дифференциации тарифов по схеме подключения. Населенный пункт Раякоски Печенгского муниципального округа Мурманской области</v>
      </c>
      <c r="H43" s="2272"/>
      <c r="I43" s="1740"/>
      <c r="J43" s="1774"/>
      <c r="K43" s="2306"/>
      <c r="L43" s="2272" t="s">
        <v>436</v>
      </c>
      <c r="M43" s="2319"/>
      <c r="N43" s="619"/>
      <c r="O43" s="1625"/>
      <c r="P43" s="1625"/>
      <c r="Q43" s="1636"/>
      <c r="R43" s="1636"/>
      <c r="S43" s="1636"/>
      <c r="T43" s="1636"/>
      <c r="U43" s="1636"/>
      <c r="V43" s="1636"/>
      <c r="W43" s="1636"/>
      <c r="X43" s="1636"/>
      <c r="Y43" s="1636"/>
      <c r="Z43" s="1636"/>
      <c r="AA43" s="1636"/>
      <c r="AB43" s="1636"/>
      <c r="AC43" s="1636"/>
      <c r="AD43" s="1636"/>
      <c r="AE43" s="1636"/>
      <c r="AF43" s="1636"/>
      <c r="AG43" s="1636"/>
      <c r="AH43" s="1636">
        <v>0</v>
      </c>
    </row>
    <row s="1636" customFormat="1" customHeight="1" ht="18.75">
      <c r="A44" s="1824"/>
      <c r="B44" s="1824"/>
      <c r="C44" s="1688" t="s">
        <v>1283</v>
      </c>
      <c r="D44" s="345"/>
      <c r="E44" s="1032"/>
      <c r="F44" s="1032"/>
      <c r="G44" s="2428"/>
      <c r="H44" s="4873"/>
      <c r="I44" s="4874" t="s">
        <v>1284</v>
      </c>
      <c r="J44" s="4875"/>
      <c r="K44" s="4876"/>
      <c r="L44" s="4877"/>
      <c r="M44" s="2319"/>
      <c r="N44" s="619"/>
      <c r="O44" s="1625"/>
      <c r="P44" s="1625"/>
      <c r="Q44" s="1636"/>
      <c r="R44" s="1636"/>
      <c r="S44" s="1636"/>
      <c r="T44" s="1636"/>
      <c r="U44" s="1636"/>
      <c r="V44" s="1636"/>
      <c r="W44" s="1636"/>
      <c r="X44" s="1636"/>
      <c r="Y44" s="1636"/>
      <c r="Z44" s="1636"/>
      <c r="AA44" s="1636"/>
      <c r="AB44" s="1636"/>
      <c r="AC44" s="1636"/>
      <c r="AD44" s="1636"/>
      <c r="AE44" s="1636"/>
      <c r="AF44" s="1636"/>
      <c r="AG44" s="1636"/>
      <c r="AH44" s="1636">
        <v>0</v>
      </c>
    </row>
    <row s="1636" customFormat="1" customHeight="1" ht="18.75">
      <c r="A45" s="1824" t="s">
        <v>228</v>
      </c>
      <c r="B45" s="1824" t="s">
        <v>239</v>
      </c>
      <c r="C45" s="1688"/>
      <c r="D45" s="345"/>
      <c r="E45" s="1032"/>
      <c r="F45" s="1032"/>
      <c r="G45" s="2428" t="str">
        <f>INDEX(PT_DIFFERENTIATION_NTAR,MATCH(B45,PT_DIFFERENTIATION_NTAR_ID,0))</f>
        <v>Тарифы на тепловую энергию, поставляемую потребителям. Для потребителей в случае отсутствия дифференциации тарифов по схеме подключения. Населенный пункт Раякоски Печенгского муниципального округа Мурманской области</v>
      </c>
      <c r="H45" s="2272"/>
      <c r="I45" s="1740"/>
      <c r="J45" s="1774"/>
      <c r="K45" s="2306"/>
      <c r="L45" s="2272" t="s">
        <v>436</v>
      </c>
      <c r="M45" s="2319"/>
      <c r="N45" s="619"/>
      <c r="O45" s="1625"/>
      <c r="P45" s="1625"/>
      <c r="Q45" s="1636"/>
      <c r="R45" s="1636"/>
      <c r="S45" s="1636"/>
      <c r="T45" s="1636"/>
      <c r="U45" s="1636"/>
      <c r="V45" s="1636"/>
      <c r="W45" s="1636"/>
      <c r="X45" s="1636"/>
      <c r="Y45" s="1636"/>
      <c r="Z45" s="1636"/>
      <c r="AA45" s="1636"/>
      <c r="AB45" s="1636"/>
      <c r="AC45" s="1636"/>
      <c r="AD45" s="1636"/>
      <c r="AE45" s="1636"/>
      <c r="AF45" s="1636"/>
      <c r="AG45" s="1636"/>
      <c r="AH45" s="1636">
        <v>0</v>
      </c>
    </row>
    <row s="1636" customFormat="1" customHeight="1" ht="18.75">
      <c r="A46" s="1824"/>
      <c r="B46" s="1824"/>
      <c r="C46" s="1688" t="s">
        <v>1283</v>
      </c>
      <c r="D46" s="345"/>
      <c r="E46" s="1032"/>
      <c r="F46" s="1032"/>
      <c r="G46" s="2428"/>
      <c r="H46" s="4878"/>
      <c r="I46" s="4879" t="s">
        <v>1284</v>
      </c>
      <c r="J46" s="4880"/>
      <c r="K46" s="4881"/>
      <c r="L46" s="4882"/>
      <c r="M46" s="2319"/>
      <c r="N46" s="619"/>
      <c r="O46" s="1625"/>
      <c r="P46" s="1625"/>
      <c r="Q46" s="1636"/>
      <c r="R46" s="1636"/>
      <c r="S46" s="1636"/>
      <c r="T46" s="1636"/>
      <c r="U46" s="1636"/>
      <c r="V46" s="1636"/>
      <c r="W46" s="1636"/>
      <c r="X46" s="1636"/>
      <c r="Y46" s="1636"/>
      <c r="Z46" s="1636"/>
      <c r="AA46" s="1636"/>
      <c r="AB46" s="1636"/>
      <c r="AC46" s="1636"/>
      <c r="AD46" s="1636"/>
      <c r="AE46" s="1636"/>
      <c r="AF46" s="1636"/>
      <c r="AG46" s="1636"/>
      <c r="AH46" s="1636">
        <v>0</v>
      </c>
    </row>
    <row s="1636" customFormat="1" customHeight="1" ht="18.75">
      <c r="A47" s="1824" t="s">
        <v>228</v>
      </c>
      <c r="B47" s="1824" t="s">
        <v>244</v>
      </c>
      <c r="C47" s="1688"/>
      <c r="D47" s="345"/>
      <c r="E47" s="1032"/>
      <c r="F47" s="1032"/>
      <c r="G47" s="2428" t="str">
        <f>INDEX(PT_DIFFERENTIATION_NTAR,MATCH(B47,PT_DIFFERENTIATION_NTAR_ID,0))</f>
        <v>Тарифы на тепловую энергию, поставляемую теплоснабжающим, теплосетевым организациям, приобретающим тепловую энергию с целью компенсации потерь. Для теплоснабжающих, теплосетевых организаций, приобретающих тепловую энергию на коллекторах источника тепловой энергии (Апатитская ТЭЦ). Муниципальный округ город Кировск с подведомственной территорией Мурманской области, Муниципальный округ город Апатиты с подведомственной территорией Мурманской области</v>
      </c>
      <c r="H47" s="2272"/>
      <c r="I47" s="1740"/>
      <c r="J47" s="1774"/>
      <c r="K47" s="2306"/>
      <c r="L47" s="2272" t="s">
        <v>436</v>
      </c>
      <c r="M47" s="2319"/>
      <c r="N47" s="619"/>
      <c r="O47" s="1625"/>
      <c r="P47" s="1625"/>
      <c r="Q47" s="1636"/>
      <c r="R47" s="1636"/>
      <c r="S47" s="1636"/>
      <c r="T47" s="1636"/>
      <c r="U47" s="1636"/>
      <c r="V47" s="1636"/>
      <c r="W47" s="1636"/>
      <c r="X47" s="1636"/>
      <c r="Y47" s="1636"/>
      <c r="Z47" s="1636"/>
      <c r="AA47" s="1636"/>
      <c r="AB47" s="1636"/>
      <c r="AC47" s="1636"/>
      <c r="AD47" s="1636"/>
      <c r="AE47" s="1636"/>
      <c r="AF47" s="1636"/>
      <c r="AG47" s="1636"/>
      <c r="AH47" s="1636">
        <v>0</v>
      </c>
    </row>
    <row s="1636" customFormat="1" customHeight="1" ht="18.75">
      <c r="A48" s="1824"/>
      <c r="B48" s="1824"/>
      <c r="C48" s="1688" t="s">
        <v>1283</v>
      </c>
      <c r="D48" s="345"/>
      <c r="E48" s="1032"/>
      <c r="F48" s="1032"/>
      <c r="G48" s="2428"/>
      <c r="H48" s="4883"/>
      <c r="I48" s="4884" t="s">
        <v>1284</v>
      </c>
      <c r="J48" s="4885"/>
      <c r="K48" s="4886"/>
      <c r="L48" s="4887"/>
      <c r="M48" s="2319"/>
      <c r="N48" s="619"/>
      <c r="O48" s="1625"/>
      <c r="P48" s="1625"/>
      <c r="Q48" s="1636"/>
      <c r="R48" s="1636"/>
      <c r="S48" s="1636"/>
      <c r="T48" s="1636"/>
      <c r="U48" s="1636"/>
      <c r="V48" s="1636"/>
      <c r="W48" s="1636"/>
      <c r="X48" s="1636"/>
      <c r="Y48" s="1636"/>
      <c r="Z48" s="1636"/>
      <c r="AA48" s="1636"/>
      <c r="AB48" s="1636"/>
      <c r="AC48" s="1636"/>
      <c r="AD48" s="1636"/>
      <c r="AE48" s="1636"/>
      <c r="AF48" s="1636"/>
      <c r="AG48" s="1636"/>
      <c r="AH48" s="1636">
        <v>0</v>
      </c>
    </row>
    <row s="1636" customFormat="1" customHeight="1" ht="0.75" hidden="1">
      <c r="A49" s="1781"/>
      <c r="B49" s="1781"/>
      <c r="C49" s="370" t="s">
        <v>1289</v>
      </c>
      <c r="D49" s="2463"/>
      <c r="E49" s="2205"/>
      <c r="F49" s="2384"/>
      <c r="G49" s="401"/>
      <c r="H49" s="1501"/>
      <c r="I49" s="652"/>
      <c r="J49" s="572"/>
      <c r="K49" s="1501"/>
      <c r="L49" s="215"/>
      <c r="M49" s="2171"/>
      <c r="N49" s="335"/>
      <c r="O49" s="1625"/>
      <c r="P49" s="1625"/>
      <c r="AH49" s="1632">
        <v>0</v>
      </c>
    </row>
    <row s="1636" customFormat="1" customHeight="1" ht="45" hidden="1">
      <c r="A50" s="1781" t="s">
        <v>254</v>
      </c>
      <c r="B50" s="1781" t="s">
        <v>255</v>
      </c>
      <c r="C50" s="370"/>
      <c r="D50" s="2463"/>
      <c r="E50" s="2205"/>
      <c r="F50" s="2384" t="str">
        <f>INDEX(PT_DIFFERENTIATION_VTAR,MATCH(A50,PT_DIFFERENTIATION_VTAR_ID,0))</f>
        <v>Тарифы на теплоноситель, поставляемый теплоснабжающими организациями потребителям, другим теплоснабжающим организациям</v>
      </c>
      <c r="G50" s="2428" t="str">
        <f>INDEX(PT_DIFFERENTIATION_NTAR,MATCH(B50,PT_DIFFERENTIATION_NTAR_ID,0))</f>
        <v>Тарифы на теплоноситель, поставляемый группе потребителей "население". Муниципальный округ город Апатиты с подведомственной территорией Мурманской области, муниципальный округ город Кировск с подведомственной территорией Мурманской области</v>
      </c>
      <c r="H50" s="1863"/>
      <c r="I50" s="1740"/>
      <c r="J50" s="1774"/>
      <c r="K50" s="1866"/>
      <c r="L50" s="1863" t="s">
        <v>436</v>
      </c>
      <c r="M50" s="2171"/>
      <c r="N50" s="335"/>
      <c r="O50" s="1625"/>
      <c r="P50" s="1625"/>
      <c r="AH50" s="1632">
        <v>0</v>
      </c>
    </row>
    <row s="1636" customFormat="1" customHeight="1" ht="18.75" hidden="1">
      <c r="A51" s="1781"/>
      <c r="B51" s="1781"/>
      <c r="C51" s="370" t="s">
        <v>1283</v>
      </c>
      <c r="D51" s="2463"/>
      <c r="E51" s="2205"/>
      <c r="F51" s="2384"/>
      <c r="G51" s="2428"/>
      <c r="H51" s="1501"/>
      <c r="I51" s="652" t="s">
        <v>1284</v>
      </c>
      <c r="J51" s="572"/>
      <c r="K51" s="1501"/>
      <c r="L51" s="215"/>
      <c r="M51" s="2171"/>
      <c r="N51" s="335"/>
      <c r="O51" s="1625"/>
      <c r="P51" s="1625"/>
      <c r="AH51" s="1632">
        <v>0</v>
      </c>
    </row>
    <row s="1636" customFormat="1" customHeight="1" ht="18.75">
      <c r="A52" s="1824" t="s">
        <v>254</v>
      </c>
      <c r="B52" s="1824" t="s">
        <v>263</v>
      </c>
      <c r="C52" s="1688"/>
      <c r="D52" s="345"/>
      <c r="E52" s="1032"/>
      <c r="F52" s="1032"/>
      <c r="G52" s="2428" t="str">
        <f>INDEX(PT_DIFFERENTIATION_NTAR,MATCH(B52,PT_DIFFERENTIATION_NTAR_ID,0))</f>
        <v>Тарифы на теплоноситель, поставляемый потребителям. Муниципальный округ город Апатиты с подведомственной территорией Мурманской области, муниципальный округ город Кировск с подведомственной территорией Мурманской области</v>
      </c>
      <c r="H52" s="2272"/>
      <c r="I52" s="1740"/>
      <c r="J52" s="1774"/>
      <c r="K52" s="2306"/>
      <c r="L52" s="2272" t="s">
        <v>436</v>
      </c>
      <c r="M52" s="2319"/>
      <c r="N52" s="619"/>
      <c r="O52" s="1625"/>
      <c r="P52" s="1625"/>
      <c r="Q52" s="1636"/>
      <c r="R52" s="1636"/>
      <c r="S52" s="1636"/>
      <c r="T52" s="1636"/>
      <c r="U52" s="1636"/>
      <c r="V52" s="1636"/>
      <c r="W52" s="1636"/>
      <c r="X52" s="1636"/>
      <c r="Y52" s="1636"/>
      <c r="Z52" s="1636"/>
      <c r="AA52" s="1636"/>
      <c r="AB52" s="1636"/>
      <c r="AC52" s="1636"/>
      <c r="AD52" s="1636"/>
      <c r="AE52" s="1636"/>
      <c r="AF52" s="1636"/>
      <c r="AG52" s="1636"/>
      <c r="AH52" s="1636">
        <v>0</v>
      </c>
    </row>
    <row s="1636" customFormat="1" customHeight="1" ht="18.75">
      <c r="A53" s="1824"/>
      <c r="B53" s="1824"/>
      <c r="C53" s="1688" t="s">
        <v>1283</v>
      </c>
      <c r="D53" s="345"/>
      <c r="E53" s="1032"/>
      <c r="F53" s="1032"/>
      <c r="G53" s="2428"/>
      <c r="H53" s="4888"/>
      <c r="I53" s="4889" t="s">
        <v>1284</v>
      </c>
      <c r="J53" s="4890"/>
      <c r="K53" s="4891"/>
      <c r="L53" s="4892"/>
      <c r="M53" s="2319"/>
      <c r="N53" s="619"/>
      <c r="O53" s="1625"/>
      <c r="P53" s="1625"/>
      <c r="Q53" s="1636"/>
      <c r="R53" s="1636"/>
      <c r="S53" s="1636"/>
      <c r="T53" s="1636"/>
      <c r="U53" s="1636"/>
      <c r="V53" s="1636"/>
      <c r="W53" s="1636"/>
      <c r="X53" s="1636"/>
      <c r="Y53" s="1636"/>
      <c r="Z53" s="1636"/>
      <c r="AA53" s="1636"/>
      <c r="AB53" s="1636"/>
      <c r="AC53" s="1636"/>
      <c r="AD53" s="1636"/>
      <c r="AE53" s="1636"/>
      <c r="AF53" s="1636"/>
      <c r="AG53" s="1636"/>
      <c r="AH53" s="1636">
        <v>0</v>
      </c>
    </row>
    <row s="1636" customFormat="1" customHeight="1" ht="0.75" hidden="1">
      <c r="A54" s="1781"/>
      <c r="B54" s="1781"/>
      <c r="C54" s="370" t="s">
        <v>1289</v>
      </c>
      <c r="D54" s="2463"/>
      <c r="E54" s="2205"/>
      <c r="F54" s="2384"/>
      <c r="G54" s="401"/>
      <c r="H54" s="1501"/>
      <c r="I54" s="652"/>
      <c r="J54" s="572"/>
      <c r="K54" s="1501"/>
      <c r="L54" s="215"/>
      <c r="M54" s="2171"/>
      <c r="N54" s="335"/>
      <c r="O54" s="1625"/>
      <c r="P54" s="1625"/>
      <c r="AH54" s="1632">
        <v>0</v>
      </c>
    </row>
    <row s="1636" customFormat="1" customHeight="1" ht="45" hidden="1">
      <c r="A55" s="1781" t="s">
        <v>272</v>
      </c>
      <c r="B55" s="1781" t="s">
        <v>273</v>
      </c>
      <c r="C55" s="370"/>
      <c r="D55" s="2463"/>
      <c r="E55" s="2205"/>
      <c r="F55" s="2384" t="str">
        <f>INDEX(PT_DIFFERENTIATION_VTAR,MATCH(A55,PT_DIFFERENTIATION_VTAR_ID,0))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55" s="2428" t="str">
        <f>INDEX(PT_DIFFERENTIATION_NTAR,MATCH(B55,PT_DIFFERENTIATION_NTAR_ID,0))</f>
        <v>Тарифы на горячую воду в открытых системах теплоснабжения (горячее водоснабжение), поставляемую группе потребителей "население". Муниципальный округ город Апатиты с подведомственной территорией Мурманской области.</v>
      </c>
      <c r="H55" s="1863"/>
      <c r="I55" s="1740"/>
      <c r="J55" s="1774"/>
      <c r="K55" s="1866"/>
      <c r="L55" s="1863" t="s">
        <v>436</v>
      </c>
      <c r="M55" s="2171"/>
      <c r="N55" s="335"/>
      <c r="O55" s="1625"/>
      <c r="P55" s="1625"/>
      <c r="AH55" s="1632">
        <v>0</v>
      </c>
    </row>
    <row s="1636" customFormat="1" customHeight="1" ht="18.75" hidden="1">
      <c r="A56" s="1781"/>
      <c r="B56" s="1781"/>
      <c r="C56" s="370" t="s">
        <v>1283</v>
      </c>
      <c r="D56" s="2463"/>
      <c r="E56" s="2205"/>
      <c r="F56" s="2384"/>
      <c r="G56" s="2428"/>
      <c r="H56" s="1501"/>
      <c r="I56" s="652" t="s">
        <v>1284</v>
      </c>
      <c r="J56" s="572"/>
      <c r="K56" s="1501"/>
      <c r="L56" s="215"/>
      <c r="M56" s="2171"/>
      <c r="N56" s="335"/>
      <c r="O56" s="1625"/>
      <c r="P56" s="1625"/>
      <c r="AH56" s="1632">
        <v>0</v>
      </c>
    </row>
    <row s="1636" customFormat="1" customHeight="1" ht="18.75">
      <c r="A57" s="1824" t="s">
        <v>272</v>
      </c>
      <c r="B57" s="1824" t="s">
        <v>278</v>
      </c>
      <c r="C57" s="1688"/>
      <c r="D57" s="345"/>
      <c r="E57" s="1032"/>
      <c r="F57" s="1032"/>
      <c r="G57" s="2428" t="str">
        <f>INDEX(PT_DIFFERENTIATION_NTAR,MATCH(B57,PT_DIFFERENTIATION_NTAR_ID,0))</f>
        <v>Тарифы на горячую воду в открытых системах теплоснабжения (горячее водоснабжение), поставляемую группе потребителей "население". Муниципальный округ город Кировск с подведомственной территорией Мурманской области.</v>
      </c>
      <c r="H57" s="2272"/>
      <c r="I57" s="1740"/>
      <c r="J57" s="1774"/>
      <c r="K57" s="2306"/>
      <c r="L57" s="2272" t="s">
        <v>436</v>
      </c>
      <c r="M57" s="2319"/>
      <c r="N57" s="619"/>
      <c r="O57" s="1625"/>
      <c r="P57" s="1625"/>
      <c r="Q57" s="1636"/>
      <c r="R57" s="1636"/>
      <c r="S57" s="1636"/>
      <c r="T57" s="1636"/>
      <c r="U57" s="1636"/>
      <c r="V57" s="1636"/>
      <c r="W57" s="1636"/>
      <c r="X57" s="1636"/>
      <c r="Y57" s="1636"/>
      <c r="Z57" s="1636"/>
      <c r="AA57" s="1636"/>
      <c r="AB57" s="1636"/>
      <c r="AC57" s="1636"/>
      <c r="AD57" s="1636"/>
      <c r="AE57" s="1636"/>
      <c r="AF57" s="1636"/>
      <c r="AG57" s="1636"/>
      <c r="AH57" s="1636">
        <v>0</v>
      </c>
    </row>
    <row s="1636" customFormat="1" customHeight="1" ht="18.75">
      <c r="A58" s="1824"/>
      <c r="B58" s="1824"/>
      <c r="C58" s="1688" t="s">
        <v>1283</v>
      </c>
      <c r="D58" s="345"/>
      <c r="E58" s="1032"/>
      <c r="F58" s="1032"/>
      <c r="G58" s="2428"/>
      <c r="H58" s="4893"/>
      <c r="I58" s="4894" t="s">
        <v>1284</v>
      </c>
      <c r="J58" s="4895"/>
      <c r="K58" s="4896"/>
      <c r="L58" s="4897"/>
      <c r="M58" s="2319"/>
      <c r="N58" s="619"/>
      <c r="O58" s="1625"/>
      <c r="P58" s="1625"/>
      <c r="Q58" s="1636"/>
      <c r="R58" s="1636"/>
      <c r="S58" s="1636"/>
      <c r="T58" s="1636"/>
      <c r="U58" s="1636"/>
      <c r="V58" s="1636"/>
      <c r="W58" s="1636"/>
      <c r="X58" s="1636"/>
      <c r="Y58" s="1636"/>
      <c r="Z58" s="1636"/>
      <c r="AA58" s="1636"/>
      <c r="AB58" s="1636"/>
      <c r="AC58" s="1636"/>
      <c r="AD58" s="1636"/>
      <c r="AE58" s="1636"/>
      <c r="AF58" s="1636"/>
      <c r="AG58" s="1636"/>
      <c r="AH58" s="1636">
        <v>0</v>
      </c>
    </row>
    <row s="1636" customFormat="1" customHeight="1" ht="18.75">
      <c r="A59" s="1824" t="s">
        <v>272</v>
      </c>
      <c r="B59" s="1824" t="s">
        <v>283</v>
      </c>
      <c r="C59" s="1688"/>
      <c r="D59" s="345"/>
      <c r="E59" s="1032"/>
      <c r="F59" s="1032"/>
      <c r="G59" s="2428" t="str">
        <f>INDEX(PT_DIFFERENTIATION_NTAR,MATCH(B59,PT_DIFFERENTIATION_NTAR_ID,0))</f>
        <v>Тарифы на горячую воду в открытых системах теплоснабжения (горячее водоснабжение), поставляемую потребителям. Муниципальный округ город Апатиты с подведомственной территорией Мурманской области. Для потребителей на коллекторах источника тепловой энергии Апатитская ТЭЦ</v>
      </c>
      <c r="H59" s="2272"/>
      <c r="I59" s="1740"/>
      <c r="J59" s="1774"/>
      <c r="K59" s="2306"/>
      <c r="L59" s="2272" t="s">
        <v>436</v>
      </c>
      <c r="M59" s="2319"/>
      <c r="N59" s="619"/>
      <c r="O59" s="1625"/>
      <c r="P59" s="1625"/>
      <c r="Q59" s="1636"/>
      <c r="R59" s="1636"/>
      <c r="S59" s="1636"/>
      <c r="T59" s="1636"/>
      <c r="U59" s="1636"/>
      <c r="V59" s="1636"/>
      <c r="W59" s="1636"/>
      <c r="X59" s="1636"/>
      <c r="Y59" s="1636"/>
      <c r="Z59" s="1636"/>
      <c r="AA59" s="1636"/>
      <c r="AB59" s="1636"/>
      <c r="AC59" s="1636"/>
      <c r="AD59" s="1636"/>
      <c r="AE59" s="1636"/>
      <c r="AF59" s="1636"/>
      <c r="AG59" s="1636"/>
      <c r="AH59" s="1636">
        <v>0</v>
      </c>
    </row>
    <row s="1636" customFormat="1" customHeight="1" ht="18.75">
      <c r="A60" s="1824"/>
      <c r="B60" s="1824"/>
      <c r="C60" s="1688" t="s">
        <v>1283</v>
      </c>
      <c r="D60" s="345"/>
      <c r="E60" s="1032"/>
      <c r="F60" s="1032"/>
      <c r="G60" s="2428"/>
      <c r="H60" s="4898"/>
      <c r="I60" s="4899" t="s">
        <v>1284</v>
      </c>
      <c r="J60" s="4900"/>
      <c r="K60" s="4901"/>
      <c r="L60" s="4902"/>
      <c r="M60" s="2319"/>
      <c r="N60" s="619"/>
      <c r="O60" s="1625"/>
      <c r="P60" s="1625"/>
      <c r="Q60" s="1636"/>
      <c r="R60" s="1636"/>
      <c r="S60" s="1636"/>
      <c r="T60" s="1636"/>
      <c r="U60" s="1636"/>
      <c r="V60" s="1636"/>
      <c r="W60" s="1636"/>
      <c r="X60" s="1636"/>
      <c r="Y60" s="1636"/>
      <c r="Z60" s="1636"/>
      <c r="AA60" s="1636"/>
      <c r="AB60" s="1636"/>
      <c r="AC60" s="1636"/>
      <c r="AD60" s="1636"/>
      <c r="AE60" s="1636"/>
      <c r="AF60" s="1636"/>
      <c r="AG60" s="1636"/>
      <c r="AH60" s="1636">
        <v>0</v>
      </c>
    </row>
    <row s="1636" customFormat="1" customHeight="1" ht="18.75">
      <c r="A61" s="1824" t="s">
        <v>272</v>
      </c>
      <c r="B61" s="1824" t="s">
        <v>288</v>
      </c>
      <c r="C61" s="1688"/>
      <c r="D61" s="345"/>
      <c r="E61" s="1032"/>
      <c r="F61" s="1032"/>
      <c r="G61" s="2428" t="str">
        <f>INDEX(PT_DIFFERENTIATION_NTAR,MATCH(B61,PT_DIFFERENTIATION_NTAR_ID,0))</f>
        <v>Тарифы на горячую воду в открытых системах теплоснабжения (горячее водоснабжение), поставляемую потребителям. Муниципальный округ город Апатиты с подведомственной территорией Мурманской области. Для потребителей, подключенных к тепловым сетям ПАО "ТГК-1"</v>
      </c>
      <c r="H61" s="2272"/>
      <c r="I61" s="1740"/>
      <c r="J61" s="1774"/>
      <c r="K61" s="2306"/>
      <c r="L61" s="2272" t="s">
        <v>436</v>
      </c>
      <c r="M61" s="2319"/>
      <c r="N61" s="619"/>
      <c r="O61" s="1625"/>
      <c r="P61" s="1625"/>
      <c r="Q61" s="1636"/>
      <c r="R61" s="1636"/>
      <c r="S61" s="1636"/>
      <c r="T61" s="1636"/>
      <c r="U61" s="1636"/>
      <c r="V61" s="1636"/>
      <c r="W61" s="1636"/>
      <c r="X61" s="1636"/>
      <c r="Y61" s="1636"/>
      <c r="Z61" s="1636"/>
      <c r="AA61" s="1636"/>
      <c r="AB61" s="1636"/>
      <c r="AC61" s="1636"/>
      <c r="AD61" s="1636"/>
      <c r="AE61" s="1636"/>
      <c r="AF61" s="1636"/>
      <c r="AG61" s="1636"/>
      <c r="AH61" s="1636">
        <v>0</v>
      </c>
    </row>
    <row s="1636" customFormat="1" customHeight="1" ht="18.75">
      <c r="A62" s="1824"/>
      <c r="B62" s="1824"/>
      <c r="C62" s="1688" t="s">
        <v>1283</v>
      </c>
      <c r="D62" s="345"/>
      <c r="E62" s="1032"/>
      <c r="F62" s="1032"/>
      <c r="G62" s="2428"/>
      <c r="H62" s="4903"/>
      <c r="I62" s="4904" t="s">
        <v>1284</v>
      </c>
      <c r="J62" s="4905"/>
      <c r="K62" s="4906"/>
      <c r="L62" s="4907"/>
      <c r="M62" s="2319"/>
      <c r="N62" s="619"/>
      <c r="O62" s="1625"/>
      <c r="P62" s="1625"/>
      <c r="Q62" s="1636"/>
      <c r="R62" s="1636"/>
      <c r="S62" s="1636"/>
      <c r="T62" s="1636"/>
      <c r="U62" s="1636"/>
      <c r="V62" s="1636"/>
      <c r="W62" s="1636"/>
      <c r="X62" s="1636"/>
      <c r="Y62" s="1636"/>
      <c r="Z62" s="1636"/>
      <c r="AA62" s="1636"/>
      <c r="AB62" s="1636"/>
      <c r="AC62" s="1636"/>
      <c r="AD62" s="1636"/>
      <c r="AE62" s="1636"/>
      <c r="AF62" s="1636"/>
      <c r="AG62" s="1636"/>
      <c r="AH62" s="1636">
        <v>0</v>
      </c>
    </row>
    <row s="1636" customFormat="1" customHeight="1" ht="18.75">
      <c r="A63" s="1824" t="s">
        <v>272</v>
      </c>
      <c r="B63" s="1824" t="s">
        <v>293</v>
      </c>
      <c r="C63" s="1688"/>
      <c r="D63" s="345"/>
      <c r="E63" s="1032"/>
      <c r="F63" s="1032"/>
      <c r="G63" s="2428" t="str">
        <f>INDEX(PT_DIFFERENTIATION_NTAR,MATCH(B63,PT_DIFFERENTIATION_NTAR_ID,0))</f>
        <v>Тарифы на горячую воду в открытых системах теплоснабжения (горячее водоснабжение), поставляемую потребителям. Муниципальный округ город Апатиты с подведомственной территорией Мурманской области. Для потребителей, подключенных к тепловым сетям АО "Апатитыэнерго"</v>
      </c>
      <c r="H63" s="2272"/>
      <c r="I63" s="1740"/>
      <c r="J63" s="1774"/>
      <c r="K63" s="2306"/>
      <c r="L63" s="2272" t="s">
        <v>436</v>
      </c>
      <c r="M63" s="2319"/>
      <c r="N63" s="619"/>
      <c r="O63" s="1625"/>
      <c r="P63" s="1625"/>
      <c r="Q63" s="1636"/>
      <c r="R63" s="1636"/>
      <c r="S63" s="1636"/>
      <c r="T63" s="1636"/>
      <c r="U63" s="1636"/>
      <c r="V63" s="1636"/>
      <c r="W63" s="1636"/>
      <c r="X63" s="1636"/>
      <c r="Y63" s="1636"/>
      <c r="Z63" s="1636"/>
      <c r="AA63" s="1636"/>
      <c r="AB63" s="1636"/>
      <c r="AC63" s="1636"/>
      <c r="AD63" s="1636"/>
      <c r="AE63" s="1636"/>
      <c r="AF63" s="1636"/>
      <c r="AG63" s="1636"/>
      <c r="AH63" s="1636">
        <v>0</v>
      </c>
    </row>
    <row s="1636" customFormat="1" customHeight="1" ht="18.75">
      <c r="A64" s="1824"/>
      <c r="B64" s="1824"/>
      <c r="C64" s="1688" t="s">
        <v>1283</v>
      </c>
      <c r="D64" s="345"/>
      <c r="E64" s="1032"/>
      <c r="F64" s="1032"/>
      <c r="G64" s="2428"/>
      <c r="H64" s="4908"/>
      <c r="I64" s="4909" t="s">
        <v>1284</v>
      </c>
      <c r="J64" s="4910"/>
      <c r="K64" s="4911"/>
      <c r="L64" s="4912"/>
      <c r="M64" s="2319"/>
      <c r="N64" s="619"/>
      <c r="O64" s="1625"/>
      <c r="P64" s="1625"/>
      <c r="Q64" s="1636"/>
      <c r="R64" s="1636"/>
      <c r="S64" s="1636"/>
      <c r="T64" s="1636"/>
      <c r="U64" s="1636"/>
      <c r="V64" s="1636"/>
      <c r="W64" s="1636"/>
      <c r="X64" s="1636"/>
      <c r="Y64" s="1636"/>
      <c r="Z64" s="1636"/>
      <c r="AA64" s="1636"/>
      <c r="AB64" s="1636"/>
      <c r="AC64" s="1636"/>
      <c r="AD64" s="1636"/>
      <c r="AE64" s="1636"/>
      <c r="AF64" s="1636"/>
      <c r="AG64" s="1636"/>
      <c r="AH64" s="1636">
        <v>0</v>
      </c>
    </row>
    <row s="1636" customFormat="1" customHeight="1" ht="18.75">
      <c r="A65" s="1824" t="s">
        <v>272</v>
      </c>
      <c r="B65" s="1824" t="s">
        <v>298</v>
      </c>
      <c r="C65" s="1688"/>
      <c r="D65" s="345"/>
      <c r="E65" s="1032"/>
      <c r="F65" s="1032"/>
      <c r="G65" s="2428" t="str">
        <f>INDEX(PT_DIFFERENTIATION_NTAR,MATCH(B65,PT_DIFFERENTIATION_NTAR_ID,0))</f>
        <v>Тарифы на горячую воду в открытых системах теплоснабжения (горячее водоснабжение), поставляемую потребителям. Муниципальный округ город Кировск с подведомственной территорией Мурманской области. Для потребителей в случае отсутствия дифференциации тарифов по схеме подключения</v>
      </c>
      <c r="H65" s="2272"/>
      <c r="I65" s="1740"/>
      <c r="J65" s="1774"/>
      <c r="K65" s="2306"/>
      <c r="L65" s="2272" t="s">
        <v>436</v>
      </c>
      <c r="M65" s="2319"/>
      <c r="N65" s="619"/>
      <c r="O65" s="1625"/>
      <c r="P65" s="1625"/>
      <c r="Q65" s="1636"/>
      <c r="R65" s="1636"/>
      <c r="S65" s="1636"/>
      <c r="T65" s="1636"/>
      <c r="U65" s="1636"/>
      <c r="V65" s="1636"/>
      <c r="W65" s="1636"/>
      <c r="X65" s="1636"/>
      <c r="Y65" s="1636"/>
      <c r="Z65" s="1636"/>
      <c r="AA65" s="1636"/>
      <c r="AB65" s="1636"/>
      <c r="AC65" s="1636"/>
      <c r="AD65" s="1636"/>
      <c r="AE65" s="1636"/>
      <c r="AF65" s="1636"/>
      <c r="AG65" s="1636"/>
      <c r="AH65" s="1636">
        <v>0</v>
      </c>
    </row>
    <row s="1636" customFormat="1" customHeight="1" ht="18.75">
      <c r="A66" s="1824"/>
      <c r="B66" s="1824"/>
      <c r="C66" s="1688" t="s">
        <v>1283</v>
      </c>
      <c r="D66" s="345"/>
      <c r="E66" s="1032"/>
      <c r="F66" s="1032"/>
      <c r="G66" s="2428"/>
      <c r="H66" s="4913"/>
      <c r="I66" s="4914" t="s">
        <v>1284</v>
      </c>
      <c r="J66" s="4915"/>
      <c r="K66" s="4916"/>
      <c r="L66" s="4917"/>
      <c r="M66" s="2319"/>
      <c r="N66" s="619"/>
      <c r="O66" s="1625"/>
      <c r="P66" s="1625"/>
      <c r="Q66" s="1636"/>
      <c r="R66" s="1636"/>
      <c r="S66" s="1636"/>
      <c r="T66" s="1636"/>
      <c r="U66" s="1636"/>
      <c r="V66" s="1636"/>
      <c r="W66" s="1636"/>
      <c r="X66" s="1636"/>
      <c r="Y66" s="1636"/>
      <c r="Z66" s="1636"/>
      <c r="AA66" s="1636"/>
      <c r="AB66" s="1636"/>
      <c r="AC66" s="1636"/>
      <c r="AD66" s="1636"/>
      <c r="AE66" s="1636"/>
      <c r="AF66" s="1636"/>
      <c r="AG66" s="1636"/>
      <c r="AH66" s="1636">
        <v>0</v>
      </c>
    </row>
    <row s="1636" customFormat="1" customHeight="1" ht="0.75" hidden="1">
      <c r="A67" s="1781"/>
      <c r="B67" s="1781"/>
      <c r="C67" s="370" t="s">
        <v>1289</v>
      </c>
      <c r="D67" s="2463"/>
      <c r="E67" s="2205"/>
      <c r="F67" s="2384"/>
      <c r="G67" s="401"/>
      <c r="H67" s="1501"/>
      <c r="I67" s="652"/>
      <c r="J67" s="572"/>
      <c r="K67" s="1501"/>
      <c r="L67" s="215"/>
      <c r="M67" s="2171"/>
      <c r="N67" s="335"/>
      <c r="O67" s="1625"/>
      <c r="P67" s="1625"/>
      <c r="AH67" s="1632">
        <v>0</v>
      </c>
    </row>
    <row s="1636" customFormat="1" customHeight="1" ht="18.75" hidden="1">
      <c r="A68" s="1781" t="s">
        <v>303</v>
      </c>
      <c r="B68" s="1781" t="s">
        <v>304</v>
      </c>
      <c r="C68" s="370"/>
      <c r="D68" s="2463"/>
      <c r="E68" s="2205"/>
      <c r="F68" s="2384" t="str">
        <f>INDEX(PT_DIFFERENTIATION_VTAR,MATCH(A68,PT_DIFFERENTIATION_VTAR_ID,0))</f>
        <v>Тарифы на услуги по передаче тепловой энергии</v>
      </c>
      <c r="G68" s="2428" t="str">
        <f>INDEX(PT_DIFFERENTIATION_NTAR,MATCH(B68,PT_DIFFERENTIATION_NTAR_ID,0))</f>
        <v/>
      </c>
      <c r="H68" s="1863"/>
      <c r="I68" s="1740"/>
      <c r="J68" s="1774"/>
      <c r="K68" s="1866"/>
      <c r="L68" s="1863" t="s">
        <v>436</v>
      </c>
      <c r="M68" s="2171"/>
      <c r="N68" s="335"/>
      <c r="O68" s="1625"/>
      <c r="P68" s="1625"/>
      <c r="AH68" s="1632">
        <v>0</v>
      </c>
    </row>
    <row s="1636" customFormat="1" customHeight="1" ht="18.75" hidden="1">
      <c r="A69" s="1781"/>
      <c r="B69" s="1781"/>
      <c r="C69" s="370" t="s">
        <v>1283</v>
      </c>
      <c r="D69" s="2463"/>
      <c r="E69" s="2205"/>
      <c r="F69" s="2384"/>
      <c r="G69" s="2428"/>
      <c r="H69" s="1501"/>
      <c r="I69" s="652" t="s">
        <v>1284</v>
      </c>
      <c r="J69" s="572"/>
      <c r="K69" s="1501"/>
      <c r="L69" s="215"/>
      <c r="M69" s="2171"/>
      <c r="N69" s="335"/>
      <c r="O69" s="1625"/>
      <c r="P69" s="1625"/>
      <c r="AH69" s="1632">
        <v>0</v>
      </c>
    </row>
    <row s="1636" customFormat="1" customHeight="1" ht="0.75" hidden="1">
      <c r="A70" s="1781"/>
      <c r="B70" s="1781"/>
      <c r="C70" s="370" t="s">
        <v>1289</v>
      </c>
      <c r="D70" s="2463"/>
      <c r="E70" s="2205"/>
      <c r="F70" s="2384"/>
      <c r="G70" s="401"/>
      <c r="H70" s="1501"/>
      <c r="I70" s="652"/>
      <c r="J70" s="572"/>
      <c r="K70" s="1501"/>
      <c r="L70" s="215"/>
      <c r="M70" s="2171"/>
      <c r="N70" s="335"/>
      <c r="O70" s="1625"/>
      <c r="P70" s="1625"/>
      <c r="AH70" s="1632">
        <v>0</v>
      </c>
    </row>
    <row s="1636" customFormat="1" customHeight="1" ht="18.75" hidden="1">
      <c r="A71" s="1781" t="s">
        <v>309</v>
      </c>
      <c r="B71" s="1781" t="s">
        <v>310</v>
      </c>
      <c r="C71" s="370"/>
      <c r="D71" s="2463"/>
      <c r="E71" s="2205"/>
      <c r="F71" s="2384" t="str">
        <f>INDEX(PT_DIFFERENTIATION_VTAR,MATCH(A71,PT_DIFFERENTIATION_VTAR_ID,0))</f>
        <v>Тарифы на услуги по передаче теплоносителя</v>
      </c>
      <c r="G71" s="2428" t="str">
        <f>INDEX(PT_DIFFERENTIATION_NTAR,MATCH(B71,PT_DIFFERENTIATION_NTAR_ID,0))</f>
        <v/>
      </c>
      <c r="H71" s="1863"/>
      <c r="I71" s="1740"/>
      <c r="J71" s="1774"/>
      <c r="K71" s="1866"/>
      <c r="L71" s="1863" t="s">
        <v>436</v>
      </c>
      <c r="M71" s="2171"/>
      <c r="N71" s="335"/>
      <c r="O71" s="1625"/>
      <c r="P71" s="1625"/>
      <c r="AH71" s="1632">
        <v>0</v>
      </c>
    </row>
    <row s="1636" customFormat="1" customHeight="1" ht="18.75" hidden="1">
      <c r="A72" s="1781"/>
      <c r="B72" s="1781"/>
      <c r="C72" s="370" t="s">
        <v>1283</v>
      </c>
      <c r="D72" s="2463"/>
      <c r="E72" s="2205"/>
      <c r="F72" s="2384"/>
      <c r="G72" s="2428"/>
      <c r="H72" s="1501"/>
      <c r="I72" s="652" t="s">
        <v>1284</v>
      </c>
      <c r="J72" s="572"/>
      <c r="K72" s="1501"/>
      <c r="L72" s="215"/>
      <c r="M72" s="2171"/>
      <c r="N72" s="335"/>
      <c r="O72" s="1625"/>
      <c r="P72" s="1625"/>
      <c r="AH72" s="1632">
        <v>0</v>
      </c>
    </row>
    <row s="1636" customFormat="1" customHeight="1" ht="0.75" hidden="1">
      <c r="A73" s="1781"/>
      <c r="B73" s="1781"/>
      <c r="C73" s="370" t="s">
        <v>1289</v>
      </c>
      <c r="D73" s="2463"/>
      <c r="E73" s="2205"/>
      <c r="F73" s="2384"/>
      <c r="G73" s="401"/>
      <c r="H73" s="1501"/>
      <c r="I73" s="652"/>
      <c r="J73" s="572"/>
      <c r="K73" s="1501"/>
      <c r="L73" s="215"/>
      <c r="M73" s="2171"/>
      <c r="N73" s="335"/>
      <c r="O73" s="1625"/>
      <c r="P73" s="1625"/>
      <c r="AH73" s="1632">
        <v>0</v>
      </c>
    </row>
    <row s="1636" customFormat="1" customHeight="1" ht="18.75" hidden="1">
      <c r="A74" s="1781" t="s">
        <v>317</v>
      </c>
      <c r="B74" s="1781" t="s">
        <v>318</v>
      </c>
      <c r="C74" s="370"/>
      <c r="D74" s="2463"/>
      <c r="E74" s="2205"/>
      <c r="F74" s="2384" t="str">
        <f>INDEX(PT_DIFFERENTIATION_VTAR,MATCH(A74,PT_DIFFERENTIATION_VTAR_ID,0))</f>
        <v>Плата за услуги по поддержанию резервной тепловой мощности при отсутствии потребления тепловой энергии</v>
      </c>
      <c r="G74" s="2428" t="str">
        <f>INDEX(PT_DIFFERENTIATION_NTAR,MATCH(B74,PT_DIFFERENTIATION_NTAR_ID,0))</f>
        <v>Плата за услуги по поддержанию резервной тепловой мощности. </v>
      </c>
      <c r="H74" s="1863"/>
      <c r="I74" s="1740"/>
      <c r="J74" s="1774"/>
      <c r="K74" s="1866"/>
      <c r="L74" s="1863" t="s">
        <v>436</v>
      </c>
      <c r="M74" s="2171"/>
      <c r="N74" s="335"/>
      <c r="O74" s="1625"/>
      <c r="P74" s="1625"/>
      <c r="AH74" s="1632">
        <v>0</v>
      </c>
    </row>
    <row s="1636" customFormat="1" customHeight="1" ht="18.75" hidden="1">
      <c r="A75" s="1781"/>
      <c r="B75" s="1781"/>
      <c r="C75" s="370" t="s">
        <v>1283</v>
      </c>
      <c r="D75" s="2463"/>
      <c r="E75" s="2205"/>
      <c r="F75" s="2384"/>
      <c r="G75" s="2428"/>
      <c r="H75" s="1501"/>
      <c r="I75" s="652" t="s">
        <v>1284</v>
      </c>
      <c r="J75" s="572"/>
      <c r="K75" s="1501"/>
      <c r="L75" s="215"/>
      <c r="M75" s="2171"/>
      <c r="N75" s="335"/>
      <c r="O75" s="1625"/>
      <c r="P75" s="1625"/>
      <c r="AH75" s="1632">
        <v>0</v>
      </c>
    </row>
    <row s="1636" customFormat="1" customHeight="1" ht="0.75" hidden="1">
      <c r="A76" s="1781"/>
      <c r="B76" s="1781"/>
      <c r="C76" s="370" t="s">
        <v>1289</v>
      </c>
      <c r="D76" s="2463"/>
      <c r="E76" s="2205"/>
      <c r="F76" s="2384"/>
      <c r="G76" s="401"/>
      <c r="H76" s="1501"/>
      <c r="I76" s="652"/>
      <c r="J76" s="572"/>
      <c r="K76" s="1501"/>
      <c r="L76" s="215"/>
      <c r="M76" s="2171"/>
      <c r="N76" s="335"/>
      <c r="O76" s="1625"/>
      <c r="P76" s="1625"/>
      <c r="AH76" s="1632">
        <v>0</v>
      </c>
    </row>
    <row s="1636" customFormat="1" customHeight="1" ht="18.75" hidden="1">
      <c r="A77" s="1781" t="s">
        <v>329</v>
      </c>
      <c r="B77" s="1781" t="s">
        <v>330</v>
      </c>
      <c r="C77" s="370"/>
      <c r="D77" s="2463"/>
      <c r="E77" s="2205"/>
      <c r="F77" s="2384" t="str">
        <f>INDEX(PT_DIFFERENTIATION_VTAR,MATCH(A77,PT_DIFFERENTIATION_VTAR_ID,0))</f>
        <v>Плата за подключение (технологическое присоединение) к системе теплоснабжения</v>
      </c>
      <c r="G77" s="2428" t="str">
        <f>INDEX(PT_DIFFERENTIATION_NTAR,MATCH(B77,PT_DIFFERENTIATION_NTAR_ID,0))</f>
        <v/>
      </c>
      <c r="H77" s="1863"/>
      <c r="I77" s="1740"/>
      <c r="J77" s="1774"/>
      <c r="K77" s="1866"/>
      <c r="L77" s="1863" t="s">
        <v>436</v>
      </c>
      <c r="M77" s="2171"/>
      <c r="N77" s="335"/>
      <c r="O77" s="1625"/>
      <c r="P77" s="1625"/>
      <c r="AH77" s="1632">
        <v>0</v>
      </c>
    </row>
    <row s="1636" customFormat="1" customHeight="1" ht="18.75" hidden="1">
      <c r="A78" s="1781"/>
      <c r="B78" s="1781"/>
      <c r="C78" s="370" t="s">
        <v>1283</v>
      </c>
      <c r="D78" s="2463"/>
      <c r="E78" s="2205"/>
      <c r="F78" s="2384"/>
      <c r="G78" s="2428"/>
      <c r="H78" s="1501"/>
      <c r="I78" s="652" t="s">
        <v>1284</v>
      </c>
      <c r="J78" s="572"/>
      <c r="K78" s="1501"/>
      <c r="L78" s="215"/>
      <c r="M78" s="2171"/>
      <c r="N78" s="335"/>
      <c r="O78" s="1625"/>
      <c r="P78" s="1625"/>
      <c r="AH78" s="1632">
        <v>0</v>
      </c>
    </row>
    <row s="1636" customFormat="1" customHeight="1" ht="0.75" hidden="1">
      <c r="A79" s="1781"/>
      <c r="B79" s="1781"/>
      <c r="C79" s="370" t="s">
        <v>1289</v>
      </c>
      <c r="D79" s="2463"/>
      <c r="E79" s="2205"/>
      <c r="F79" s="2384"/>
      <c r="G79" s="401"/>
      <c r="H79" s="1501"/>
      <c r="I79" s="652"/>
      <c r="J79" s="572"/>
      <c r="K79" s="1501"/>
      <c r="L79" s="215"/>
      <c r="M79" s="2171"/>
      <c r="N79" s="335"/>
      <c r="O79" s="1625"/>
      <c r="P79" s="1625"/>
      <c r="AH79" s="1632">
        <v>0</v>
      </c>
    </row>
    <row s="1636" customFormat="1" customHeight="1" ht="18.75" hidden="1">
      <c r="A80" s="1781" t="s">
        <v>335</v>
      </c>
      <c r="B80" s="1781" t="s">
        <v>336</v>
      </c>
      <c r="C80" s="370"/>
      <c r="D80" s="2463"/>
      <c r="E80" s="2205"/>
      <c r="F80" s="2384" t="str">
        <f>INDEX(PT_DIFFERENTIATION_VTAR,MATCH(A80,PT_DIFFERENTIATION_VTAR_ID,0))</f>
        <v>Плата за подключение (технологическое присоединение) к системе теплоснабжения (индивидуальная)</v>
      </c>
      <c r="G80" s="2428" t="str">
        <f>INDEX(PT_DIFFERENTIATION_NTAR,MATCH(B80,PT_DIFFERENTIATION_NTAR_ID,0))</f>
        <v/>
      </c>
      <c r="H80" s="1990"/>
      <c r="I80" s="1740"/>
      <c r="J80" s="1774"/>
      <c r="K80" s="1866"/>
      <c r="L80" s="1990" t="s">
        <v>436</v>
      </c>
      <c r="M80" s="2171"/>
      <c r="N80" s="335"/>
      <c r="O80" s="1625"/>
      <c r="P80" s="1625"/>
      <c r="AH80" s="1632">
        <v>0</v>
      </c>
    </row>
    <row s="1636" customFormat="1" customHeight="1" ht="18.75" hidden="1">
      <c r="A81" s="1781"/>
      <c r="B81" s="1781"/>
      <c r="C81" s="370" t="s">
        <v>1283</v>
      </c>
      <c r="D81" s="2463"/>
      <c r="E81" s="2205"/>
      <c r="F81" s="2384"/>
      <c r="G81" s="2428"/>
      <c r="H81" s="1501"/>
      <c r="I81" s="652" t="s">
        <v>1284</v>
      </c>
      <c r="J81" s="572"/>
      <c r="K81" s="1501"/>
      <c r="L81" s="215"/>
      <c r="M81" s="2171"/>
      <c r="N81" s="335"/>
      <c r="O81" s="1625"/>
      <c r="P81" s="1625"/>
      <c r="AH81" s="1632">
        <v>0</v>
      </c>
    </row>
    <row s="1636" customFormat="1" customHeight="1" ht="0.75" hidden="1">
      <c r="A82" s="1781"/>
      <c r="B82" s="1781"/>
      <c r="C82" s="370" t="s">
        <v>1289</v>
      </c>
      <c r="D82" s="2463"/>
      <c r="E82" s="2205"/>
      <c r="F82" s="2384"/>
      <c r="G82" s="401"/>
      <c r="H82" s="1501"/>
      <c r="I82" s="652"/>
      <c r="J82" s="572"/>
      <c r="K82" s="1501"/>
      <c r="L82" s="215"/>
      <c r="M82" s="2171"/>
      <c r="N82" s="335"/>
      <c r="O82" s="1625"/>
      <c r="P82" s="1625"/>
      <c r="AH82" s="1632">
        <v>0</v>
      </c>
    </row>
    <row s="1636" customFormat="1" customHeight="1" ht="18.75" hidden="1">
      <c r="A83" s="1781" t="s">
        <v>355</v>
      </c>
      <c r="B83" s="1781" t="s">
        <v>356</v>
      </c>
      <c r="C83" s="370"/>
      <c r="D83" s="2463"/>
      <c r="E83" s="2205"/>
      <c r="F83" s="2384" t="str">
        <f>INDEX(PT_DIFFERENTIATION_VTAR,MATCH(A83,PT_DIFFERENTIATION_VTAR_ID,0))</f>
        <v>Тариф на питьевую воду (питьевое водоснабжение)</v>
      </c>
      <c r="G83" s="2428" t="str">
        <f>INDEX(PT_DIFFERENTIATION_NTAR,MATCH(B83,PT_DIFFERENTIATION_NTAR_ID,0))</f>
        <v/>
      </c>
      <c r="H83" s="1863"/>
      <c r="I83" s="1740"/>
      <c r="J83" s="1774"/>
      <c r="K83" s="1866"/>
      <c r="L83" s="1863" t="s">
        <v>436</v>
      </c>
      <c r="M83" s="2171"/>
      <c r="N83" s="335"/>
      <c r="O83" s="1625"/>
      <c r="P83" s="1625"/>
      <c r="AH83" s="1632">
        <v>0</v>
      </c>
    </row>
    <row s="1636" customFormat="1" customHeight="1" ht="18.75" hidden="1">
      <c r="A84" s="1781"/>
      <c r="B84" s="1781"/>
      <c r="C84" s="370" t="s">
        <v>1283</v>
      </c>
      <c r="D84" s="2463"/>
      <c r="E84" s="2205"/>
      <c r="F84" s="2384"/>
      <c r="G84" s="2428"/>
      <c r="H84" s="1501"/>
      <c r="I84" s="652" t="s">
        <v>1284</v>
      </c>
      <c r="J84" s="572"/>
      <c r="K84" s="1501"/>
      <c r="L84" s="215"/>
      <c r="M84" s="2171"/>
      <c r="N84" s="335"/>
      <c r="O84" s="1625"/>
      <c r="P84" s="1625"/>
      <c r="AH84" s="1632">
        <v>0</v>
      </c>
    </row>
    <row s="1636" customFormat="1" customHeight="1" ht="0.75" hidden="1">
      <c r="A85" s="1781"/>
      <c r="B85" s="1781"/>
      <c r="C85" s="370" t="s">
        <v>1289</v>
      </c>
      <c r="D85" s="2463"/>
      <c r="E85" s="2205"/>
      <c r="F85" s="2384"/>
      <c r="G85" s="401"/>
      <c r="H85" s="1501"/>
      <c r="I85" s="652"/>
      <c r="J85" s="572"/>
      <c r="K85" s="1501"/>
      <c r="L85" s="215"/>
      <c r="M85" s="2171"/>
      <c r="N85" s="335"/>
      <c r="O85" s="1625"/>
      <c r="P85" s="1625"/>
      <c r="AH85" s="1632">
        <v>0</v>
      </c>
    </row>
    <row s="1636" customFormat="1" customHeight="1" ht="18.75" hidden="1">
      <c r="A86" s="1781" t="s">
        <v>360</v>
      </c>
      <c r="B86" s="1781" t="s">
        <v>361</v>
      </c>
      <c r="C86" s="370"/>
      <c r="D86" s="2463"/>
      <c r="E86" s="2205"/>
      <c r="F86" s="2384" t="str">
        <f>INDEX(PT_DIFFERENTIATION_VTAR,MATCH(A86,PT_DIFFERENTIATION_VTAR_ID,0))</f>
        <v>Тариф на техническую воду</v>
      </c>
      <c r="G86" s="2428" t="str">
        <f>INDEX(PT_DIFFERENTIATION_NTAR,MATCH(B86,PT_DIFFERENTIATION_NTAR_ID,0))</f>
        <v/>
      </c>
      <c r="H86" s="1863"/>
      <c r="I86" s="1740"/>
      <c r="J86" s="1774"/>
      <c r="K86" s="1866"/>
      <c r="L86" s="1863" t="s">
        <v>436</v>
      </c>
      <c r="M86" s="2171"/>
      <c r="N86" s="335"/>
      <c r="O86" s="1625"/>
      <c r="P86" s="1625"/>
      <c r="AH86" s="1632">
        <v>0</v>
      </c>
    </row>
    <row s="1636" customFormat="1" customHeight="1" ht="18.75" hidden="1">
      <c r="A87" s="1781"/>
      <c r="B87" s="1781"/>
      <c r="C87" s="370" t="s">
        <v>1283</v>
      </c>
      <c r="D87" s="2463"/>
      <c r="E87" s="2205"/>
      <c r="F87" s="2384"/>
      <c r="G87" s="2428"/>
      <c r="H87" s="1501"/>
      <c r="I87" s="652" t="s">
        <v>1284</v>
      </c>
      <c r="J87" s="572"/>
      <c r="K87" s="1501"/>
      <c r="L87" s="215"/>
      <c r="M87" s="2171"/>
      <c r="N87" s="335"/>
      <c r="O87" s="1625"/>
      <c r="P87" s="1625"/>
      <c r="AH87" s="1632">
        <v>0</v>
      </c>
    </row>
    <row s="1636" customFormat="1" customHeight="1" ht="0.75" hidden="1">
      <c r="A88" s="1781"/>
      <c r="B88" s="1781"/>
      <c r="C88" s="370" t="s">
        <v>1289</v>
      </c>
      <c r="D88" s="2463"/>
      <c r="E88" s="2205"/>
      <c r="F88" s="2384"/>
      <c r="G88" s="401"/>
      <c r="H88" s="1501"/>
      <c r="I88" s="652"/>
      <c r="J88" s="572"/>
      <c r="K88" s="1501"/>
      <c r="L88" s="215"/>
      <c r="M88" s="2171"/>
      <c r="N88" s="335"/>
      <c r="O88" s="1625"/>
      <c r="P88" s="1625"/>
      <c r="AH88" s="1632">
        <v>0</v>
      </c>
    </row>
    <row s="1636" customFormat="1" customHeight="1" ht="18.75" hidden="1">
      <c r="A89" s="1781" t="s">
        <v>365</v>
      </c>
      <c r="B89" s="1781" t="s">
        <v>366</v>
      </c>
      <c r="C89" s="370"/>
      <c r="D89" s="2463"/>
      <c r="E89" s="2205"/>
      <c r="F89" s="2384" t="str">
        <f>INDEX(PT_DIFFERENTIATION_VTAR,MATCH(A89,PT_DIFFERENTIATION_VTAR_ID,0))</f>
        <v>Тариф на транспортировку воды</v>
      </c>
      <c r="G89" s="2428" t="str">
        <f>INDEX(PT_DIFFERENTIATION_NTAR,MATCH(B89,PT_DIFFERENTIATION_NTAR_ID,0))</f>
        <v/>
      </c>
      <c r="H89" s="1863"/>
      <c r="I89" s="1740"/>
      <c r="J89" s="1774"/>
      <c r="K89" s="1866"/>
      <c r="L89" s="1863" t="s">
        <v>436</v>
      </c>
      <c r="M89" s="2171"/>
      <c r="N89" s="335"/>
      <c r="O89" s="1625"/>
      <c r="P89" s="1625"/>
      <c r="AH89" s="1632">
        <v>0</v>
      </c>
    </row>
    <row s="1636" customFormat="1" customHeight="1" ht="18.75" hidden="1">
      <c r="A90" s="1781"/>
      <c r="B90" s="1781"/>
      <c r="C90" s="370" t="s">
        <v>1283</v>
      </c>
      <c r="D90" s="2463"/>
      <c r="E90" s="2205"/>
      <c r="F90" s="2384"/>
      <c r="G90" s="2428"/>
      <c r="H90" s="1501"/>
      <c r="I90" s="652" t="s">
        <v>1284</v>
      </c>
      <c r="J90" s="572"/>
      <c r="K90" s="1501"/>
      <c r="L90" s="215"/>
      <c r="M90" s="2171"/>
      <c r="N90" s="335"/>
      <c r="O90" s="1625"/>
      <c r="P90" s="1625"/>
      <c r="AH90" s="1632">
        <v>0</v>
      </c>
    </row>
    <row s="1636" customFormat="1" customHeight="1" ht="0.75" hidden="1">
      <c r="A91" s="1781"/>
      <c r="B91" s="1781"/>
      <c r="C91" s="370" t="s">
        <v>1289</v>
      </c>
      <c r="D91" s="2463"/>
      <c r="E91" s="2205"/>
      <c r="F91" s="2384"/>
      <c r="G91" s="401"/>
      <c r="H91" s="1501"/>
      <c r="I91" s="652"/>
      <c r="J91" s="572"/>
      <c r="K91" s="1501"/>
      <c r="L91" s="215"/>
      <c r="M91" s="2171"/>
      <c r="N91" s="335"/>
      <c r="O91" s="1625"/>
      <c r="P91" s="1625"/>
      <c r="AH91" s="1632">
        <v>0</v>
      </c>
    </row>
    <row s="1636" customFormat="1" customHeight="1" ht="18.75" hidden="1">
      <c r="A92" s="1781" t="s">
        <v>370</v>
      </c>
      <c r="B92" s="1781" t="s">
        <v>371</v>
      </c>
      <c r="C92" s="370"/>
      <c r="D92" s="2463"/>
      <c r="E92" s="2205"/>
      <c r="F92" s="2384" t="str">
        <f>INDEX(PT_DIFFERENTIATION_VTAR,MATCH(A92,PT_DIFFERENTIATION_VTAR_ID,0))</f>
        <v>Тариф на подвоз воды</v>
      </c>
      <c r="G92" s="2428" t="str">
        <f>INDEX(PT_DIFFERENTIATION_NTAR,MATCH(B92,PT_DIFFERENTIATION_NTAR_ID,0))</f>
        <v/>
      </c>
      <c r="H92" s="1863"/>
      <c r="I92" s="1740"/>
      <c r="J92" s="1774"/>
      <c r="K92" s="1866"/>
      <c r="L92" s="1863" t="s">
        <v>436</v>
      </c>
      <c r="M92" s="2171"/>
      <c r="N92" s="335"/>
      <c r="O92" s="1625"/>
      <c r="P92" s="1625"/>
      <c r="AH92" s="1632">
        <v>0</v>
      </c>
    </row>
    <row s="1636" customFormat="1" customHeight="1" ht="18.75" hidden="1">
      <c r="A93" s="1781"/>
      <c r="B93" s="1781"/>
      <c r="C93" s="370" t="s">
        <v>1283</v>
      </c>
      <c r="D93" s="2463"/>
      <c r="E93" s="2205"/>
      <c r="F93" s="2384"/>
      <c r="G93" s="2428"/>
      <c r="H93" s="1501"/>
      <c r="I93" s="652" t="s">
        <v>1284</v>
      </c>
      <c r="J93" s="572"/>
      <c r="K93" s="1501"/>
      <c r="L93" s="215"/>
      <c r="M93" s="2171"/>
      <c r="N93" s="335"/>
      <c r="O93" s="1625"/>
      <c r="P93" s="1625"/>
      <c r="AH93" s="1632">
        <v>0</v>
      </c>
    </row>
    <row s="1636" customFormat="1" customHeight="1" ht="0.75" hidden="1">
      <c r="A94" s="1781"/>
      <c r="B94" s="1781"/>
      <c r="C94" s="370" t="s">
        <v>1289</v>
      </c>
      <c r="D94" s="2463"/>
      <c r="E94" s="2205"/>
      <c r="F94" s="2384"/>
      <c r="G94" s="401"/>
      <c r="H94" s="1501"/>
      <c r="I94" s="652"/>
      <c r="J94" s="572"/>
      <c r="K94" s="1501"/>
      <c r="L94" s="215"/>
      <c r="M94" s="2171"/>
      <c r="N94" s="335"/>
      <c r="O94" s="1625"/>
      <c r="P94" s="1625"/>
      <c r="AH94" s="1632">
        <v>0</v>
      </c>
    </row>
    <row s="1636" customFormat="1" customHeight="1" ht="18.75" hidden="1">
      <c r="A95" s="1781" t="s">
        <v>375</v>
      </c>
      <c r="B95" s="1781" t="s">
        <v>376</v>
      </c>
      <c r="C95" s="370"/>
      <c r="D95" s="2463"/>
      <c r="E95" s="2205"/>
      <c r="F95" s="2384" t="str">
        <f>INDEX(PT_DIFFERENTIATION_VTAR,MATCH(A95,PT_DIFFERENTIATION_VTAR_ID,0))</f>
        <v>Тариф на подключение (технологическое присоединение) к централизованной системе холодного водоснабжения</v>
      </c>
      <c r="G95" s="2428" t="str">
        <f>INDEX(PT_DIFFERENTIATION_NTAR,MATCH(B95,PT_DIFFERENTIATION_NTAR_ID,0))</f>
        <v/>
      </c>
      <c r="H95" s="1863"/>
      <c r="I95" s="1740"/>
      <c r="J95" s="1774"/>
      <c r="K95" s="1866"/>
      <c r="L95" s="1863" t="s">
        <v>436</v>
      </c>
      <c r="M95" s="2171"/>
      <c r="N95" s="335"/>
      <c r="O95" s="1625"/>
      <c r="P95" s="1625"/>
      <c r="AH95" s="1632">
        <v>0</v>
      </c>
    </row>
    <row s="1636" customFormat="1" customHeight="1" ht="18.75" hidden="1">
      <c r="A96" s="1781"/>
      <c r="B96" s="1781"/>
      <c r="C96" s="370" t="s">
        <v>1283</v>
      </c>
      <c r="D96" s="2463"/>
      <c r="E96" s="2205"/>
      <c r="F96" s="2384"/>
      <c r="G96" s="2428"/>
      <c r="H96" s="1501"/>
      <c r="I96" s="652" t="s">
        <v>1284</v>
      </c>
      <c r="J96" s="572"/>
      <c r="K96" s="1501"/>
      <c r="L96" s="215"/>
      <c r="M96" s="2171"/>
      <c r="N96" s="335"/>
      <c r="O96" s="1625"/>
      <c r="P96" s="1625"/>
      <c r="AH96" s="1632">
        <v>0</v>
      </c>
    </row>
    <row s="1636" customFormat="1" customHeight="1" ht="0.75" hidden="1">
      <c r="A97" s="1781"/>
      <c r="B97" s="1781"/>
      <c r="C97" s="370" t="s">
        <v>1289</v>
      </c>
      <c r="D97" s="2463"/>
      <c r="E97" s="2205"/>
      <c r="F97" s="2384"/>
      <c r="G97" s="401"/>
      <c r="H97" s="1501"/>
      <c r="I97" s="652"/>
      <c r="J97" s="572"/>
      <c r="K97" s="1501"/>
      <c r="L97" s="215"/>
      <c r="M97" s="2171"/>
      <c r="N97" s="335"/>
      <c r="O97" s="1625"/>
      <c r="P97" s="1625"/>
      <c r="AH97" s="1632">
        <v>0</v>
      </c>
    </row>
    <row s="1636" customFormat="1" customHeight="1" ht="18.75" hidden="1">
      <c r="A98" s="1781" t="s">
        <v>380</v>
      </c>
      <c r="B98" s="1781" t="s">
        <v>381</v>
      </c>
      <c r="C98" s="370"/>
      <c r="D98" s="2463"/>
      <c r="E98" s="2205"/>
      <c r="F98" s="2384" t="str">
        <f>INDEX(PT_DIFFERENTIATION_VTAR,MATCH(A98,PT_DIFFERENTIATION_VTAR_ID,0))</f>
        <v>Тариф на горячую воду (горячее водоснабжение)</v>
      </c>
      <c r="G98" s="2428" t="str">
        <f>INDEX(PT_DIFFERENTIATION_NTAR,MATCH(B98,PT_DIFFERENTIATION_NTAR_ID,0))</f>
        <v/>
      </c>
      <c r="H98" s="1863"/>
      <c r="I98" s="1740"/>
      <c r="J98" s="1774"/>
      <c r="K98" s="1866"/>
      <c r="L98" s="1863" t="s">
        <v>436</v>
      </c>
      <c r="M98" s="2171"/>
      <c r="N98" s="335"/>
      <c r="O98" s="1625"/>
      <c r="P98" s="1625"/>
      <c r="AH98" s="1632">
        <v>0</v>
      </c>
    </row>
    <row s="1636" customFormat="1" customHeight="1" ht="18.75" hidden="1">
      <c r="A99" s="1781"/>
      <c r="B99" s="1781"/>
      <c r="C99" s="370" t="s">
        <v>1283</v>
      </c>
      <c r="D99" s="2463"/>
      <c r="E99" s="2205"/>
      <c r="F99" s="2384"/>
      <c r="G99" s="2428"/>
      <c r="H99" s="1501"/>
      <c r="I99" s="652" t="s">
        <v>1284</v>
      </c>
      <c r="J99" s="572"/>
      <c r="K99" s="1501"/>
      <c r="L99" s="215"/>
      <c r="M99" s="2171"/>
      <c r="N99" s="335"/>
      <c r="O99" s="1625"/>
      <c r="P99" s="1625"/>
      <c r="AH99" s="1632">
        <v>0</v>
      </c>
    </row>
    <row s="1636" customFormat="1" customHeight="1" ht="0.75" hidden="1">
      <c r="A100" s="1781"/>
      <c r="B100" s="1781"/>
      <c r="C100" s="370" t="s">
        <v>1289</v>
      </c>
      <c r="D100" s="2463"/>
      <c r="E100" s="2205"/>
      <c r="F100" s="2384"/>
      <c r="G100" s="401"/>
      <c r="H100" s="1501"/>
      <c r="I100" s="652"/>
      <c r="J100" s="572"/>
      <c r="K100" s="1501"/>
      <c r="L100" s="215"/>
      <c r="M100" s="2171"/>
      <c r="N100" s="335"/>
      <c r="O100" s="1625"/>
      <c r="P100" s="1625"/>
      <c r="AH100" s="1632">
        <v>0</v>
      </c>
    </row>
    <row s="1636" customFormat="1" customHeight="1" ht="18.75" hidden="1">
      <c r="A101" s="1781" t="s">
        <v>385</v>
      </c>
      <c r="B101" s="1781" t="s">
        <v>386</v>
      </c>
      <c r="C101" s="370"/>
      <c r="D101" s="2463"/>
      <c r="E101" s="2205"/>
      <c r="F101" s="2384" t="str">
        <f>INDEX(PT_DIFFERENTIATION_VTAR,MATCH(A101,PT_DIFFERENTIATION_VTAR_ID,0))</f>
        <v>Тариф на транспортировку горячей воды</v>
      </c>
      <c r="G101" s="2428" t="str">
        <f>INDEX(PT_DIFFERENTIATION_NTAR,MATCH(B101,PT_DIFFERENTIATION_NTAR_ID,0))</f>
        <v/>
      </c>
      <c r="H101" s="1863"/>
      <c r="I101" s="1740"/>
      <c r="J101" s="1774"/>
      <c r="K101" s="1866"/>
      <c r="L101" s="1863" t="s">
        <v>436</v>
      </c>
      <c r="M101" s="2171"/>
      <c r="N101" s="335"/>
      <c r="O101" s="1625"/>
      <c r="P101" s="1625"/>
      <c r="AH101" s="1632">
        <v>0</v>
      </c>
    </row>
    <row s="1636" customFormat="1" customHeight="1" ht="18.75" hidden="1">
      <c r="A102" s="1781"/>
      <c r="B102" s="1781"/>
      <c r="C102" s="370" t="s">
        <v>1283</v>
      </c>
      <c r="D102" s="2463"/>
      <c r="E102" s="2205"/>
      <c r="F102" s="2384"/>
      <c r="G102" s="2428"/>
      <c r="H102" s="1501"/>
      <c r="I102" s="652" t="s">
        <v>1284</v>
      </c>
      <c r="J102" s="572"/>
      <c r="K102" s="1501"/>
      <c r="L102" s="215"/>
      <c r="M102" s="2171"/>
      <c r="N102" s="335"/>
      <c r="O102" s="1625"/>
      <c r="P102" s="1625"/>
      <c r="AH102" s="1632">
        <v>0</v>
      </c>
    </row>
    <row s="1636" customFormat="1" customHeight="1" ht="0.75" hidden="1">
      <c r="A103" s="1781"/>
      <c r="B103" s="1781"/>
      <c r="C103" s="370" t="s">
        <v>1289</v>
      </c>
      <c r="D103" s="2463"/>
      <c r="E103" s="2205"/>
      <c r="F103" s="2384"/>
      <c r="G103" s="401"/>
      <c r="H103" s="1501"/>
      <c r="I103" s="652"/>
      <c r="J103" s="572"/>
      <c r="K103" s="1501"/>
      <c r="L103" s="215"/>
      <c r="M103" s="2171"/>
      <c r="N103" s="335"/>
      <c r="O103" s="1625"/>
      <c r="P103" s="1625"/>
      <c r="AH103" s="1632">
        <v>0</v>
      </c>
    </row>
    <row s="1636" customFormat="1" customHeight="1" ht="18.75" hidden="1">
      <c r="A104" s="1781" t="s">
        <v>390</v>
      </c>
      <c r="B104" s="1781" t="s">
        <v>391</v>
      </c>
      <c r="C104" s="370"/>
      <c r="D104" s="2463"/>
      <c r="E104" s="2205"/>
      <c r="F104" s="2384" t="str">
        <f>INDEX(PT_DIFFERENTIATION_VTAR,MATCH(A104,PT_DIFFERENTIATION_VTAR_ID,0))</f>
        <v>Тариф на подключение (технологическое присоединение) к централизованной системе горячего водоснабжения</v>
      </c>
      <c r="G104" s="2428" t="str">
        <f>INDEX(PT_DIFFERENTIATION_NTAR,MATCH(B104,PT_DIFFERENTIATION_NTAR_ID,0))</f>
        <v/>
      </c>
      <c r="H104" s="1863"/>
      <c r="I104" s="1740"/>
      <c r="J104" s="1774"/>
      <c r="K104" s="1866"/>
      <c r="L104" s="1863" t="s">
        <v>436</v>
      </c>
      <c r="M104" s="2171"/>
      <c r="N104" s="335"/>
      <c r="O104" s="1625"/>
      <c r="P104" s="1625"/>
      <c r="AH104" s="1632">
        <v>0</v>
      </c>
    </row>
    <row s="1636" customFormat="1" customHeight="1" ht="18.75" hidden="1">
      <c r="A105" s="1781"/>
      <c r="B105" s="1781"/>
      <c r="C105" s="370" t="s">
        <v>1283</v>
      </c>
      <c r="D105" s="2463"/>
      <c r="E105" s="2205"/>
      <c r="F105" s="2384"/>
      <c r="G105" s="2428"/>
      <c r="H105" s="1501"/>
      <c r="I105" s="652" t="s">
        <v>1284</v>
      </c>
      <c r="J105" s="572"/>
      <c r="K105" s="1501"/>
      <c r="L105" s="215"/>
      <c r="M105" s="2171"/>
      <c r="N105" s="335"/>
      <c r="O105" s="1625"/>
      <c r="P105" s="1625"/>
      <c r="AH105" s="1632">
        <v>0</v>
      </c>
    </row>
    <row s="1636" customFormat="1" customHeight="1" ht="0.75" hidden="1">
      <c r="A106" s="1781"/>
      <c r="B106" s="1781"/>
      <c r="C106" s="370" t="s">
        <v>1289</v>
      </c>
      <c r="D106" s="2463"/>
      <c r="E106" s="2205"/>
      <c r="F106" s="2384"/>
      <c r="G106" s="401"/>
      <c r="H106" s="1501"/>
      <c r="I106" s="652"/>
      <c r="J106" s="572"/>
      <c r="K106" s="1501"/>
      <c r="L106" s="215"/>
      <c r="M106" s="2171"/>
      <c r="N106" s="335"/>
      <c r="O106" s="1625"/>
      <c r="P106" s="1625"/>
      <c r="AH106" s="1632">
        <v>0</v>
      </c>
    </row>
    <row s="1636" customFormat="1" customHeight="1" ht="18.75" hidden="1">
      <c r="A107" s="1781" t="s">
        <v>395</v>
      </c>
      <c r="B107" s="1781" t="s">
        <v>396</v>
      </c>
      <c r="C107" s="370"/>
      <c r="D107" s="2463"/>
      <c r="E107" s="2205"/>
      <c r="F107" s="2384" t="str">
        <f>INDEX(PT_DIFFERENTIATION_VTAR,MATCH(A107,PT_DIFFERENTIATION_VTAR_ID,0))</f>
        <v>Тариф на водоотведение</v>
      </c>
      <c r="G107" s="2428" t="str">
        <f>INDEX(PT_DIFFERENTIATION_NTAR,MATCH(B107,PT_DIFFERENTIATION_NTAR_ID,0))</f>
        <v/>
      </c>
      <c r="H107" s="1863"/>
      <c r="I107" s="1740"/>
      <c r="J107" s="1774"/>
      <c r="K107" s="1866"/>
      <c r="L107" s="1863" t="s">
        <v>436</v>
      </c>
      <c r="M107" s="2171"/>
      <c r="N107" s="335"/>
      <c r="O107" s="1625"/>
      <c r="P107" s="1625"/>
      <c r="AH107" s="1632">
        <v>0</v>
      </c>
    </row>
    <row s="1636" customFormat="1" customHeight="1" ht="18.75" hidden="1">
      <c r="A108" s="1781"/>
      <c r="B108" s="1781"/>
      <c r="C108" s="370" t="s">
        <v>1283</v>
      </c>
      <c r="D108" s="2463"/>
      <c r="E108" s="2205"/>
      <c r="F108" s="2384"/>
      <c r="G108" s="2428"/>
      <c r="H108" s="1501"/>
      <c r="I108" s="652" t="s">
        <v>1284</v>
      </c>
      <c r="J108" s="572"/>
      <c r="K108" s="1501"/>
      <c r="L108" s="215"/>
      <c r="M108" s="2171"/>
      <c r="N108" s="335"/>
      <c r="O108" s="1625"/>
      <c r="P108" s="1625"/>
      <c r="AH108" s="1632">
        <v>0</v>
      </c>
    </row>
    <row s="1636" customFormat="1" customHeight="1" ht="0.75" hidden="1">
      <c r="A109" s="1781"/>
      <c r="B109" s="1781"/>
      <c r="C109" s="370" t="s">
        <v>1289</v>
      </c>
      <c r="D109" s="2463"/>
      <c r="E109" s="2205"/>
      <c r="F109" s="2384"/>
      <c r="G109" s="401"/>
      <c r="H109" s="1501"/>
      <c r="I109" s="652"/>
      <c r="J109" s="572"/>
      <c r="K109" s="1501"/>
      <c r="L109" s="215"/>
      <c r="M109" s="2171"/>
      <c r="N109" s="335"/>
      <c r="O109" s="1625"/>
      <c r="P109" s="1625"/>
      <c r="AH109" s="1632">
        <v>0</v>
      </c>
    </row>
    <row s="1636" customFormat="1" customHeight="1" ht="18.75" hidden="1">
      <c r="A110" s="1781" t="s">
        <v>400</v>
      </c>
      <c r="B110" s="1781" t="s">
        <v>401</v>
      </c>
      <c r="C110" s="370"/>
      <c r="D110" s="2463"/>
      <c r="E110" s="2205"/>
      <c r="F110" s="2384" t="str">
        <f>INDEX(PT_DIFFERENTIATION_VTAR,MATCH(A110,PT_DIFFERENTIATION_VTAR_ID,0))</f>
        <v>Тариф на транспортировку сточных вод</v>
      </c>
      <c r="G110" s="2428" t="str">
        <f>INDEX(PT_DIFFERENTIATION_NTAR,MATCH(B110,PT_DIFFERENTIATION_NTAR_ID,0))</f>
        <v/>
      </c>
      <c r="H110" s="1863"/>
      <c r="I110" s="1740"/>
      <c r="J110" s="1774"/>
      <c r="K110" s="1866"/>
      <c r="L110" s="1863" t="s">
        <v>436</v>
      </c>
      <c r="M110" s="2171"/>
      <c r="N110" s="335"/>
      <c r="O110" s="1625"/>
      <c r="P110" s="1625"/>
      <c r="AH110" s="1632">
        <v>0</v>
      </c>
    </row>
    <row s="1636" customFormat="1" customHeight="1" ht="18.75" hidden="1">
      <c r="A111" s="1781"/>
      <c r="B111" s="1781"/>
      <c r="C111" s="370" t="s">
        <v>1283</v>
      </c>
      <c r="D111" s="2463"/>
      <c r="E111" s="2205"/>
      <c r="F111" s="2384"/>
      <c r="G111" s="2428"/>
      <c r="H111" s="1501"/>
      <c r="I111" s="652" t="s">
        <v>1284</v>
      </c>
      <c r="J111" s="572"/>
      <c r="K111" s="1501"/>
      <c r="L111" s="215"/>
      <c r="M111" s="2171"/>
      <c r="N111" s="335"/>
      <c r="O111" s="1625"/>
      <c r="P111" s="1625"/>
      <c r="AH111" s="1632">
        <v>0</v>
      </c>
    </row>
    <row s="1636" customFormat="1" customHeight="1" ht="0.75" hidden="1">
      <c r="A112" s="1781"/>
      <c r="B112" s="1781"/>
      <c r="C112" s="370" t="s">
        <v>1289</v>
      </c>
      <c r="D112" s="2463"/>
      <c r="E112" s="2205"/>
      <c r="F112" s="2384"/>
      <c r="G112" s="401"/>
      <c r="H112" s="1501"/>
      <c r="I112" s="652"/>
      <c r="J112" s="572"/>
      <c r="K112" s="1501"/>
      <c r="L112" s="215"/>
      <c r="M112" s="2171"/>
      <c r="N112" s="335"/>
      <c r="O112" s="1625"/>
      <c r="P112" s="1625"/>
      <c r="AH112" s="1632">
        <v>0</v>
      </c>
    </row>
    <row s="1636" customFormat="1" customHeight="1" ht="18.75" hidden="1">
      <c r="A113" s="1781" t="s">
        <v>405</v>
      </c>
      <c r="B113" s="1781" t="s">
        <v>406</v>
      </c>
      <c r="C113" s="370"/>
      <c r="D113" s="2463"/>
      <c r="E113" s="2205"/>
      <c r="F113" s="2384" t="str">
        <f>INDEX(PT_DIFFERENTIATION_VTAR,MATCH(A113,PT_DIFFERENTIATION_VTAR_ID,0))</f>
        <v>Тариф на подключение (технологическое присоединение) к централизованной системе водоотведения</v>
      </c>
      <c r="G113" s="2428" t="str">
        <f>INDEX(PT_DIFFERENTIATION_NTAR,MATCH(B113,PT_DIFFERENTIATION_NTAR_ID,0))</f>
        <v/>
      </c>
      <c r="H113" s="1863"/>
      <c r="I113" s="1740"/>
      <c r="J113" s="1774"/>
      <c r="K113" s="1866"/>
      <c r="L113" s="1863" t="s">
        <v>436</v>
      </c>
      <c r="M113" s="2171"/>
      <c r="N113" s="335"/>
      <c r="O113" s="1625"/>
      <c r="P113" s="1625"/>
      <c r="AH113" s="1632">
        <v>0</v>
      </c>
    </row>
    <row s="1636" customFormat="1" customHeight="1" ht="18.75" hidden="1">
      <c r="A114" s="1781"/>
      <c r="B114" s="1781"/>
      <c r="C114" s="370" t="s">
        <v>1283</v>
      </c>
      <c r="D114" s="2463"/>
      <c r="E114" s="2205"/>
      <c r="F114" s="2384"/>
      <c r="G114" s="2428"/>
      <c r="H114" s="1501"/>
      <c r="I114" s="652" t="s">
        <v>1284</v>
      </c>
      <c r="J114" s="572"/>
      <c r="K114" s="1501"/>
      <c r="L114" s="215"/>
      <c r="M114" s="2171"/>
      <c r="N114" s="335"/>
      <c r="O114" s="1625"/>
      <c r="P114" s="1625"/>
      <c r="AH114" s="1632">
        <v>0</v>
      </c>
    </row>
    <row s="1636" customFormat="1" customHeight="1" ht="1.05">
      <c r="A115" s="1781"/>
      <c r="B115" s="1781"/>
      <c r="C115" s="370" t="s">
        <v>1289</v>
      </c>
      <c r="D115" s="2463"/>
      <c r="E115" s="2205"/>
      <c r="F115" s="2384"/>
      <c r="G115" s="401"/>
      <c r="H115" s="1501"/>
      <c r="I115" s="652"/>
      <c r="J115" s="572"/>
      <c r="K115" s="1501"/>
      <c r="L115" s="215"/>
      <c r="M115" s="2171"/>
      <c r="N115" s="335"/>
      <c r="O115" s="1625"/>
      <c r="P115" s="1625"/>
      <c r="AH115" s="1632">
        <v>1</v>
      </c>
    </row>
    <row customHeight="1" ht="19.95">
      <c r="A116" s="1781"/>
      <c r="B116" s="1781"/>
      <c r="D116" s="377"/>
      <c r="E116" s="148" t="s">
        <v>107</v>
      </c>
      <c r="F116" s="2461" t="str">
        <f>"Долгосрочные параметры регулирования (в случае если их установление предусмотрено выбранным методом регулирования тарифов в сфере "&amp;TEMPLATE_SPHERE_RUS&amp;")"</f>
        <v>Долгосрочные параметры регулирования (в случае если их установление предусмотрено выбранным методом регулирования тарифов в сфере теплоснабжения)</v>
      </c>
      <c r="G116" s="2461"/>
      <c r="H116" s="2461"/>
      <c r="I116" s="2461"/>
      <c r="J116" s="2461"/>
      <c r="K116" s="2461"/>
      <c r="L116" s="2461"/>
      <c r="M116" s="298"/>
      <c r="N116" s="335"/>
      <c r="AH116" s="375">
        <v>19</v>
      </c>
    </row>
    <row customHeight="1" ht="35.699999999999996">
      <c r="A117" s="1781"/>
      <c r="B117" s="1781"/>
      <c r="D117" s="377"/>
      <c r="E117" s="400"/>
      <c r="F117" s="199" t="s">
        <v>436</v>
      </c>
      <c r="G117" s="199" t="s">
        <v>436</v>
      </c>
      <c r="H117" s="2219" t="s">
        <v>436</v>
      </c>
      <c r="I117" s="2221"/>
      <c r="J117" s="199" t="s">
        <v>436</v>
      </c>
      <c r="K117" s="199" t="s">
        <v>436</v>
      </c>
      <c r="L117" s="402"/>
      <c r="M117" s="346" t="s">
        <v>1290</v>
      </c>
      <c r="N117" s="335"/>
      <c r="AH117" s="375">
        <v>34</v>
      </c>
    </row>
    <row customHeight="1" ht="19.95">
      <c r="A118" s="1781"/>
      <c r="B118" s="1781"/>
      <c r="D118" s="377"/>
      <c r="E118" s="148" t="s">
        <v>94</v>
      </c>
      <c r="F118" s="2461" t="s">
        <v>1291</v>
      </c>
      <c r="G118" s="2461"/>
      <c r="H118" s="2461"/>
      <c r="I118" s="2461"/>
      <c r="J118" s="2461"/>
      <c r="K118" s="2461"/>
      <c r="L118" s="2461"/>
      <c r="M118" s="298"/>
      <c r="N118" s="335"/>
      <c r="AH118" s="375">
        <v>19</v>
      </c>
    </row>
    <row s="1636" customFormat="1" customHeight="1" ht="60.75" hidden="1">
      <c r="A119" s="1781" t="s">
        <v>172</v>
      </c>
      <c r="B119" s="1781" t="s">
        <v>173</v>
      </c>
      <c r="C119" s="370"/>
      <c r="D119" s="2463"/>
      <c r="E119" s="2205"/>
      <c r="F119" s="2384" t="str">
        <f>INDEX(PT_DIFFERENTIATION_VTAR,MATCH(A119,PT_DIFFERENTIATION_VTAR_ID,0))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119" s="2428" t="str">
        <f>INDEX(PT_DIFFERENTIATION_NTAR,MATCH(B119,PT_DIFFERENTIATION_NTAR_ID,0))</f>
        <v>Тарифы на тепловую энергию (мощность) на коллекторах источника тепловой энергии. Для потребителей, в случае отсутствия дифференциации тарифов по схеме подключения. Муниципальный округ город Апатиты с подведомственной территорией Мурманской области, муниципальный округ город Кировск с подведомственной территорией Мурманской области</v>
      </c>
      <c r="H119" s="1863"/>
      <c r="I119" s="1740"/>
      <c r="J119" s="1774"/>
      <c r="K119" s="1779"/>
      <c r="L119" s="1863" t="s">
        <v>436</v>
      </c>
      <c r="M119" s="2170"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"&amp;"Величина необходимой валовой выручки указывается в колонке «Информация» в тыс. руб.В случае дифференциации необходимой валовой выручки по видам тарифов и (или) по срокам действия тарифов информация указывается в отдельных строках."</f>
        <v>Значение в колонке «Вид тарифа» выбирается из перечня видов тарифов в сфере теплоснабжения, предусмотренных законодательством в сфере теплоснабжения.
Даты начала и окончания срока действия тарифов указываются в виде «ДД.ММ.ГГГГ».
Величина необходимой валовой выручки указывается в колонке «Информация» в тыс. руб.В случае дифференциации необходимой валовой выручки по видам тарифов и (или) по срокам действия тарифов информация указывается в отдельных строках.</v>
      </c>
      <c r="N119" s="335"/>
      <c r="O119" s="1625"/>
      <c r="P119" s="1625"/>
      <c r="AH119" s="1632">
        <v>0</v>
      </c>
    </row>
    <row s="1636" customFormat="1" customHeight="1" ht="18.75" hidden="1">
      <c r="A120" s="1781"/>
      <c r="B120" s="1781"/>
      <c r="C120" s="370" t="s">
        <v>1285</v>
      </c>
      <c r="D120" s="2463"/>
      <c r="E120" s="2205"/>
      <c r="F120" s="2384"/>
      <c r="G120" s="2428"/>
      <c r="H120" s="1501"/>
      <c r="I120" s="652" t="s">
        <v>1284</v>
      </c>
      <c r="J120" s="572"/>
      <c r="K120" s="1501"/>
      <c r="L120" s="215"/>
      <c r="M120" s="2171"/>
      <c r="N120" s="335"/>
      <c r="O120" s="1625"/>
      <c r="P120" s="1625"/>
      <c r="AH120" s="1632">
        <v>0</v>
      </c>
    </row>
    <row s="1636" customFormat="1" customHeight="1" ht="18.75">
      <c r="A121" s="1824" t="s">
        <v>172</v>
      </c>
      <c r="B121" s="1824" t="s">
        <v>185</v>
      </c>
      <c r="C121" s="1688"/>
      <c r="D121" s="345"/>
      <c r="E121" s="1032"/>
      <c r="F121" s="1032"/>
      <c r="G121" s="2428" t="str">
        <f>INDEX(PT_DIFFERENTIATION_NTAR,MATCH(B121,PT_DIFFERENTIATION_NTAR_ID,0))</f>
        <v>Льготные тарифы на тепловую энергию, поставляемую группе потребителей "население". Для потребителей, в случае отсутствия дифференциации тарифов по схеме подключения. Муниципальный округ город Апатиты с подведомственной территорией Мурманской области</v>
      </c>
      <c r="H121" s="2272"/>
      <c r="I121" s="1740"/>
      <c r="J121" s="1774"/>
      <c r="K121" s="1779"/>
      <c r="L121" s="2272" t="s">
        <v>436</v>
      </c>
      <c r="M121" s="2319"/>
      <c r="N121" s="619"/>
      <c r="O121" s="1625"/>
      <c r="P121" s="1625"/>
      <c r="Q121" s="1636"/>
      <c r="R121" s="1636"/>
      <c r="S121" s="1636"/>
      <c r="T121" s="1636"/>
      <c r="U121" s="1636"/>
      <c r="V121" s="1636"/>
      <c r="W121" s="1636"/>
      <c r="X121" s="1636"/>
      <c r="Y121" s="1636"/>
      <c r="Z121" s="1636"/>
      <c r="AA121" s="1636"/>
      <c r="AB121" s="1636"/>
      <c r="AC121" s="1636"/>
      <c r="AD121" s="1636"/>
      <c r="AE121" s="1636"/>
      <c r="AF121" s="1636"/>
      <c r="AG121" s="1636"/>
      <c r="AH121" s="1636">
        <v>0</v>
      </c>
    </row>
    <row s="1636" customFormat="1" customHeight="1" ht="18.75">
      <c r="A122" s="1824"/>
      <c r="B122" s="1824"/>
      <c r="C122" s="1688" t="s">
        <v>1285</v>
      </c>
      <c r="D122" s="345"/>
      <c r="E122" s="1032"/>
      <c r="F122" s="1032"/>
      <c r="G122" s="2428"/>
      <c r="H122" s="4918"/>
      <c r="I122" s="4919" t="s">
        <v>1284</v>
      </c>
      <c r="J122" s="4920"/>
      <c r="K122" s="4921"/>
      <c r="L122" s="4922"/>
      <c r="M122" s="2319"/>
      <c r="N122" s="619"/>
      <c r="O122" s="1625"/>
      <c r="P122" s="1625"/>
      <c r="Q122" s="1636"/>
      <c r="R122" s="1636"/>
      <c r="S122" s="1636"/>
      <c r="T122" s="1636"/>
      <c r="U122" s="1636"/>
      <c r="V122" s="1636"/>
      <c r="W122" s="1636"/>
      <c r="X122" s="1636"/>
      <c r="Y122" s="1636"/>
      <c r="Z122" s="1636"/>
      <c r="AA122" s="1636"/>
      <c r="AB122" s="1636"/>
      <c r="AC122" s="1636"/>
      <c r="AD122" s="1636"/>
      <c r="AE122" s="1636"/>
      <c r="AF122" s="1636"/>
      <c r="AG122" s="1636"/>
      <c r="AH122" s="1636">
        <v>0</v>
      </c>
    </row>
    <row s="1636" customFormat="1" customHeight="1" ht="18.75">
      <c r="A123" s="1824" t="s">
        <v>172</v>
      </c>
      <c r="B123" s="1824" t="s">
        <v>193</v>
      </c>
      <c r="C123" s="1688"/>
      <c r="D123" s="345"/>
      <c r="E123" s="1032"/>
      <c r="F123" s="1032"/>
      <c r="G123" s="2428" t="str">
        <f>INDEX(PT_DIFFERENTIATION_NTAR,MATCH(B123,PT_DIFFERENTIATION_NTAR_ID,0))</f>
        <v>Льготные тарифы на тепловую энергию, поставляемую группе потребителей "потребители (кроме населения)". Для потребителей, подключенных к тепловым сетям ПАО "ТГК-1". Муниципальный округ город Апатиты с подведомственной территорией Мурманской области</v>
      </c>
      <c r="H123" s="2272"/>
      <c r="I123" s="1740"/>
      <c r="J123" s="1774"/>
      <c r="K123" s="1779"/>
      <c r="L123" s="2272" t="s">
        <v>436</v>
      </c>
      <c r="M123" s="2319"/>
      <c r="N123" s="619"/>
      <c r="O123" s="1625"/>
      <c r="P123" s="1625"/>
      <c r="Q123" s="1636"/>
      <c r="R123" s="1636"/>
      <c r="S123" s="1636"/>
      <c r="T123" s="1636"/>
      <c r="U123" s="1636"/>
      <c r="V123" s="1636"/>
      <c r="W123" s="1636"/>
      <c r="X123" s="1636"/>
      <c r="Y123" s="1636"/>
      <c r="Z123" s="1636"/>
      <c r="AA123" s="1636"/>
      <c r="AB123" s="1636"/>
      <c r="AC123" s="1636"/>
      <c r="AD123" s="1636"/>
      <c r="AE123" s="1636"/>
      <c r="AF123" s="1636"/>
      <c r="AG123" s="1636"/>
      <c r="AH123" s="1636">
        <v>0</v>
      </c>
    </row>
    <row s="1636" customFormat="1" customHeight="1" ht="18.75">
      <c r="A124" s="1824"/>
      <c r="B124" s="1824"/>
      <c r="C124" s="1688" t="s">
        <v>1285</v>
      </c>
      <c r="D124" s="345"/>
      <c r="E124" s="1032"/>
      <c r="F124" s="1032"/>
      <c r="G124" s="2428"/>
      <c r="H124" s="4923"/>
      <c r="I124" s="4924" t="s">
        <v>1284</v>
      </c>
      <c r="J124" s="4925"/>
      <c r="K124" s="4926"/>
      <c r="L124" s="4927"/>
      <c r="M124" s="2319"/>
      <c r="N124" s="619"/>
      <c r="O124" s="1625"/>
      <c r="P124" s="1625"/>
      <c r="Q124" s="1636"/>
      <c r="R124" s="1636"/>
      <c r="S124" s="1636"/>
      <c r="T124" s="1636"/>
      <c r="U124" s="1636"/>
      <c r="V124" s="1636"/>
      <c r="W124" s="1636"/>
      <c r="X124" s="1636"/>
      <c r="Y124" s="1636"/>
      <c r="Z124" s="1636"/>
      <c r="AA124" s="1636"/>
      <c r="AB124" s="1636"/>
      <c r="AC124" s="1636"/>
      <c r="AD124" s="1636"/>
      <c r="AE124" s="1636"/>
      <c r="AF124" s="1636"/>
      <c r="AG124" s="1636"/>
      <c r="AH124" s="1636">
        <v>0</v>
      </c>
    </row>
    <row s="1636" customFormat="1" customHeight="1" ht="18.75">
      <c r="A125" s="1824" t="s">
        <v>172</v>
      </c>
      <c r="B125" s="1824" t="s">
        <v>198</v>
      </c>
      <c r="C125" s="1688"/>
      <c r="D125" s="345"/>
      <c r="E125" s="1032"/>
      <c r="F125" s="1032"/>
      <c r="G125" s="2428" t="str">
        <f>INDEX(PT_DIFFERENTIATION_NTAR,MATCH(B125,PT_DIFFERENTIATION_NTAR_ID,0))</f>
        <v>Льготные тарифы на тепловую энергию, поставляемую группе потребителей "потребители (кроме населения)". Для потребителей, подключенных к тепловым сетям АО "Апатитыэнерго". Муниципальный округ город Апатиты с подведомственной территорией Мурманской области</v>
      </c>
      <c r="H125" s="2272"/>
      <c r="I125" s="1740"/>
      <c r="J125" s="1774"/>
      <c r="K125" s="1779"/>
      <c r="L125" s="2272" t="s">
        <v>436</v>
      </c>
      <c r="M125" s="2319"/>
      <c r="N125" s="619"/>
      <c r="O125" s="1625"/>
      <c r="P125" s="1625"/>
      <c r="Q125" s="1636"/>
      <c r="R125" s="1636"/>
      <c r="S125" s="1636"/>
      <c r="T125" s="1636"/>
      <c r="U125" s="1636"/>
      <c r="V125" s="1636"/>
      <c r="W125" s="1636"/>
      <c r="X125" s="1636"/>
      <c r="Y125" s="1636"/>
      <c r="Z125" s="1636"/>
      <c r="AA125" s="1636"/>
      <c r="AB125" s="1636"/>
      <c r="AC125" s="1636"/>
      <c r="AD125" s="1636"/>
      <c r="AE125" s="1636"/>
      <c r="AF125" s="1636"/>
      <c r="AG125" s="1636"/>
      <c r="AH125" s="1636">
        <v>0</v>
      </c>
    </row>
    <row s="1636" customFormat="1" customHeight="1" ht="18.75">
      <c r="A126" s="1824"/>
      <c r="B126" s="1824"/>
      <c r="C126" s="1688" t="s">
        <v>1285</v>
      </c>
      <c r="D126" s="345"/>
      <c r="E126" s="1032"/>
      <c r="F126" s="1032"/>
      <c r="G126" s="2428"/>
      <c r="H126" s="4928"/>
      <c r="I126" s="4929" t="s">
        <v>1284</v>
      </c>
      <c r="J126" s="4930"/>
      <c r="K126" s="4931"/>
      <c r="L126" s="4932"/>
      <c r="M126" s="2319"/>
      <c r="N126" s="619"/>
      <c r="O126" s="1625"/>
      <c r="P126" s="1625"/>
      <c r="Q126" s="1636"/>
      <c r="R126" s="1636"/>
      <c r="S126" s="1636"/>
      <c r="T126" s="1636"/>
      <c r="U126" s="1636"/>
      <c r="V126" s="1636"/>
      <c r="W126" s="1636"/>
      <c r="X126" s="1636"/>
      <c r="Y126" s="1636"/>
      <c r="Z126" s="1636"/>
      <c r="AA126" s="1636"/>
      <c r="AB126" s="1636"/>
      <c r="AC126" s="1636"/>
      <c r="AD126" s="1636"/>
      <c r="AE126" s="1636"/>
      <c r="AF126" s="1636"/>
      <c r="AG126" s="1636"/>
      <c r="AH126" s="1636">
        <v>0</v>
      </c>
    </row>
    <row s="1636" customFormat="1" customHeight="1" ht="18.75">
      <c r="A127" s="1824" t="s">
        <v>172</v>
      </c>
      <c r="B127" s="1824" t="s">
        <v>203</v>
      </c>
      <c r="C127" s="1688"/>
      <c r="D127" s="345"/>
      <c r="E127" s="1032"/>
      <c r="F127" s="1032"/>
      <c r="G127" s="2428" t="str">
        <f>INDEX(PT_DIFFERENTIATION_NTAR,MATCH(B127,PT_DIFFERENTIATION_NTAR_ID,0))</f>
        <v>Льготные тарифы на тепловую энергию, поставляемую группе потребителей "потребители (кроме населения)". Для потребителей в случае отсутствия дифференциации тарифов по схеме подключения. Муниципальный округ город Кировск с подведомственной территорией Мурманской области</v>
      </c>
      <c r="H127" s="2272"/>
      <c r="I127" s="1740"/>
      <c r="J127" s="1774"/>
      <c r="K127" s="1779"/>
      <c r="L127" s="2272" t="s">
        <v>436</v>
      </c>
      <c r="M127" s="2319"/>
      <c r="N127" s="619"/>
      <c r="O127" s="1625"/>
      <c r="P127" s="1625"/>
      <c r="Q127" s="1636"/>
      <c r="R127" s="1636"/>
      <c r="S127" s="1636"/>
      <c r="T127" s="1636"/>
      <c r="U127" s="1636"/>
      <c r="V127" s="1636"/>
      <c r="W127" s="1636"/>
      <c r="X127" s="1636"/>
      <c r="Y127" s="1636"/>
      <c r="Z127" s="1636"/>
      <c r="AA127" s="1636"/>
      <c r="AB127" s="1636"/>
      <c r="AC127" s="1636"/>
      <c r="AD127" s="1636"/>
      <c r="AE127" s="1636"/>
      <c r="AF127" s="1636"/>
      <c r="AG127" s="1636"/>
      <c r="AH127" s="1636">
        <v>0</v>
      </c>
    </row>
    <row s="1636" customFormat="1" customHeight="1" ht="18.75">
      <c r="A128" s="1824"/>
      <c r="B128" s="1824"/>
      <c r="C128" s="1688" t="s">
        <v>1285</v>
      </c>
      <c r="D128" s="345"/>
      <c r="E128" s="1032"/>
      <c r="F128" s="1032"/>
      <c r="G128" s="2428"/>
      <c r="H128" s="4933"/>
      <c r="I128" s="4934" t="s">
        <v>1284</v>
      </c>
      <c r="J128" s="4935"/>
      <c r="K128" s="4936"/>
      <c r="L128" s="4937"/>
      <c r="M128" s="2319"/>
      <c r="N128" s="619"/>
      <c r="O128" s="1625"/>
      <c r="P128" s="1625"/>
      <c r="Q128" s="1636"/>
      <c r="R128" s="1636"/>
      <c r="S128" s="1636"/>
      <c r="T128" s="1636"/>
      <c r="U128" s="1636"/>
      <c r="V128" s="1636"/>
      <c r="W128" s="1636"/>
      <c r="X128" s="1636"/>
      <c r="Y128" s="1636"/>
      <c r="Z128" s="1636"/>
      <c r="AA128" s="1636"/>
      <c r="AB128" s="1636"/>
      <c r="AC128" s="1636"/>
      <c r="AD128" s="1636"/>
      <c r="AE128" s="1636"/>
      <c r="AF128" s="1636"/>
      <c r="AG128" s="1636"/>
      <c r="AH128" s="1636">
        <v>0</v>
      </c>
    </row>
    <row s="1636" customFormat="1" customHeight="1" ht="18.75">
      <c r="A129" s="1824" t="s">
        <v>172</v>
      </c>
      <c r="B129" s="1824" t="s">
        <v>208</v>
      </c>
      <c r="C129" s="1688"/>
      <c r="D129" s="345"/>
      <c r="E129" s="1032"/>
      <c r="F129" s="1032"/>
      <c r="G129" s="2428" t="str">
        <f>INDEX(PT_DIFFERENTIATION_NTAR,MATCH(B129,PT_DIFFERENTIATION_NTAR_ID,0))</f>
        <v>Тарифы на тепловую энергию, поставляемую потребителям. Для потребителей, подключенных к тепловым сетям ПАО "ТГК-1". Муниципальный  округ город Апатиты с подведомственной территорией Мурманской области</v>
      </c>
      <c r="H129" s="2272"/>
      <c r="I129" s="1740"/>
      <c r="J129" s="1774"/>
      <c r="K129" s="1779"/>
      <c r="L129" s="2272" t="s">
        <v>436</v>
      </c>
      <c r="M129" s="2319"/>
      <c r="N129" s="619"/>
      <c r="O129" s="1625"/>
      <c r="P129" s="1625"/>
      <c r="Q129" s="1636"/>
      <c r="R129" s="1636"/>
      <c r="S129" s="1636"/>
      <c r="T129" s="1636"/>
      <c r="U129" s="1636"/>
      <c r="V129" s="1636"/>
      <c r="W129" s="1636"/>
      <c r="X129" s="1636"/>
      <c r="Y129" s="1636"/>
      <c r="Z129" s="1636"/>
      <c r="AA129" s="1636"/>
      <c r="AB129" s="1636"/>
      <c r="AC129" s="1636"/>
      <c r="AD129" s="1636"/>
      <c r="AE129" s="1636"/>
      <c r="AF129" s="1636"/>
      <c r="AG129" s="1636"/>
      <c r="AH129" s="1636">
        <v>0</v>
      </c>
    </row>
    <row s="1636" customFormat="1" customHeight="1" ht="18.75">
      <c r="A130" s="1824"/>
      <c r="B130" s="1824"/>
      <c r="C130" s="1688" t="s">
        <v>1285</v>
      </c>
      <c r="D130" s="345"/>
      <c r="E130" s="1032"/>
      <c r="F130" s="1032"/>
      <c r="G130" s="2428"/>
      <c r="H130" s="4938"/>
      <c r="I130" s="4939" t="s">
        <v>1284</v>
      </c>
      <c r="J130" s="4940"/>
      <c r="K130" s="4941"/>
      <c r="L130" s="4942"/>
      <c r="M130" s="2319"/>
      <c r="N130" s="619"/>
      <c r="O130" s="1625"/>
      <c r="P130" s="1625"/>
      <c r="Q130" s="1636"/>
      <c r="R130" s="1636"/>
      <c r="S130" s="1636"/>
      <c r="T130" s="1636"/>
      <c r="U130" s="1636"/>
      <c r="V130" s="1636"/>
      <c r="W130" s="1636"/>
      <c r="X130" s="1636"/>
      <c r="Y130" s="1636"/>
      <c r="Z130" s="1636"/>
      <c r="AA130" s="1636"/>
      <c r="AB130" s="1636"/>
      <c r="AC130" s="1636"/>
      <c r="AD130" s="1636"/>
      <c r="AE130" s="1636"/>
      <c r="AF130" s="1636"/>
      <c r="AG130" s="1636"/>
      <c r="AH130" s="1636">
        <v>0</v>
      </c>
    </row>
    <row s="1636" customFormat="1" customHeight="1" ht="18.75">
      <c r="A131" s="1824" t="s">
        <v>172</v>
      </c>
      <c r="B131" s="1824" t="s">
        <v>213</v>
      </c>
      <c r="C131" s="1688"/>
      <c r="D131" s="345"/>
      <c r="E131" s="1032"/>
      <c r="F131" s="1032"/>
      <c r="G131" s="2428" t="str">
        <f>INDEX(PT_DIFFERENTIATION_NTAR,MATCH(B131,PT_DIFFERENTIATION_NTAR_ID,0))</f>
        <v>Тарифы на тепловую энергию, поставляемую потребителям. Для потребителей, подключенных к тепловым сетям АО "Апатитыэнерго". Муниципальный округ город Апатиты с подведомственной территорией Мурманской области</v>
      </c>
      <c r="H131" s="2272"/>
      <c r="I131" s="1740"/>
      <c r="J131" s="1774"/>
      <c r="K131" s="1779"/>
      <c r="L131" s="2272" t="s">
        <v>436</v>
      </c>
      <c r="M131" s="2319"/>
      <c r="N131" s="619"/>
      <c r="O131" s="1625"/>
      <c r="P131" s="1625"/>
      <c r="Q131" s="1636"/>
      <c r="R131" s="1636"/>
      <c r="S131" s="1636"/>
      <c r="T131" s="1636"/>
      <c r="U131" s="1636"/>
      <c r="V131" s="1636"/>
      <c r="W131" s="1636"/>
      <c r="X131" s="1636"/>
      <c r="Y131" s="1636"/>
      <c r="Z131" s="1636"/>
      <c r="AA131" s="1636"/>
      <c r="AB131" s="1636"/>
      <c r="AC131" s="1636"/>
      <c r="AD131" s="1636"/>
      <c r="AE131" s="1636"/>
      <c r="AF131" s="1636"/>
      <c r="AG131" s="1636"/>
      <c r="AH131" s="1636">
        <v>0</v>
      </c>
    </row>
    <row s="1636" customFormat="1" customHeight="1" ht="18.75">
      <c r="A132" s="1824"/>
      <c r="B132" s="1824"/>
      <c r="C132" s="1688" t="s">
        <v>1285</v>
      </c>
      <c r="D132" s="345"/>
      <c r="E132" s="1032"/>
      <c r="F132" s="1032"/>
      <c r="G132" s="2428"/>
      <c r="H132" s="4943"/>
      <c r="I132" s="4944" t="s">
        <v>1284</v>
      </c>
      <c r="J132" s="4945"/>
      <c r="K132" s="4946"/>
      <c r="L132" s="4947"/>
      <c r="M132" s="2319"/>
      <c r="N132" s="619"/>
      <c r="O132" s="1625"/>
      <c r="P132" s="1625"/>
      <c r="Q132" s="1636"/>
      <c r="R132" s="1636"/>
      <c r="S132" s="1636"/>
      <c r="T132" s="1636"/>
      <c r="U132" s="1636"/>
      <c r="V132" s="1636"/>
      <c r="W132" s="1636"/>
      <c r="X132" s="1636"/>
      <c r="Y132" s="1636"/>
      <c r="Z132" s="1636"/>
      <c r="AA132" s="1636"/>
      <c r="AB132" s="1636"/>
      <c r="AC132" s="1636"/>
      <c r="AD132" s="1636"/>
      <c r="AE132" s="1636"/>
      <c r="AF132" s="1636"/>
      <c r="AG132" s="1636"/>
      <c r="AH132" s="1636">
        <v>0</v>
      </c>
    </row>
    <row s="1636" customFormat="1" customHeight="1" ht="18.75">
      <c r="A133" s="1824" t="s">
        <v>172</v>
      </c>
      <c r="B133" s="1824" t="s">
        <v>218</v>
      </c>
      <c r="C133" s="1688"/>
      <c r="D133" s="345"/>
      <c r="E133" s="1032"/>
      <c r="F133" s="1032"/>
      <c r="G133" s="2428" t="str">
        <f>INDEX(PT_DIFFERENTIATION_NTAR,MATCH(B133,PT_DIFFERENTIATION_NTAR_ID,0))</f>
        <v>Тарифы на тепловую энергию, поставляемую потребителям. Для потребителей в случае отсутствия дифференциации тарифов по схеме подключения. Муниципальный округ город Кировск с подведомственной территорией Мурманской области</v>
      </c>
      <c r="H133" s="2272"/>
      <c r="I133" s="1740"/>
      <c r="J133" s="1774"/>
      <c r="K133" s="1779"/>
      <c r="L133" s="2272" t="s">
        <v>436</v>
      </c>
      <c r="M133" s="2319"/>
      <c r="N133" s="619"/>
      <c r="O133" s="1625"/>
      <c r="P133" s="1625"/>
      <c r="Q133" s="1636"/>
      <c r="R133" s="1636"/>
      <c r="S133" s="1636"/>
      <c r="T133" s="1636"/>
      <c r="U133" s="1636"/>
      <c r="V133" s="1636"/>
      <c r="W133" s="1636"/>
      <c r="X133" s="1636"/>
      <c r="Y133" s="1636"/>
      <c r="Z133" s="1636"/>
      <c r="AA133" s="1636"/>
      <c r="AB133" s="1636"/>
      <c r="AC133" s="1636"/>
      <c r="AD133" s="1636"/>
      <c r="AE133" s="1636"/>
      <c r="AF133" s="1636"/>
      <c r="AG133" s="1636"/>
      <c r="AH133" s="1636">
        <v>0</v>
      </c>
    </row>
    <row s="1636" customFormat="1" customHeight="1" ht="18.75">
      <c r="A134" s="1824"/>
      <c r="B134" s="1824"/>
      <c r="C134" s="1688" t="s">
        <v>1285</v>
      </c>
      <c r="D134" s="345"/>
      <c r="E134" s="1032"/>
      <c r="F134" s="1032"/>
      <c r="G134" s="2428"/>
      <c r="H134" s="4948"/>
      <c r="I134" s="4949" t="s">
        <v>1284</v>
      </c>
      <c r="J134" s="4950"/>
      <c r="K134" s="4951"/>
      <c r="L134" s="4952"/>
      <c r="M134" s="2319"/>
      <c r="N134" s="619"/>
      <c r="O134" s="1625"/>
      <c r="P134" s="1625"/>
      <c r="Q134" s="1636"/>
      <c r="R134" s="1636"/>
      <c r="S134" s="1636"/>
      <c r="T134" s="1636"/>
      <c r="U134" s="1636"/>
      <c r="V134" s="1636"/>
      <c r="W134" s="1636"/>
      <c r="X134" s="1636"/>
      <c r="Y134" s="1636"/>
      <c r="Z134" s="1636"/>
      <c r="AA134" s="1636"/>
      <c r="AB134" s="1636"/>
      <c r="AC134" s="1636"/>
      <c r="AD134" s="1636"/>
      <c r="AE134" s="1636"/>
      <c r="AF134" s="1636"/>
      <c r="AG134" s="1636"/>
      <c r="AH134" s="1636">
        <v>0</v>
      </c>
    </row>
    <row s="1636" customFormat="1" customHeight="1" ht="0.75" hidden="1">
      <c r="A135" s="1781"/>
      <c r="B135" s="1781"/>
      <c r="C135" s="370" t="s">
        <v>1292</v>
      </c>
      <c r="D135" s="2463"/>
      <c r="E135" s="2205"/>
      <c r="F135" s="2384"/>
      <c r="G135" s="401"/>
      <c r="H135" s="1501"/>
      <c r="I135" s="652"/>
      <c r="J135" s="572"/>
      <c r="K135" s="1501"/>
      <c r="L135" s="215"/>
      <c r="M135" s="2171"/>
      <c r="N135" s="335"/>
      <c r="O135" s="1625"/>
      <c r="P135" s="1625"/>
      <c r="AH135" s="1632">
        <v>0</v>
      </c>
    </row>
    <row s="1636" customFormat="1" customHeight="1" ht="45" hidden="1">
      <c r="A136" s="1781" t="s">
        <v>228</v>
      </c>
      <c r="B136" s="1781" t="s">
        <v>229</v>
      </c>
      <c r="C136" s="370"/>
      <c r="D136" s="2463"/>
      <c r="E136" s="2205"/>
      <c r="F136" s="2384" t="str">
        <f>INDEX(PT_DIFFERENTIATION_VTAR,MATCH(A136,PT_DIFFERENTIATION_VTAR_ID,0))</f>
        <v>Тарифы на тепловую энергию (мощность), поставляемую теплоснабжающими организациями потребителям, другим теплоснабжающим организациям</v>
      </c>
      <c r="G136" s="2428" t="str">
        <f>INDEX(PT_DIFFERENTIATION_NTAR,MATCH(B136,PT_DIFFERENTIATION_NTAR_ID,0))</f>
        <v>Льготные тарифы на тепловую энергию, поставляемую группе потребителей "население". Для потребителей, в случае отсутствия дифференциации тарифов по схеме подключения. Населенный пункт Раякоски Печенгского муниципального округа Мурманской области
</v>
      </c>
      <c r="H136" s="1863"/>
      <c r="I136" s="1740"/>
      <c r="J136" s="1774"/>
      <c r="K136" s="1779"/>
      <c r="L136" s="1863" t="s">
        <v>436</v>
      </c>
      <c r="M136" s="2172"/>
      <c r="N136" s="335"/>
      <c r="O136" s="1625"/>
      <c r="P136" s="1625"/>
      <c r="AH136" s="1632">
        <v>0</v>
      </c>
    </row>
    <row s="1636" customFormat="1" customHeight="1" ht="18.75" hidden="1">
      <c r="A137" s="1781"/>
      <c r="B137" s="1781"/>
      <c r="C137" s="370" t="s">
        <v>1285</v>
      </c>
      <c r="D137" s="2463"/>
      <c r="E137" s="2205"/>
      <c r="F137" s="2384"/>
      <c r="G137" s="2428"/>
      <c r="H137" s="1501"/>
      <c r="I137" s="652" t="s">
        <v>1284</v>
      </c>
      <c r="J137" s="572"/>
      <c r="K137" s="1501"/>
      <c r="L137" s="215"/>
      <c r="M137" s="1862"/>
      <c r="N137" s="335"/>
      <c r="O137" s="1625"/>
      <c r="P137" s="1625"/>
      <c r="AH137" s="1632">
        <v>0</v>
      </c>
    </row>
    <row s="1636" customFormat="1" customHeight="1" ht="18.75">
      <c r="A138" s="1824" t="s">
        <v>228</v>
      </c>
      <c r="B138" s="1824" t="s">
        <v>234</v>
      </c>
      <c r="C138" s="1688"/>
      <c r="D138" s="345"/>
      <c r="E138" s="1032"/>
      <c r="F138" s="1032"/>
      <c r="G138" s="2428" t="str">
        <f>INDEX(PT_DIFFERENTIATION_NTAR,MATCH(B138,PT_DIFFERENTIATION_NTAR_ID,0))</f>
        <v>Льготные тарифы на тепловую энергию, поставляемую группе потребителей "потребители (кроме населения)". Для потребителей, в случае отсутствия дифференциации тарифов по схеме подключения. Населенный пункт Раякоски Печенгского муниципального округа Мурманской области</v>
      </c>
      <c r="H138" s="2272"/>
      <c r="I138" s="1740"/>
      <c r="J138" s="1774"/>
      <c r="K138" s="1779"/>
      <c r="L138" s="2272" t="s">
        <v>436</v>
      </c>
      <c r="M138" s="2319"/>
      <c r="N138" s="619"/>
      <c r="O138" s="1625"/>
      <c r="P138" s="1625"/>
      <c r="Q138" s="1636"/>
      <c r="R138" s="1636"/>
      <c r="S138" s="1636"/>
      <c r="T138" s="1636"/>
      <c r="U138" s="1636"/>
      <c r="V138" s="1636"/>
      <c r="W138" s="1636"/>
      <c r="X138" s="1636"/>
      <c r="Y138" s="1636"/>
      <c r="Z138" s="1636"/>
      <c r="AA138" s="1636"/>
      <c r="AB138" s="1636"/>
      <c r="AC138" s="1636"/>
      <c r="AD138" s="1636"/>
      <c r="AE138" s="1636"/>
      <c r="AF138" s="1636"/>
      <c r="AG138" s="1636"/>
      <c r="AH138" s="1636">
        <v>0</v>
      </c>
    </row>
    <row s="1636" customFormat="1" customHeight="1" ht="18.75">
      <c r="A139" s="1824"/>
      <c r="B139" s="1824"/>
      <c r="C139" s="1688" t="s">
        <v>1285</v>
      </c>
      <c r="D139" s="345"/>
      <c r="E139" s="1032"/>
      <c r="F139" s="1032"/>
      <c r="G139" s="2428"/>
      <c r="H139" s="4953"/>
      <c r="I139" s="4954" t="s">
        <v>1284</v>
      </c>
      <c r="J139" s="4955"/>
      <c r="K139" s="4956"/>
      <c r="L139" s="4957"/>
      <c r="M139" s="2319"/>
      <c r="N139" s="619"/>
      <c r="O139" s="1625"/>
      <c r="P139" s="1625"/>
      <c r="Q139" s="1636"/>
      <c r="R139" s="1636"/>
      <c r="S139" s="1636"/>
      <c r="T139" s="1636"/>
      <c r="U139" s="1636"/>
      <c r="V139" s="1636"/>
      <c r="W139" s="1636"/>
      <c r="X139" s="1636"/>
      <c r="Y139" s="1636"/>
      <c r="Z139" s="1636"/>
      <c r="AA139" s="1636"/>
      <c r="AB139" s="1636"/>
      <c r="AC139" s="1636"/>
      <c r="AD139" s="1636"/>
      <c r="AE139" s="1636"/>
      <c r="AF139" s="1636"/>
      <c r="AG139" s="1636"/>
      <c r="AH139" s="1636">
        <v>0</v>
      </c>
    </row>
    <row s="1636" customFormat="1" customHeight="1" ht="18.75">
      <c r="A140" s="1824" t="s">
        <v>228</v>
      </c>
      <c r="B140" s="1824" t="s">
        <v>239</v>
      </c>
      <c r="C140" s="1688"/>
      <c r="D140" s="345"/>
      <c r="E140" s="1032"/>
      <c r="F140" s="1032"/>
      <c r="G140" s="2428" t="str">
        <f>INDEX(PT_DIFFERENTIATION_NTAR,MATCH(B140,PT_DIFFERENTIATION_NTAR_ID,0))</f>
        <v>Тарифы на тепловую энергию, поставляемую потребителям. Для потребителей в случае отсутствия дифференциации тарифов по схеме подключения. Населенный пункт Раякоски Печенгского муниципального округа Мурманской области</v>
      </c>
      <c r="H140" s="2272"/>
      <c r="I140" s="1740"/>
      <c r="J140" s="1774"/>
      <c r="K140" s="1779"/>
      <c r="L140" s="2272" t="s">
        <v>436</v>
      </c>
      <c r="M140" s="2319"/>
      <c r="N140" s="619"/>
      <c r="O140" s="1625"/>
      <c r="P140" s="1625"/>
      <c r="Q140" s="1636"/>
      <c r="R140" s="1636"/>
      <c r="S140" s="1636"/>
      <c r="T140" s="1636"/>
      <c r="U140" s="1636"/>
      <c r="V140" s="1636"/>
      <c r="W140" s="1636"/>
      <c r="X140" s="1636"/>
      <c r="Y140" s="1636"/>
      <c r="Z140" s="1636"/>
      <c r="AA140" s="1636"/>
      <c r="AB140" s="1636"/>
      <c r="AC140" s="1636"/>
      <c r="AD140" s="1636"/>
      <c r="AE140" s="1636"/>
      <c r="AF140" s="1636"/>
      <c r="AG140" s="1636"/>
      <c r="AH140" s="1636">
        <v>0</v>
      </c>
    </row>
    <row s="1636" customFormat="1" customHeight="1" ht="18.75">
      <c r="A141" s="1824"/>
      <c r="B141" s="1824"/>
      <c r="C141" s="1688" t="s">
        <v>1285</v>
      </c>
      <c r="D141" s="345"/>
      <c r="E141" s="1032"/>
      <c r="F141" s="1032"/>
      <c r="G141" s="2428"/>
      <c r="H141" s="4958"/>
      <c r="I141" s="4959" t="s">
        <v>1284</v>
      </c>
      <c r="J141" s="4960"/>
      <c r="K141" s="4961"/>
      <c r="L141" s="4962"/>
      <c r="M141" s="2319"/>
      <c r="N141" s="619"/>
      <c r="O141" s="1625"/>
      <c r="P141" s="1625"/>
      <c r="Q141" s="1636"/>
      <c r="R141" s="1636"/>
      <c r="S141" s="1636"/>
      <c r="T141" s="1636"/>
      <c r="U141" s="1636"/>
      <c r="V141" s="1636"/>
      <c r="W141" s="1636"/>
      <c r="X141" s="1636"/>
      <c r="Y141" s="1636"/>
      <c r="Z141" s="1636"/>
      <c r="AA141" s="1636"/>
      <c r="AB141" s="1636"/>
      <c r="AC141" s="1636"/>
      <c r="AD141" s="1636"/>
      <c r="AE141" s="1636"/>
      <c r="AF141" s="1636"/>
      <c r="AG141" s="1636"/>
      <c r="AH141" s="1636">
        <v>0</v>
      </c>
    </row>
    <row s="1636" customFormat="1" customHeight="1" ht="18.75">
      <c r="A142" s="1824" t="s">
        <v>228</v>
      </c>
      <c r="B142" s="1824" t="s">
        <v>244</v>
      </c>
      <c r="C142" s="1688"/>
      <c r="D142" s="345"/>
      <c r="E142" s="1032"/>
      <c r="F142" s="1032"/>
      <c r="G142" s="2428" t="str">
        <f>INDEX(PT_DIFFERENTIATION_NTAR,MATCH(B142,PT_DIFFERENTIATION_NTAR_ID,0))</f>
        <v>Тарифы на тепловую энергию, поставляемую теплоснабжающим, теплосетевым организациям, приобретающим тепловую энергию с целью компенсации потерь. Для теплоснабжающих, теплосетевых организаций, приобретающих тепловую энергию на коллекторах источника тепловой энергии (Апатитская ТЭЦ). Муниципальный округ город Кировск с подведомственной территорией Мурманской области, Муниципальный округ город Апатиты с подведомственной территорией Мурманской области</v>
      </c>
      <c r="H142" s="2272"/>
      <c r="I142" s="1740"/>
      <c r="J142" s="1774"/>
      <c r="K142" s="1779"/>
      <c r="L142" s="2272" t="s">
        <v>436</v>
      </c>
      <c r="M142" s="2319"/>
      <c r="N142" s="619"/>
      <c r="O142" s="1625"/>
      <c r="P142" s="1625"/>
      <c r="Q142" s="1636"/>
      <c r="R142" s="1636"/>
      <c r="S142" s="1636"/>
      <c r="T142" s="1636"/>
      <c r="U142" s="1636"/>
      <c r="V142" s="1636"/>
      <c r="W142" s="1636"/>
      <c r="X142" s="1636"/>
      <c r="Y142" s="1636"/>
      <c r="Z142" s="1636"/>
      <c r="AA142" s="1636"/>
      <c r="AB142" s="1636"/>
      <c r="AC142" s="1636"/>
      <c r="AD142" s="1636"/>
      <c r="AE142" s="1636"/>
      <c r="AF142" s="1636"/>
      <c r="AG142" s="1636"/>
      <c r="AH142" s="1636">
        <v>0</v>
      </c>
    </row>
    <row s="1636" customFormat="1" customHeight="1" ht="18.75">
      <c r="A143" s="1824"/>
      <c r="B143" s="1824"/>
      <c r="C143" s="1688" t="s">
        <v>1285</v>
      </c>
      <c r="D143" s="345"/>
      <c r="E143" s="1032"/>
      <c r="F143" s="1032"/>
      <c r="G143" s="2428"/>
      <c r="H143" s="4963"/>
      <c r="I143" s="4964" t="s">
        <v>1284</v>
      </c>
      <c r="J143" s="4965"/>
      <c r="K143" s="4966"/>
      <c r="L143" s="4967"/>
      <c r="M143" s="2319"/>
      <c r="N143" s="619"/>
      <c r="O143" s="1625"/>
      <c r="P143" s="1625"/>
      <c r="Q143" s="1636"/>
      <c r="R143" s="1636"/>
      <c r="S143" s="1636"/>
      <c r="T143" s="1636"/>
      <c r="U143" s="1636"/>
      <c r="V143" s="1636"/>
      <c r="W143" s="1636"/>
      <c r="X143" s="1636"/>
      <c r="Y143" s="1636"/>
      <c r="Z143" s="1636"/>
      <c r="AA143" s="1636"/>
      <c r="AB143" s="1636"/>
      <c r="AC143" s="1636"/>
      <c r="AD143" s="1636"/>
      <c r="AE143" s="1636"/>
      <c r="AF143" s="1636"/>
      <c r="AG143" s="1636"/>
      <c r="AH143" s="1636">
        <v>0</v>
      </c>
    </row>
    <row s="1636" customFormat="1" customHeight="1" ht="0.75" hidden="1">
      <c r="A144" s="1781"/>
      <c r="B144" s="1781"/>
      <c r="C144" s="370" t="s">
        <v>1292</v>
      </c>
      <c r="D144" s="2463"/>
      <c r="E144" s="2205"/>
      <c r="F144" s="2384"/>
      <c r="G144" s="401"/>
      <c r="H144" s="1501"/>
      <c r="I144" s="652"/>
      <c r="J144" s="572"/>
      <c r="K144" s="1501"/>
      <c r="L144" s="215"/>
      <c r="M144" s="342"/>
      <c r="N144" s="335"/>
      <c r="O144" s="1625"/>
      <c r="P144" s="1625"/>
      <c r="AH144" s="1632">
        <v>0</v>
      </c>
    </row>
    <row s="1636" customFormat="1" customHeight="1" ht="45" hidden="1">
      <c r="A145" s="1781" t="s">
        <v>254</v>
      </c>
      <c r="B145" s="1781" t="s">
        <v>255</v>
      </c>
      <c r="C145" s="370"/>
      <c r="D145" s="2463"/>
      <c r="E145" s="2205"/>
      <c r="F145" s="2384" t="str">
        <f>INDEX(PT_DIFFERENTIATION_VTAR,MATCH(A145,PT_DIFFERENTIATION_VTAR_ID,0))</f>
        <v>Тарифы на теплоноситель, поставляемый теплоснабжающими организациями потребителям, другим теплоснабжающим организациям</v>
      </c>
      <c r="G145" s="2428" t="str">
        <f>INDEX(PT_DIFFERENTIATION_NTAR,MATCH(B145,PT_DIFFERENTIATION_NTAR_ID,0))</f>
        <v>Тарифы на теплоноситель, поставляемый группе потребителей "население". Муниципальный округ город Апатиты с подведомственной территорией Мурманской области, муниципальный округ город Кировск с подведомственной территорией Мурманской области</v>
      </c>
      <c r="H145" s="1863"/>
      <c r="I145" s="1740"/>
      <c r="J145" s="1774"/>
      <c r="K145" s="1779"/>
      <c r="L145" s="1863" t="s">
        <v>436</v>
      </c>
      <c r="M145" s="342"/>
      <c r="N145" s="335"/>
      <c r="O145" s="1625"/>
      <c r="P145" s="1625"/>
      <c r="AH145" s="1632">
        <v>0</v>
      </c>
    </row>
    <row s="1636" customFormat="1" customHeight="1" ht="18.75" hidden="1">
      <c r="A146" s="1781"/>
      <c r="B146" s="1781"/>
      <c r="C146" s="370" t="s">
        <v>1285</v>
      </c>
      <c r="D146" s="2463"/>
      <c r="E146" s="2205"/>
      <c r="F146" s="2384"/>
      <c r="G146" s="2428"/>
      <c r="H146" s="1501"/>
      <c r="I146" s="652" t="s">
        <v>1284</v>
      </c>
      <c r="J146" s="572"/>
      <c r="K146" s="1501"/>
      <c r="L146" s="215"/>
      <c r="M146" s="342"/>
      <c r="N146" s="335"/>
      <c r="O146" s="1625"/>
      <c r="P146" s="1625"/>
      <c r="AH146" s="1632">
        <v>0</v>
      </c>
    </row>
    <row s="1636" customFormat="1" customHeight="1" ht="18.75">
      <c r="A147" s="1824" t="s">
        <v>254</v>
      </c>
      <c r="B147" s="1824" t="s">
        <v>263</v>
      </c>
      <c r="C147" s="1688"/>
      <c r="D147" s="345"/>
      <c r="E147" s="1032"/>
      <c r="F147" s="1032"/>
      <c r="G147" s="2428" t="str">
        <f>INDEX(PT_DIFFERENTIATION_NTAR,MATCH(B147,PT_DIFFERENTIATION_NTAR_ID,0))</f>
        <v>Тарифы на теплоноситель, поставляемый потребителям. Муниципальный округ город Апатиты с подведомственной территорией Мурманской области, муниципальный округ город Кировск с подведомственной территорией Мурманской области</v>
      </c>
      <c r="H147" s="2272"/>
      <c r="I147" s="1740"/>
      <c r="J147" s="1774"/>
      <c r="K147" s="1779"/>
      <c r="L147" s="2272" t="s">
        <v>436</v>
      </c>
      <c r="M147" s="2319"/>
      <c r="N147" s="619"/>
      <c r="O147" s="1625"/>
      <c r="P147" s="1625"/>
      <c r="Q147" s="1636"/>
      <c r="R147" s="1636"/>
      <c r="S147" s="1636"/>
      <c r="T147" s="1636"/>
      <c r="U147" s="1636"/>
      <c r="V147" s="1636"/>
      <c r="W147" s="1636"/>
      <c r="X147" s="1636"/>
      <c r="Y147" s="1636"/>
      <c r="Z147" s="1636"/>
      <c r="AA147" s="1636"/>
      <c r="AB147" s="1636"/>
      <c r="AC147" s="1636"/>
      <c r="AD147" s="1636"/>
      <c r="AE147" s="1636"/>
      <c r="AF147" s="1636"/>
      <c r="AG147" s="1636"/>
      <c r="AH147" s="1636">
        <v>0</v>
      </c>
    </row>
    <row s="1636" customFormat="1" customHeight="1" ht="18.75">
      <c r="A148" s="1824"/>
      <c r="B148" s="1824"/>
      <c r="C148" s="1688" t="s">
        <v>1285</v>
      </c>
      <c r="D148" s="345"/>
      <c r="E148" s="1032"/>
      <c r="F148" s="1032"/>
      <c r="G148" s="2428"/>
      <c r="H148" s="4968"/>
      <c r="I148" s="4969" t="s">
        <v>1284</v>
      </c>
      <c r="J148" s="4970"/>
      <c r="K148" s="4971"/>
      <c r="L148" s="4972"/>
      <c r="M148" s="2319"/>
      <c r="N148" s="619"/>
      <c r="O148" s="1625"/>
      <c r="P148" s="1625"/>
      <c r="Q148" s="1636"/>
      <c r="R148" s="1636"/>
      <c r="S148" s="1636"/>
      <c r="T148" s="1636"/>
      <c r="U148" s="1636"/>
      <c r="V148" s="1636"/>
      <c r="W148" s="1636"/>
      <c r="X148" s="1636"/>
      <c r="Y148" s="1636"/>
      <c r="Z148" s="1636"/>
      <c r="AA148" s="1636"/>
      <c r="AB148" s="1636"/>
      <c r="AC148" s="1636"/>
      <c r="AD148" s="1636"/>
      <c r="AE148" s="1636"/>
      <c r="AF148" s="1636"/>
      <c r="AG148" s="1636"/>
      <c r="AH148" s="1636">
        <v>0</v>
      </c>
    </row>
    <row s="1636" customFormat="1" customHeight="1" ht="0.75" hidden="1">
      <c r="A149" s="1781"/>
      <c r="B149" s="1781"/>
      <c r="C149" s="370" t="s">
        <v>1292</v>
      </c>
      <c r="D149" s="2463"/>
      <c r="E149" s="2205"/>
      <c r="F149" s="2384"/>
      <c r="G149" s="401"/>
      <c r="H149" s="1501"/>
      <c r="I149" s="652"/>
      <c r="J149" s="572"/>
      <c r="K149" s="1501"/>
      <c r="L149" s="215"/>
      <c r="M149" s="342"/>
      <c r="N149" s="335"/>
      <c r="O149" s="1625"/>
      <c r="P149" s="1625"/>
      <c r="AH149" s="1632">
        <v>0</v>
      </c>
    </row>
    <row s="1636" customFormat="1" customHeight="1" ht="45" hidden="1">
      <c r="A150" s="1781" t="s">
        <v>272</v>
      </c>
      <c r="B150" s="1781" t="s">
        <v>273</v>
      </c>
      <c r="C150" s="370"/>
      <c r="D150" s="2463"/>
      <c r="E150" s="2205"/>
      <c r="F150" s="2384" t="str">
        <f>INDEX(PT_DIFFERENTIATION_VTAR,MATCH(A150,PT_DIFFERENTIATION_VTAR_ID,0))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150" s="2428" t="str">
        <f>INDEX(PT_DIFFERENTIATION_NTAR,MATCH(B150,PT_DIFFERENTIATION_NTAR_ID,0))</f>
        <v>Тарифы на горячую воду в открытых системах теплоснабжения (горячее водоснабжение), поставляемую группе потребителей "население". Муниципальный округ город Апатиты с подведомственной территорией Мурманской области.</v>
      </c>
      <c r="H150" s="1863"/>
      <c r="I150" s="1740"/>
      <c r="J150" s="1774"/>
      <c r="K150" s="1779"/>
      <c r="L150" s="1863" t="s">
        <v>436</v>
      </c>
      <c r="M150" s="342"/>
      <c r="N150" s="335"/>
      <c r="O150" s="1625"/>
      <c r="P150" s="1625"/>
      <c r="AH150" s="1632">
        <v>0</v>
      </c>
    </row>
    <row s="1636" customFormat="1" customHeight="1" ht="18.75" hidden="1">
      <c r="A151" s="1781"/>
      <c r="B151" s="1781"/>
      <c r="C151" s="370" t="s">
        <v>1285</v>
      </c>
      <c r="D151" s="2463"/>
      <c r="E151" s="2205"/>
      <c r="F151" s="2384"/>
      <c r="G151" s="2428"/>
      <c r="H151" s="1501"/>
      <c r="I151" s="652" t="s">
        <v>1284</v>
      </c>
      <c r="J151" s="572"/>
      <c r="K151" s="1501"/>
      <c r="L151" s="215"/>
      <c r="M151" s="342"/>
      <c r="N151" s="335"/>
      <c r="O151" s="1625"/>
      <c r="P151" s="1625"/>
      <c r="AH151" s="1632">
        <v>0</v>
      </c>
    </row>
    <row s="1636" customFormat="1" customHeight="1" ht="18.75">
      <c r="A152" s="1824" t="s">
        <v>272</v>
      </c>
      <c r="B152" s="1824" t="s">
        <v>278</v>
      </c>
      <c r="C152" s="1688"/>
      <c r="D152" s="345"/>
      <c r="E152" s="1032"/>
      <c r="F152" s="1032"/>
      <c r="G152" s="2428" t="str">
        <f>INDEX(PT_DIFFERENTIATION_NTAR,MATCH(B152,PT_DIFFERENTIATION_NTAR_ID,0))</f>
        <v>Тарифы на горячую воду в открытых системах теплоснабжения (горячее водоснабжение), поставляемую группе потребителей "население". Муниципальный округ город Кировск с подведомственной территорией Мурманской области.</v>
      </c>
      <c r="H152" s="2272"/>
      <c r="I152" s="1740"/>
      <c r="J152" s="1774"/>
      <c r="K152" s="1779"/>
      <c r="L152" s="2272" t="s">
        <v>436</v>
      </c>
      <c r="M152" s="2319"/>
      <c r="N152" s="619"/>
      <c r="O152" s="1625"/>
      <c r="P152" s="1625"/>
      <c r="Q152" s="1636"/>
      <c r="R152" s="1636"/>
      <c r="S152" s="1636"/>
      <c r="T152" s="1636"/>
      <c r="U152" s="1636"/>
      <c r="V152" s="1636"/>
      <c r="W152" s="1636"/>
      <c r="X152" s="1636"/>
      <c r="Y152" s="1636"/>
      <c r="Z152" s="1636"/>
      <c r="AA152" s="1636"/>
      <c r="AB152" s="1636"/>
      <c r="AC152" s="1636"/>
      <c r="AD152" s="1636"/>
      <c r="AE152" s="1636"/>
      <c r="AF152" s="1636"/>
      <c r="AG152" s="1636"/>
      <c r="AH152" s="1636">
        <v>0</v>
      </c>
    </row>
    <row s="1636" customFormat="1" customHeight="1" ht="18.75">
      <c r="A153" s="1824"/>
      <c r="B153" s="1824"/>
      <c r="C153" s="1688" t="s">
        <v>1285</v>
      </c>
      <c r="D153" s="345"/>
      <c r="E153" s="1032"/>
      <c r="F153" s="1032"/>
      <c r="G153" s="2428"/>
      <c r="H153" s="4973"/>
      <c r="I153" s="4974" t="s">
        <v>1284</v>
      </c>
      <c r="J153" s="4975"/>
      <c r="K153" s="4976"/>
      <c r="L153" s="4977"/>
      <c r="M153" s="2319"/>
      <c r="N153" s="619"/>
      <c r="O153" s="1625"/>
      <c r="P153" s="1625"/>
      <c r="Q153" s="1636"/>
      <c r="R153" s="1636"/>
      <c r="S153" s="1636"/>
      <c r="T153" s="1636"/>
      <c r="U153" s="1636"/>
      <c r="V153" s="1636"/>
      <c r="W153" s="1636"/>
      <c r="X153" s="1636"/>
      <c r="Y153" s="1636"/>
      <c r="Z153" s="1636"/>
      <c r="AA153" s="1636"/>
      <c r="AB153" s="1636"/>
      <c r="AC153" s="1636"/>
      <c r="AD153" s="1636"/>
      <c r="AE153" s="1636"/>
      <c r="AF153" s="1636"/>
      <c r="AG153" s="1636"/>
      <c r="AH153" s="1636">
        <v>0</v>
      </c>
    </row>
    <row s="1636" customFormat="1" customHeight="1" ht="18.75">
      <c r="A154" s="1824" t="s">
        <v>272</v>
      </c>
      <c r="B154" s="1824" t="s">
        <v>283</v>
      </c>
      <c r="C154" s="1688"/>
      <c r="D154" s="345"/>
      <c r="E154" s="1032"/>
      <c r="F154" s="1032"/>
      <c r="G154" s="2428" t="str">
        <f>INDEX(PT_DIFFERENTIATION_NTAR,MATCH(B154,PT_DIFFERENTIATION_NTAR_ID,0))</f>
        <v>Тарифы на горячую воду в открытых системах теплоснабжения (горячее водоснабжение), поставляемую потребителям. Муниципальный округ город Апатиты с подведомственной территорией Мурманской области. Для потребителей на коллекторах источника тепловой энергии Апатитская ТЭЦ</v>
      </c>
      <c r="H154" s="2272"/>
      <c r="I154" s="1740"/>
      <c r="J154" s="1774"/>
      <c r="K154" s="1779"/>
      <c r="L154" s="2272" t="s">
        <v>436</v>
      </c>
      <c r="M154" s="2319"/>
      <c r="N154" s="619"/>
      <c r="O154" s="1625"/>
      <c r="P154" s="1625"/>
      <c r="Q154" s="1636"/>
      <c r="R154" s="1636"/>
      <c r="S154" s="1636"/>
      <c r="T154" s="1636"/>
      <c r="U154" s="1636"/>
      <c r="V154" s="1636"/>
      <c r="W154" s="1636"/>
      <c r="X154" s="1636"/>
      <c r="Y154" s="1636"/>
      <c r="Z154" s="1636"/>
      <c r="AA154" s="1636"/>
      <c r="AB154" s="1636"/>
      <c r="AC154" s="1636"/>
      <c r="AD154" s="1636"/>
      <c r="AE154" s="1636"/>
      <c r="AF154" s="1636"/>
      <c r="AG154" s="1636"/>
      <c r="AH154" s="1636">
        <v>0</v>
      </c>
    </row>
    <row s="1636" customFormat="1" customHeight="1" ht="18.75">
      <c r="A155" s="1824"/>
      <c r="B155" s="1824"/>
      <c r="C155" s="1688" t="s">
        <v>1285</v>
      </c>
      <c r="D155" s="345"/>
      <c r="E155" s="1032"/>
      <c r="F155" s="1032"/>
      <c r="G155" s="2428"/>
      <c r="H155" s="4978"/>
      <c r="I155" s="4979" t="s">
        <v>1284</v>
      </c>
      <c r="J155" s="4980"/>
      <c r="K155" s="4981"/>
      <c r="L155" s="4982"/>
      <c r="M155" s="2319"/>
      <c r="N155" s="619"/>
      <c r="O155" s="1625"/>
      <c r="P155" s="1625"/>
      <c r="Q155" s="1636"/>
      <c r="R155" s="1636"/>
      <c r="S155" s="1636"/>
      <c r="T155" s="1636"/>
      <c r="U155" s="1636"/>
      <c r="V155" s="1636"/>
      <c r="W155" s="1636"/>
      <c r="X155" s="1636"/>
      <c r="Y155" s="1636"/>
      <c r="Z155" s="1636"/>
      <c r="AA155" s="1636"/>
      <c r="AB155" s="1636"/>
      <c r="AC155" s="1636"/>
      <c r="AD155" s="1636"/>
      <c r="AE155" s="1636"/>
      <c r="AF155" s="1636"/>
      <c r="AG155" s="1636"/>
      <c r="AH155" s="1636">
        <v>0</v>
      </c>
    </row>
    <row s="1636" customFormat="1" customHeight="1" ht="18.75">
      <c r="A156" s="1824" t="s">
        <v>272</v>
      </c>
      <c r="B156" s="1824" t="s">
        <v>288</v>
      </c>
      <c r="C156" s="1688"/>
      <c r="D156" s="345"/>
      <c r="E156" s="1032"/>
      <c r="F156" s="1032"/>
      <c r="G156" s="2428" t="str">
        <f>INDEX(PT_DIFFERENTIATION_NTAR,MATCH(B156,PT_DIFFERENTIATION_NTAR_ID,0))</f>
        <v>Тарифы на горячую воду в открытых системах теплоснабжения (горячее водоснабжение), поставляемую потребителям. Муниципальный округ город Апатиты с подведомственной территорией Мурманской области. Для потребителей, подключенных к тепловым сетям ПАО "ТГК-1"</v>
      </c>
      <c r="H156" s="2272"/>
      <c r="I156" s="1740"/>
      <c r="J156" s="1774"/>
      <c r="K156" s="1779"/>
      <c r="L156" s="2272" t="s">
        <v>436</v>
      </c>
      <c r="M156" s="2319"/>
      <c r="N156" s="619"/>
      <c r="O156" s="1625"/>
      <c r="P156" s="1625"/>
      <c r="Q156" s="1636"/>
      <c r="R156" s="1636"/>
      <c r="S156" s="1636"/>
      <c r="T156" s="1636"/>
      <c r="U156" s="1636"/>
      <c r="V156" s="1636"/>
      <c r="W156" s="1636"/>
      <c r="X156" s="1636"/>
      <c r="Y156" s="1636"/>
      <c r="Z156" s="1636"/>
      <c r="AA156" s="1636"/>
      <c r="AB156" s="1636"/>
      <c r="AC156" s="1636"/>
      <c r="AD156" s="1636"/>
      <c r="AE156" s="1636"/>
      <c r="AF156" s="1636"/>
      <c r="AG156" s="1636"/>
      <c r="AH156" s="1636">
        <v>0</v>
      </c>
    </row>
    <row s="1636" customFormat="1" customHeight="1" ht="18.75">
      <c r="A157" s="1824"/>
      <c r="B157" s="1824"/>
      <c r="C157" s="1688" t="s">
        <v>1285</v>
      </c>
      <c r="D157" s="345"/>
      <c r="E157" s="1032"/>
      <c r="F157" s="1032"/>
      <c r="G157" s="2428"/>
      <c r="H157" s="4983"/>
      <c r="I157" s="4984" t="s">
        <v>1284</v>
      </c>
      <c r="J157" s="4985"/>
      <c r="K157" s="4986"/>
      <c r="L157" s="4987"/>
      <c r="M157" s="2319"/>
      <c r="N157" s="619"/>
      <c r="O157" s="1625"/>
      <c r="P157" s="1625"/>
      <c r="Q157" s="1636"/>
      <c r="R157" s="1636"/>
      <c r="S157" s="1636"/>
      <c r="T157" s="1636"/>
      <c r="U157" s="1636"/>
      <c r="V157" s="1636"/>
      <c r="W157" s="1636"/>
      <c r="X157" s="1636"/>
      <c r="Y157" s="1636"/>
      <c r="Z157" s="1636"/>
      <c r="AA157" s="1636"/>
      <c r="AB157" s="1636"/>
      <c r="AC157" s="1636"/>
      <c r="AD157" s="1636"/>
      <c r="AE157" s="1636"/>
      <c r="AF157" s="1636"/>
      <c r="AG157" s="1636"/>
      <c r="AH157" s="1636">
        <v>0</v>
      </c>
    </row>
    <row s="1636" customFormat="1" customHeight="1" ht="18.75">
      <c r="A158" s="1824" t="s">
        <v>272</v>
      </c>
      <c r="B158" s="1824" t="s">
        <v>293</v>
      </c>
      <c r="C158" s="1688"/>
      <c r="D158" s="345"/>
      <c r="E158" s="1032"/>
      <c r="F158" s="1032"/>
      <c r="G158" s="2428" t="str">
        <f>INDEX(PT_DIFFERENTIATION_NTAR,MATCH(B158,PT_DIFFERENTIATION_NTAR_ID,0))</f>
        <v>Тарифы на горячую воду в открытых системах теплоснабжения (горячее водоснабжение), поставляемую потребителям. Муниципальный округ город Апатиты с подведомственной территорией Мурманской области. Для потребителей, подключенных к тепловым сетям АО "Апатитыэнерго"</v>
      </c>
      <c r="H158" s="2272"/>
      <c r="I158" s="1740"/>
      <c r="J158" s="1774"/>
      <c r="K158" s="1779"/>
      <c r="L158" s="2272" t="s">
        <v>436</v>
      </c>
      <c r="M158" s="2319"/>
      <c r="N158" s="619"/>
      <c r="O158" s="1625"/>
      <c r="P158" s="1625"/>
      <c r="Q158" s="1636"/>
      <c r="R158" s="1636"/>
      <c r="S158" s="1636"/>
      <c r="T158" s="1636"/>
      <c r="U158" s="1636"/>
      <c r="V158" s="1636"/>
      <c r="W158" s="1636"/>
      <c r="X158" s="1636"/>
      <c r="Y158" s="1636"/>
      <c r="Z158" s="1636"/>
      <c r="AA158" s="1636"/>
      <c r="AB158" s="1636"/>
      <c r="AC158" s="1636"/>
      <c r="AD158" s="1636"/>
      <c r="AE158" s="1636"/>
      <c r="AF158" s="1636"/>
      <c r="AG158" s="1636"/>
      <c r="AH158" s="1636">
        <v>0</v>
      </c>
    </row>
    <row s="1636" customFormat="1" customHeight="1" ht="18.75">
      <c r="A159" s="1824"/>
      <c r="B159" s="1824"/>
      <c r="C159" s="1688" t="s">
        <v>1285</v>
      </c>
      <c r="D159" s="345"/>
      <c r="E159" s="1032"/>
      <c r="F159" s="1032"/>
      <c r="G159" s="2428"/>
      <c r="H159" s="4988"/>
      <c r="I159" s="4989" t="s">
        <v>1284</v>
      </c>
      <c r="J159" s="4990"/>
      <c r="K159" s="4991"/>
      <c r="L159" s="4992"/>
      <c r="M159" s="2319"/>
      <c r="N159" s="619"/>
      <c r="O159" s="1625"/>
      <c r="P159" s="1625"/>
      <c r="Q159" s="1636"/>
      <c r="R159" s="1636"/>
      <c r="S159" s="1636"/>
      <c r="T159" s="1636"/>
      <c r="U159" s="1636"/>
      <c r="V159" s="1636"/>
      <c r="W159" s="1636"/>
      <c r="X159" s="1636"/>
      <c r="Y159" s="1636"/>
      <c r="Z159" s="1636"/>
      <c r="AA159" s="1636"/>
      <c r="AB159" s="1636"/>
      <c r="AC159" s="1636"/>
      <c r="AD159" s="1636"/>
      <c r="AE159" s="1636"/>
      <c r="AF159" s="1636"/>
      <c r="AG159" s="1636"/>
      <c r="AH159" s="1636">
        <v>0</v>
      </c>
    </row>
    <row s="1636" customFormat="1" customHeight="1" ht="18.75">
      <c r="A160" s="1824" t="s">
        <v>272</v>
      </c>
      <c r="B160" s="1824" t="s">
        <v>298</v>
      </c>
      <c r="C160" s="1688"/>
      <c r="D160" s="345"/>
      <c r="E160" s="1032"/>
      <c r="F160" s="1032"/>
      <c r="G160" s="2428" t="str">
        <f>INDEX(PT_DIFFERENTIATION_NTAR,MATCH(B160,PT_DIFFERENTIATION_NTAR_ID,0))</f>
        <v>Тарифы на горячую воду в открытых системах теплоснабжения (горячее водоснабжение), поставляемую потребителям. Муниципальный округ город Кировск с подведомственной территорией Мурманской области. Для потребителей в случае отсутствия дифференциации тарифов по схеме подключения</v>
      </c>
      <c r="H160" s="2272"/>
      <c r="I160" s="1740"/>
      <c r="J160" s="1774"/>
      <c r="K160" s="1779"/>
      <c r="L160" s="2272" t="s">
        <v>436</v>
      </c>
      <c r="M160" s="2319"/>
      <c r="N160" s="619"/>
      <c r="O160" s="1625"/>
      <c r="P160" s="1625"/>
      <c r="Q160" s="1636"/>
      <c r="R160" s="1636"/>
      <c r="S160" s="1636"/>
      <c r="T160" s="1636"/>
      <c r="U160" s="1636"/>
      <c r="V160" s="1636"/>
      <c r="W160" s="1636"/>
      <c r="X160" s="1636"/>
      <c r="Y160" s="1636"/>
      <c r="Z160" s="1636"/>
      <c r="AA160" s="1636"/>
      <c r="AB160" s="1636"/>
      <c r="AC160" s="1636"/>
      <c r="AD160" s="1636"/>
      <c r="AE160" s="1636"/>
      <c r="AF160" s="1636"/>
      <c r="AG160" s="1636"/>
      <c r="AH160" s="1636">
        <v>0</v>
      </c>
    </row>
    <row s="1636" customFormat="1" customHeight="1" ht="18.75">
      <c r="A161" s="1824"/>
      <c r="B161" s="1824"/>
      <c r="C161" s="1688" t="s">
        <v>1285</v>
      </c>
      <c r="D161" s="345"/>
      <c r="E161" s="1032"/>
      <c r="F161" s="1032"/>
      <c r="G161" s="2428"/>
      <c r="H161" s="4993"/>
      <c r="I161" s="4994" t="s">
        <v>1284</v>
      </c>
      <c r="J161" s="4995"/>
      <c r="K161" s="4996"/>
      <c r="L161" s="4997"/>
      <c r="M161" s="2319"/>
      <c r="N161" s="619"/>
      <c r="O161" s="1625"/>
      <c r="P161" s="1625"/>
      <c r="Q161" s="1636"/>
      <c r="R161" s="1636"/>
      <c r="S161" s="1636"/>
      <c r="T161" s="1636"/>
      <c r="U161" s="1636"/>
      <c r="V161" s="1636"/>
      <c r="W161" s="1636"/>
      <c r="X161" s="1636"/>
      <c r="Y161" s="1636"/>
      <c r="Z161" s="1636"/>
      <c r="AA161" s="1636"/>
      <c r="AB161" s="1636"/>
      <c r="AC161" s="1636"/>
      <c r="AD161" s="1636"/>
      <c r="AE161" s="1636"/>
      <c r="AF161" s="1636"/>
      <c r="AG161" s="1636"/>
      <c r="AH161" s="1636">
        <v>0</v>
      </c>
    </row>
    <row s="1636" customFormat="1" customHeight="1" ht="0.75" hidden="1">
      <c r="A162" s="1781"/>
      <c r="B162" s="1781"/>
      <c r="C162" s="370" t="s">
        <v>1292</v>
      </c>
      <c r="D162" s="2463"/>
      <c r="E162" s="2205"/>
      <c r="F162" s="2384"/>
      <c r="G162" s="401"/>
      <c r="H162" s="1501"/>
      <c r="I162" s="652"/>
      <c r="J162" s="572"/>
      <c r="K162" s="1501"/>
      <c r="L162" s="215"/>
      <c r="M162" s="342"/>
      <c r="N162" s="335"/>
      <c r="O162" s="1625"/>
      <c r="P162" s="1625"/>
      <c r="AH162" s="1632">
        <v>0</v>
      </c>
    </row>
    <row s="1636" customFormat="1" customHeight="1" ht="18.75" hidden="1">
      <c r="A163" s="1781" t="s">
        <v>303</v>
      </c>
      <c r="B163" s="1781" t="s">
        <v>304</v>
      </c>
      <c r="C163" s="370"/>
      <c r="D163" s="2463"/>
      <c r="E163" s="2205"/>
      <c r="F163" s="2384" t="str">
        <f>INDEX(PT_DIFFERENTIATION_VTAR,MATCH(A163,PT_DIFFERENTIATION_VTAR_ID,0))</f>
        <v>Тарифы на услуги по передаче тепловой энергии</v>
      </c>
      <c r="G163" s="2428" t="str">
        <f>INDEX(PT_DIFFERENTIATION_NTAR,MATCH(B163,PT_DIFFERENTIATION_NTAR_ID,0))</f>
        <v/>
      </c>
      <c r="H163" s="1863"/>
      <c r="I163" s="1740"/>
      <c r="J163" s="1774"/>
      <c r="K163" s="1779"/>
      <c r="L163" s="1863" t="s">
        <v>436</v>
      </c>
      <c r="M163" s="342"/>
      <c r="N163" s="335"/>
      <c r="O163" s="1625"/>
      <c r="P163" s="1625"/>
      <c r="AH163" s="1632">
        <v>0</v>
      </c>
    </row>
    <row s="1636" customFormat="1" customHeight="1" ht="18.75" hidden="1">
      <c r="A164" s="1781"/>
      <c r="B164" s="1781"/>
      <c r="C164" s="370" t="s">
        <v>1285</v>
      </c>
      <c r="D164" s="2463"/>
      <c r="E164" s="2205"/>
      <c r="F164" s="2384"/>
      <c r="G164" s="2428"/>
      <c r="H164" s="1501"/>
      <c r="I164" s="652" t="s">
        <v>1284</v>
      </c>
      <c r="J164" s="572"/>
      <c r="K164" s="1501"/>
      <c r="L164" s="215"/>
      <c r="M164" s="342"/>
      <c r="N164" s="335"/>
      <c r="O164" s="1625"/>
      <c r="P164" s="1625"/>
      <c r="AH164" s="1632">
        <v>0</v>
      </c>
    </row>
    <row s="1636" customFormat="1" customHeight="1" ht="0.75" hidden="1">
      <c r="A165" s="1781"/>
      <c r="B165" s="1781"/>
      <c r="C165" s="370" t="s">
        <v>1292</v>
      </c>
      <c r="D165" s="2463"/>
      <c r="E165" s="2205"/>
      <c r="F165" s="2384"/>
      <c r="G165" s="401"/>
      <c r="H165" s="1501"/>
      <c r="I165" s="652"/>
      <c r="J165" s="572"/>
      <c r="K165" s="1501"/>
      <c r="L165" s="215"/>
      <c r="M165" s="342"/>
      <c r="N165" s="335"/>
      <c r="O165" s="1625"/>
      <c r="P165" s="1625"/>
      <c r="AH165" s="1632">
        <v>0</v>
      </c>
    </row>
    <row s="1636" customFormat="1" customHeight="1" ht="18.75" hidden="1">
      <c r="A166" s="1781" t="s">
        <v>309</v>
      </c>
      <c r="B166" s="1781" t="s">
        <v>310</v>
      </c>
      <c r="C166" s="370"/>
      <c r="D166" s="2463"/>
      <c r="E166" s="2205"/>
      <c r="F166" s="2384" t="str">
        <f>INDEX(PT_DIFFERENTIATION_VTAR,MATCH(A166,PT_DIFFERENTIATION_VTAR_ID,0))</f>
        <v>Тарифы на услуги по передаче теплоносителя</v>
      </c>
      <c r="G166" s="2428" t="str">
        <f>INDEX(PT_DIFFERENTIATION_NTAR,MATCH(B166,PT_DIFFERENTIATION_NTAR_ID,0))</f>
        <v/>
      </c>
      <c r="H166" s="1863"/>
      <c r="I166" s="1740"/>
      <c r="J166" s="1774"/>
      <c r="K166" s="1779"/>
      <c r="L166" s="1863" t="s">
        <v>436</v>
      </c>
      <c r="M166" s="342"/>
      <c r="N166" s="335"/>
      <c r="O166" s="1625"/>
      <c r="P166" s="1625"/>
      <c r="AH166" s="1632">
        <v>0</v>
      </c>
    </row>
    <row s="1636" customFormat="1" customHeight="1" ht="18.75" hidden="1">
      <c r="A167" s="1781"/>
      <c r="B167" s="1781"/>
      <c r="C167" s="370" t="s">
        <v>1285</v>
      </c>
      <c r="D167" s="2463"/>
      <c r="E167" s="2205"/>
      <c r="F167" s="2384"/>
      <c r="G167" s="2428"/>
      <c r="H167" s="1501"/>
      <c r="I167" s="652" t="s">
        <v>1284</v>
      </c>
      <c r="J167" s="572"/>
      <c r="K167" s="1501"/>
      <c r="L167" s="215"/>
      <c r="M167" s="342"/>
      <c r="N167" s="335"/>
      <c r="O167" s="1625"/>
      <c r="P167" s="1625"/>
      <c r="AH167" s="1632">
        <v>0</v>
      </c>
    </row>
    <row s="1636" customFormat="1" customHeight="1" ht="0.75" hidden="1">
      <c r="A168" s="1781"/>
      <c r="B168" s="1781"/>
      <c r="C168" s="370" t="s">
        <v>1292</v>
      </c>
      <c r="D168" s="2463"/>
      <c r="E168" s="2205"/>
      <c r="F168" s="2384"/>
      <c r="G168" s="401"/>
      <c r="H168" s="1501"/>
      <c r="I168" s="652"/>
      <c r="J168" s="572"/>
      <c r="K168" s="1501"/>
      <c r="L168" s="215"/>
      <c r="M168" s="342"/>
      <c r="N168" s="335"/>
      <c r="O168" s="1625"/>
      <c r="P168" s="1625"/>
      <c r="AH168" s="1632">
        <v>0</v>
      </c>
    </row>
    <row s="1636" customFormat="1" customHeight="1" ht="18.75" hidden="1">
      <c r="A169" s="1781" t="s">
        <v>317</v>
      </c>
      <c r="B169" s="1781" t="s">
        <v>318</v>
      </c>
      <c r="C169" s="370"/>
      <c r="D169" s="2463"/>
      <c r="E169" s="2205"/>
      <c r="F169" s="2384" t="str">
        <f>INDEX(PT_DIFFERENTIATION_VTAR,MATCH(A169,PT_DIFFERENTIATION_VTAR_ID,0))</f>
        <v>Плата за услуги по поддержанию резервной тепловой мощности при отсутствии потребления тепловой энергии</v>
      </c>
      <c r="G169" s="2428" t="str">
        <f>INDEX(PT_DIFFERENTIATION_NTAR,MATCH(B169,PT_DIFFERENTIATION_NTAR_ID,0))</f>
        <v>Плата за услуги по поддержанию резервной тепловой мощности. </v>
      </c>
      <c r="H169" s="1863"/>
      <c r="I169" s="1740"/>
      <c r="J169" s="1774"/>
      <c r="K169" s="1779"/>
      <c r="L169" s="1863" t="s">
        <v>436</v>
      </c>
      <c r="M169" s="342"/>
      <c r="N169" s="335"/>
      <c r="O169" s="1625"/>
      <c r="P169" s="1625"/>
      <c r="AH169" s="1632">
        <v>0</v>
      </c>
    </row>
    <row s="1636" customFormat="1" customHeight="1" ht="18.75" hidden="1">
      <c r="A170" s="1781"/>
      <c r="B170" s="1781"/>
      <c r="C170" s="370" t="s">
        <v>1285</v>
      </c>
      <c r="D170" s="2463"/>
      <c r="E170" s="2205"/>
      <c r="F170" s="2384"/>
      <c r="G170" s="2428"/>
      <c r="H170" s="1501"/>
      <c r="I170" s="652" t="s">
        <v>1284</v>
      </c>
      <c r="J170" s="572"/>
      <c r="K170" s="1501"/>
      <c r="L170" s="215"/>
      <c r="M170" s="342"/>
      <c r="N170" s="335"/>
      <c r="O170" s="1625"/>
      <c r="P170" s="1625"/>
      <c r="AH170" s="1632">
        <v>0</v>
      </c>
    </row>
    <row s="1636" customFormat="1" customHeight="1" ht="0.75" hidden="1">
      <c r="A171" s="1781"/>
      <c r="B171" s="1781"/>
      <c r="C171" s="370" t="s">
        <v>1292</v>
      </c>
      <c r="D171" s="2463"/>
      <c r="E171" s="2205"/>
      <c r="F171" s="2384"/>
      <c r="G171" s="401"/>
      <c r="H171" s="1501"/>
      <c r="I171" s="652"/>
      <c r="J171" s="572"/>
      <c r="K171" s="1501"/>
      <c r="L171" s="215"/>
      <c r="M171" s="342"/>
      <c r="N171" s="335"/>
      <c r="O171" s="1625"/>
      <c r="P171" s="1625"/>
      <c r="AH171" s="1632">
        <v>0</v>
      </c>
    </row>
    <row s="1636" customFormat="1" customHeight="1" ht="18.75" hidden="1">
      <c r="A172" s="1781" t="s">
        <v>329</v>
      </c>
      <c r="B172" s="1781" t="s">
        <v>330</v>
      </c>
      <c r="C172" s="370"/>
      <c r="D172" s="2463"/>
      <c r="E172" s="2205"/>
      <c r="F172" s="2384" t="str">
        <f>INDEX(PT_DIFFERENTIATION_VTAR,MATCH(A172,PT_DIFFERENTIATION_VTAR_ID,0))</f>
        <v>Плата за подключение (технологическое присоединение) к системе теплоснабжения</v>
      </c>
      <c r="G172" s="2428" t="str">
        <f>INDEX(PT_DIFFERENTIATION_NTAR,MATCH(B172,PT_DIFFERENTIATION_NTAR_ID,0))</f>
        <v/>
      </c>
      <c r="H172" s="1863"/>
      <c r="I172" s="1740"/>
      <c r="J172" s="1774"/>
      <c r="K172" s="1779"/>
      <c r="L172" s="1863" t="s">
        <v>436</v>
      </c>
      <c r="M172" s="342"/>
      <c r="N172" s="335"/>
      <c r="O172" s="1625"/>
      <c r="P172" s="1625"/>
      <c r="AH172" s="1632">
        <v>0</v>
      </c>
    </row>
    <row s="1636" customFormat="1" customHeight="1" ht="18.75" hidden="1">
      <c r="A173" s="1781"/>
      <c r="B173" s="1781"/>
      <c r="C173" s="370" t="s">
        <v>1285</v>
      </c>
      <c r="D173" s="2463"/>
      <c r="E173" s="2205"/>
      <c r="F173" s="2384"/>
      <c r="G173" s="2428"/>
      <c r="H173" s="1501"/>
      <c r="I173" s="652" t="s">
        <v>1284</v>
      </c>
      <c r="J173" s="572"/>
      <c r="K173" s="1501"/>
      <c r="L173" s="215"/>
      <c r="M173" s="342"/>
      <c r="N173" s="335"/>
      <c r="O173" s="1625"/>
      <c r="P173" s="1625"/>
      <c r="AH173" s="1632">
        <v>0</v>
      </c>
    </row>
    <row s="1636" customFormat="1" customHeight="1" ht="0.75" hidden="1">
      <c r="A174" s="1781"/>
      <c r="B174" s="1781"/>
      <c r="C174" s="370" t="s">
        <v>1292</v>
      </c>
      <c r="D174" s="2463"/>
      <c r="E174" s="2205"/>
      <c r="F174" s="2384"/>
      <c r="G174" s="401"/>
      <c r="H174" s="1501"/>
      <c r="I174" s="652"/>
      <c r="J174" s="572"/>
      <c r="K174" s="1501"/>
      <c r="L174" s="215"/>
      <c r="M174" s="342"/>
      <c r="N174" s="335"/>
      <c r="O174" s="1625"/>
      <c r="P174" s="1625"/>
      <c r="AH174" s="1632">
        <v>0</v>
      </c>
    </row>
    <row s="1636" customFormat="1" customHeight="1" ht="18.75" hidden="1">
      <c r="A175" s="1781" t="s">
        <v>335</v>
      </c>
      <c r="B175" s="1781" t="s">
        <v>336</v>
      </c>
      <c r="C175" s="370"/>
      <c r="D175" s="2463"/>
      <c r="E175" s="2205"/>
      <c r="F175" s="2384" t="str">
        <f>INDEX(PT_DIFFERENTIATION_VTAR,MATCH(A175,PT_DIFFERENTIATION_VTAR_ID,0))</f>
        <v>Плата за подключение (технологическое присоединение) к системе теплоснабжения (индивидуальная)</v>
      </c>
      <c r="G175" s="2428" t="str">
        <f>INDEX(PT_DIFFERENTIATION_NTAR,MATCH(B175,PT_DIFFERENTIATION_NTAR_ID,0))</f>
        <v/>
      </c>
      <c r="H175" s="1990"/>
      <c r="I175" s="1740"/>
      <c r="J175" s="1774"/>
      <c r="K175" s="1779"/>
      <c r="L175" s="1990" t="s">
        <v>436</v>
      </c>
      <c r="M175" s="342"/>
      <c r="N175" s="335"/>
      <c r="O175" s="1625"/>
      <c r="P175" s="1625"/>
      <c r="AH175" s="1632">
        <v>0</v>
      </c>
    </row>
    <row s="1636" customFormat="1" customHeight="1" ht="18.75" hidden="1">
      <c r="A176" s="1781"/>
      <c r="B176" s="1781"/>
      <c r="C176" s="370" t="s">
        <v>1285</v>
      </c>
      <c r="D176" s="2463"/>
      <c r="E176" s="2205"/>
      <c r="F176" s="2384"/>
      <c r="G176" s="2428"/>
      <c r="H176" s="1501"/>
      <c r="I176" s="652" t="s">
        <v>1284</v>
      </c>
      <c r="J176" s="572"/>
      <c r="K176" s="1501"/>
      <c r="L176" s="215"/>
      <c r="M176" s="342"/>
      <c r="N176" s="335"/>
      <c r="O176" s="1625"/>
      <c r="P176" s="1625"/>
      <c r="AH176" s="1632">
        <v>0</v>
      </c>
    </row>
    <row s="1636" customFormat="1" customHeight="1" ht="0.75" hidden="1">
      <c r="A177" s="1781"/>
      <c r="B177" s="1781"/>
      <c r="C177" s="370" t="s">
        <v>1292</v>
      </c>
      <c r="D177" s="2463"/>
      <c r="E177" s="2205"/>
      <c r="F177" s="2384"/>
      <c r="G177" s="401"/>
      <c r="H177" s="1501"/>
      <c r="I177" s="652"/>
      <c r="J177" s="572"/>
      <c r="K177" s="1501"/>
      <c r="L177" s="215"/>
      <c r="M177" s="342"/>
      <c r="N177" s="335"/>
      <c r="O177" s="1625"/>
      <c r="P177" s="1625"/>
      <c r="AH177" s="1632">
        <v>0</v>
      </c>
    </row>
    <row s="1636" customFormat="1" customHeight="1" ht="18.75" hidden="1">
      <c r="A178" s="1781" t="s">
        <v>355</v>
      </c>
      <c r="B178" s="1781" t="s">
        <v>356</v>
      </c>
      <c r="C178" s="370"/>
      <c r="D178" s="2463"/>
      <c r="E178" s="2205"/>
      <c r="F178" s="2384" t="str">
        <f>INDEX(PT_DIFFERENTIATION_VTAR,MATCH(A178,PT_DIFFERENTIATION_VTAR_ID,0))</f>
        <v>Тариф на питьевую воду (питьевое водоснабжение)</v>
      </c>
      <c r="G178" s="2428" t="str">
        <f>INDEX(PT_DIFFERENTIATION_NTAR,MATCH(B178,PT_DIFFERENTIATION_NTAR_ID,0))</f>
        <v/>
      </c>
      <c r="H178" s="1863"/>
      <c r="I178" s="1740"/>
      <c r="J178" s="1774"/>
      <c r="K178" s="1779"/>
      <c r="L178" s="1863" t="s">
        <v>436</v>
      </c>
      <c r="M178" s="342"/>
      <c r="N178" s="335"/>
      <c r="O178" s="1625"/>
      <c r="P178" s="1625"/>
      <c r="AH178" s="1632">
        <v>0</v>
      </c>
    </row>
    <row s="1636" customFormat="1" customHeight="1" ht="18.75" hidden="1">
      <c r="A179" s="1781"/>
      <c r="B179" s="1781"/>
      <c r="C179" s="370" t="s">
        <v>1285</v>
      </c>
      <c r="D179" s="2463"/>
      <c r="E179" s="2205"/>
      <c r="F179" s="2384"/>
      <c r="G179" s="2428"/>
      <c r="H179" s="1501"/>
      <c r="I179" s="652" t="s">
        <v>1284</v>
      </c>
      <c r="J179" s="572"/>
      <c r="K179" s="1501"/>
      <c r="L179" s="215"/>
      <c r="M179" s="342"/>
      <c r="N179" s="335"/>
      <c r="O179" s="1625"/>
      <c r="P179" s="1625"/>
      <c r="AH179" s="1632">
        <v>0</v>
      </c>
    </row>
    <row s="1636" customFormat="1" customHeight="1" ht="0.75" hidden="1">
      <c r="A180" s="1781"/>
      <c r="B180" s="1781"/>
      <c r="C180" s="370" t="s">
        <v>1292</v>
      </c>
      <c r="D180" s="2463"/>
      <c r="E180" s="2205"/>
      <c r="F180" s="2384"/>
      <c r="G180" s="401"/>
      <c r="H180" s="1501"/>
      <c r="I180" s="652"/>
      <c r="J180" s="572"/>
      <c r="K180" s="1501"/>
      <c r="L180" s="215"/>
      <c r="M180" s="342"/>
      <c r="N180" s="335"/>
      <c r="O180" s="1625"/>
      <c r="P180" s="1625"/>
      <c r="AH180" s="1632">
        <v>0</v>
      </c>
    </row>
    <row s="1636" customFormat="1" customHeight="1" ht="18.75" hidden="1">
      <c r="A181" s="1781" t="s">
        <v>360</v>
      </c>
      <c r="B181" s="1781" t="s">
        <v>361</v>
      </c>
      <c r="C181" s="370"/>
      <c r="D181" s="2463"/>
      <c r="E181" s="2205"/>
      <c r="F181" s="2384" t="str">
        <f>INDEX(PT_DIFFERENTIATION_VTAR,MATCH(A181,PT_DIFFERENTIATION_VTAR_ID,0))</f>
        <v>Тариф на техническую воду</v>
      </c>
      <c r="G181" s="2428" t="str">
        <f>INDEX(PT_DIFFERENTIATION_NTAR,MATCH(B181,PT_DIFFERENTIATION_NTAR_ID,0))</f>
        <v/>
      </c>
      <c r="H181" s="1863"/>
      <c r="I181" s="1740"/>
      <c r="J181" s="1774"/>
      <c r="K181" s="1779"/>
      <c r="L181" s="1863" t="s">
        <v>436</v>
      </c>
      <c r="M181" s="342"/>
      <c r="N181" s="335"/>
      <c r="O181" s="1625"/>
      <c r="P181" s="1625"/>
      <c r="AH181" s="1632">
        <v>0</v>
      </c>
    </row>
    <row s="1636" customFormat="1" customHeight="1" ht="18.75" hidden="1">
      <c r="A182" s="1781"/>
      <c r="B182" s="1781"/>
      <c r="C182" s="370" t="s">
        <v>1285</v>
      </c>
      <c r="D182" s="2463"/>
      <c r="E182" s="2205"/>
      <c r="F182" s="2384"/>
      <c r="G182" s="2428"/>
      <c r="H182" s="1501"/>
      <c r="I182" s="652" t="s">
        <v>1284</v>
      </c>
      <c r="J182" s="572"/>
      <c r="K182" s="1501"/>
      <c r="L182" s="215"/>
      <c r="M182" s="342"/>
      <c r="N182" s="335"/>
      <c r="O182" s="1625"/>
      <c r="P182" s="1625"/>
      <c r="AH182" s="1632">
        <v>0</v>
      </c>
    </row>
    <row s="1636" customFormat="1" customHeight="1" ht="0.75" hidden="1">
      <c r="A183" s="1781"/>
      <c r="B183" s="1781"/>
      <c r="C183" s="370" t="s">
        <v>1292</v>
      </c>
      <c r="D183" s="2463"/>
      <c r="E183" s="2205"/>
      <c r="F183" s="2384"/>
      <c r="G183" s="401"/>
      <c r="H183" s="1501"/>
      <c r="I183" s="652"/>
      <c r="J183" s="572"/>
      <c r="K183" s="1501"/>
      <c r="L183" s="215"/>
      <c r="M183" s="342"/>
      <c r="N183" s="335"/>
      <c r="O183" s="1625"/>
      <c r="P183" s="1625"/>
      <c r="AH183" s="1632">
        <v>0</v>
      </c>
    </row>
    <row s="1636" customFormat="1" customHeight="1" ht="18.75" hidden="1">
      <c r="A184" s="1781" t="s">
        <v>365</v>
      </c>
      <c r="B184" s="1781" t="s">
        <v>366</v>
      </c>
      <c r="C184" s="370"/>
      <c r="D184" s="2463"/>
      <c r="E184" s="2205"/>
      <c r="F184" s="2384" t="str">
        <f>INDEX(PT_DIFFERENTIATION_VTAR,MATCH(A184,PT_DIFFERENTIATION_VTAR_ID,0))</f>
        <v>Тариф на транспортировку воды</v>
      </c>
      <c r="G184" s="2428" t="str">
        <f>INDEX(PT_DIFFERENTIATION_NTAR,MATCH(B184,PT_DIFFERENTIATION_NTAR_ID,0))</f>
        <v/>
      </c>
      <c r="H184" s="1863"/>
      <c r="I184" s="1740"/>
      <c r="J184" s="1774"/>
      <c r="K184" s="1779"/>
      <c r="L184" s="1863" t="s">
        <v>436</v>
      </c>
      <c r="M184" s="342"/>
      <c r="N184" s="335"/>
      <c r="O184" s="1625"/>
      <c r="P184" s="1625"/>
      <c r="AH184" s="1632">
        <v>0</v>
      </c>
    </row>
    <row s="1636" customFormat="1" customHeight="1" ht="18.75" hidden="1">
      <c r="A185" s="1781"/>
      <c r="B185" s="1781"/>
      <c r="C185" s="370" t="s">
        <v>1285</v>
      </c>
      <c r="D185" s="2463"/>
      <c r="E185" s="2205"/>
      <c r="F185" s="2384"/>
      <c r="G185" s="2428"/>
      <c r="H185" s="1501"/>
      <c r="I185" s="652" t="s">
        <v>1284</v>
      </c>
      <c r="J185" s="572"/>
      <c r="K185" s="1501"/>
      <c r="L185" s="215"/>
      <c r="M185" s="342"/>
      <c r="N185" s="335"/>
      <c r="O185" s="1625"/>
      <c r="P185" s="1625"/>
      <c r="AH185" s="1632">
        <v>0</v>
      </c>
    </row>
    <row s="1636" customFormat="1" customHeight="1" ht="0.75" hidden="1">
      <c r="A186" s="1781"/>
      <c r="B186" s="1781"/>
      <c r="C186" s="370" t="s">
        <v>1292</v>
      </c>
      <c r="D186" s="2463"/>
      <c r="E186" s="2205"/>
      <c r="F186" s="2384"/>
      <c r="G186" s="401"/>
      <c r="H186" s="1501"/>
      <c r="I186" s="652"/>
      <c r="J186" s="572"/>
      <c r="K186" s="1501"/>
      <c r="L186" s="215"/>
      <c r="M186" s="342"/>
      <c r="N186" s="335"/>
      <c r="O186" s="1625"/>
      <c r="P186" s="1625"/>
      <c r="AH186" s="1632">
        <v>0</v>
      </c>
    </row>
    <row s="1636" customFormat="1" customHeight="1" ht="18.75" hidden="1">
      <c r="A187" s="1781" t="s">
        <v>370</v>
      </c>
      <c r="B187" s="1781" t="s">
        <v>371</v>
      </c>
      <c r="C187" s="370"/>
      <c r="D187" s="2463"/>
      <c r="E187" s="2205"/>
      <c r="F187" s="2384" t="str">
        <f>INDEX(PT_DIFFERENTIATION_VTAR,MATCH(A187,PT_DIFFERENTIATION_VTAR_ID,0))</f>
        <v>Тариф на подвоз воды</v>
      </c>
      <c r="G187" s="2428" t="str">
        <f>INDEX(PT_DIFFERENTIATION_NTAR,MATCH(B187,PT_DIFFERENTIATION_NTAR_ID,0))</f>
        <v/>
      </c>
      <c r="H187" s="1863"/>
      <c r="I187" s="1740"/>
      <c r="J187" s="1774"/>
      <c r="K187" s="1779"/>
      <c r="L187" s="1863" t="s">
        <v>436</v>
      </c>
      <c r="M187" s="342"/>
      <c r="N187" s="335"/>
      <c r="O187" s="1625"/>
      <c r="P187" s="1625"/>
      <c r="AH187" s="1632">
        <v>0</v>
      </c>
    </row>
    <row s="1636" customFormat="1" customHeight="1" ht="18.75" hidden="1">
      <c r="A188" s="1781"/>
      <c r="B188" s="1781"/>
      <c r="C188" s="370" t="s">
        <v>1285</v>
      </c>
      <c r="D188" s="2463"/>
      <c r="E188" s="2205"/>
      <c r="F188" s="2384"/>
      <c r="G188" s="2428"/>
      <c r="H188" s="1501"/>
      <c r="I188" s="652" t="s">
        <v>1284</v>
      </c>
      <c r="J188" s="572"/>
      <c r="K188" s="1501"/>
      <c r="L188" s="215"/>
      <c r="M188" s="342"/>
      <c r="N188" s="335"/>
      <c r="O188" s="1625"/>
      <c r="P188" s="1625"/>
      <c r="AH188" s="1632">
        <v>0</v>
      </c>
    </row>
    <row s="1636" customFormat="1" customHeight="1" ht="0.75" hidden="1">
      <c r="A189" s="1781"/>
      <c r="B189" s="1781"/>
      <c r="C189" s="370" t="s">
        <v>1292</v>
      </c>
      <c r="D189" s="2463"/>
      <c r="E189" s="2205"/>
      <c r="F189" s="2384"/>
      <c r="G189" s="401"/>
      <c r="H189" s="1501"/>
      <c r="I189" s="652"/>
      <c r="J189" s="572"/>
      <c r="K189" s="1501"/>
      <c r="L189" s="215"/>
      <c r="M189" s="342"/>
      <c r="N189" s="335"/>
      <c r="O189" s="1625"/>
      <c r="P189" s="1625"/>
      <c r="AH189" s="1632">
        <v>0</v>
      </c>
    </row>
    <row s="1636" customFormat="1" customHeight="1" ht="18.75" hidden="1">
      <c r="A190" s="1781" t="s">
        <v>375</v>
      </c>
      <c r="B190" s="1781" t="s">
        <v>376</v>
      </c>
      <c r="C190" s="370"/>
      <c r="D190" s="2463"/>
      <c r="E190" s="2205"/>
      <c r="F190" s="2384" t="str">
        <f>INDEX(PT_DIFFERENTIATION_VTAR,MATCH(A190,PT_DIFFERENTIATION_VTAR_ID,0))</f>
        <v>Тариф на подключение (технологическое присоединение) к централизованной системе холодного водоснабжения</v>
      </c>
      <c r="G190" s="2428" t="str">
        <f>INDEX(PT_DIFFERENTIATION_NTAR,MATCH(B190,PT_DIFFERENTIATION_NTAR_ID,0))</f>
        <v/>
      </c>
      <c r="H190" s="1863"/>
      <c r="I190" s="1740"/>
      <c r="J190" s="1774"/>
      <c r="K190" s="1779"/>
      <c r="L190" s="1863" t="s">
        <v>436</v>
      </c>
      <c r="M190" s="342"/>
      <c r="N190" s="335"/>
      <c r="O190" s="1625"/>
      <c r="P190" s="1625"/>
      <c r="AH190" s="1632">
        <v>0</v>
      </c>
    </row>
    <row s="1636" customFormat="1" customHeight="1" ht="18.75" hidden="1">
      <c r="A191" s="1781"/>
      <c r="B191" s="1781"/>
      <c r="C191" s="370" t="s">
        <v>1285</v>
      </c>
      <c r="D191" s="2463"/>
      <c r="E191" s="2205"/>
      <c r="F191" s="2384"/>
      <c r="G191" s="2428"/>
      <c r="H191" s="1501"/>
      <c r="I191" s="652" t="s">
        <v>1284</v>
      </c>
      <c r="J191" s="572"/>
      <c r="K191" s="1501"/>
      <c r="L191" s="215"/>
      <c r="M191" s="342"/>
      <c r="N191" s="335"/>
      <c r="O191" s="1625"/>
      <c r="P191" s="1625"/>
      <c r="AH191" s="1632">
        <v>0</v>
      </c>
    </row>
    <row s="1636" customFormat="1" customHeight="1" ht="0.75" hidden="1">
      <c r="A192" s="1781"/>
      <c r="B192" s="1781"/>
      <c r="C192" s="370" t="s">
        <v>1292</v>
      </c>
      <c r="D192" s="2463"/>
      <c r="E192" s="2205"/>
      <c r="F192" s="2384"/>
      <c r="G192" s="401"/>
      <c r="H192" s="1501"/>
      <c r="I192" s="652"/>
      <c r="J192" s="572"/>
      <c r="K192" s="1501"/>
      <c r="L192" s="215"/>
      <c r="M192" s="342"/>
      <c r="N192" s="335"/>
      <c r="O192" s="1625"/>
      <c r="P192" s="1625"/>
      <c r="AH192" s="1632">
        <v>0</v>
      </c>
    </row>
    <row s="1636" customFormat="1" customHeight="1" ht="18.75" hidden="1">
      <c r="A193" s="1781" t="s">
        <v>380</v>
      </c>
      <c r="B193" s="1781" t="s">
        <v>381</v>
      </c>
      <c r="C193" s="370"/>
      <c r="D193" s="2463"/>
      <c r="E193" s="2205"/>
      <c r="F193" s="2384" t="str">
        <f>INDEX(PT_DIFFERENTIATION_VTAR,MATCH(A193,PT_DIFFERENTIATION_VTAR_ID,0))</f>
        <v>Тариф на горячую воду (горячее водоснабжение)</v>
      </c>
      <c r="G193" s="2428" t="str">
        <f>INDEX(PT_DIFFERENTIATION_NTAR,MATCH(B193,PT_DIFFERENTIATION_NTAR_ID,0))</f>
        <v/>
      </c>
      <c r="H193" s="1863"/>
      <c r="I193" s="1740"/>
      <c r="J193" s="1774"/>
      <c r="K193" s="1779"/>
      <c r="L193" s="1863" t="s">
        <v>436</v>
      </c>
      <c r="M193" s="342"/>
      <c r="N193" s="335"/>
      <c r="O193" s="1625"/>
      <c r="P193" s="1625"/>
      <c r="AH193" s="1632">
        <v>0</v>
      </c>
    </row>
    <row s="1636" customFormat="1" customHeight="1" ht="18.75" hidden="1">
      <c r="A194" s="1781"/>
      <c r="B194" s="1781"/>
      <c r="C194" s="370" t="s">
        <v>1285</v>
      </c>
      <c r="D194" s="2463"/>
      <c r="E194" s="2205"/>
      <c r="F194" s="2384"/>
      <c r="G194" s="2428"/>
      <c r="H194" s="1501"/>
      <c r="I194" s="652" t="s">
        <v>1284</v>
      </c>
      <c r="J194" s="572"/>
      <c r="K194" s="1501"/>
      <c r="L194" s="215"/>
      <c r="M194" s="342"/>
      <c r="N194" s="335"/>
      <c r="O194" s="1625"/>
      <c r="P194" s="1625"/>
      <c r="AH194" s="1632">
        <v>0</v>
      </c>
    </row>
    <row s="1636" customFormat="1" customHeight="1" ht="0.75" hidden="1">
      <c r="A195" s="1781"/>
      <c r="B195" s="1781"/>
      <c r="C195" s="370" t="s">
        <v>1292</v>
      </c>
      <c r="D195" s="2463"/>
      <c r="E195" s="2205"/>
      <c r="F195" s="2384"/>
      <c r="G195" s="401"/>
      <c r="H195" s="1501"/>
      <c r="I195" s="652"/>
      <c r="J195" s="572"/>
      <c r="K195" s="1501"/>
      <c r="L195" s="215"/>
      <c r="M195" s="342"/>
      <c r="N195" s="335"/>
      <c r="O195" s="1625"/>
      <c r="P195" s="1625"/>
      <c r="AH195" s="1632">
        <v>0</v>
      </c>
    </row>
    <row s="1636" customFormat="1" customHeight="1" ht="18.75" hidden="1">
      <c r="A196" s="1781" t="s">
        <v>385</v>
      </c>
      <c r="B196" s="1781" t="s">
        <v>386</v>
      </c>
      <c r="C196" s="370"/>
      <c r="D196" s="2463"/>
      <c r="E196" s="2205"/>
      <c r="F196" s="2384" t="str">
        <f>INDEX(PT_DIFFERENTIATION_VTAR,MATCH(A196,PT_DIFFERENTIATION_VTAR_ID,0))</f>
        <v>Тариф на транспортировку горячей воды</v>
      </c>
      <c r="G196" s="2428" t="str">
        <f>INDEX(PT_DIFFERENTIATION_NTAR,MATCH(B196,PT_DIFFERENTIATION_NTAR_ID,0))</f>
        <v/>
      </c>
      <c r="H196" s="1863"/>
      <c r="I196" s="1740"/>
      <c r="J196" s="1774"/>
      <c r="K196" s="1779"/>
      <c r="L196" s="1863" t="s">
        <v>436</v>
      </c>
      <c r="M196" s="342"/>
      <c r="N196" s="335"/>
      <c r="O196" s="1625"/>
      <c r="P196" s="1625"/>
      <c r="AH196" s="1632">
        <v>0</v>
      </c>
    </row>
    <row s="1636" customFormat="1" customHeight="1" ht="18.75" hidden="1">
      <c r="A197" s="1781"/>
      <c r="B197" s="1781"/>
      <c r="C197" s="370" t="s">
        <v>1285</v>
      </c>
      <c r="D197" s="2463"/>
      <c r="E197" s="2205"/>
      <c r="F197" s="2384"/>
      <c r="G197" s="2428"/>
      <c r="H197" s="1501"/>
      <c r="I197" s="652" t="s">
        <v>1284</v>
      </c>
      <c r="J197" s="572"/>
      <c r="K197" s="1501"/>
      <c r="L197" s="215"/>
      <c r="M197" s="342"/>
      <c r="N197" s="335"/>
      <c r="O197" s="1625"/>
      <c r="P197" s="1625"/>
      <c r="AH197" s="1632">
        <v>0</v>
      </c>
    </row>
    <row s="1636" customFormat="1" customHeight="1" ht="0.75" hidden="1">
      <c r="A198" s="1781"/>
      <c r="B198" s="1781"/>
      <c r="C198" s="370" t="s">
        <v>1292</v>
      </c>
      <c r="D198" s="2463"/>
      <c r="E198" s="2205"/>
      <c r="F198" s="2384"/>
      <c r="G198" s="401"/>
      <c r="H198" s="1501"/>
      <c r="I198" s="652"/>
      <c r="J198" s="572"/>
      <c r="K198" s="1501"/>
      <c r="L198" s="215"/>
      <c r="M198" s="342"/>
      <c r="N198" s="335"/>
      <c r="O198" s="1625"/>
      <c r="P198" s="1625"/>
      <c r="AH198" s="1632">
        <v>0</v>
      </c>
    </row>
    <row s="1636" customFormat="1" customHeight="1" ht="18.75" hidden="1">
      <c r="A199" s="1781" t="s">
        <v>390</v>
      </c>
      <c r="B199" s="1781" t="s">
        <v>391</v>
      </c>
      <c r="C199" s="370"/>
      <c r="D199" s="2463"/>
      <c r="E199" s="2205"/>
      <c r="F199" s="2384" t="str">
        <f>INDEX(PT_DIFFERENTIATION_VTAR,MATCH(A199,PT_DIFFERENTIATION_VTAR_ID,0))</f>
        <v>Тариф на подключение (технологическое присоединение) к централизованной системе горячего водоснабжения</v>
      </c>
      <c r="G199" s="2428" t="str">
        <f>INDEX(PT_DIFFERENTIATION_NTAR,MATCH(B199,PT_DIFFERENTIATION_NTAR_ID,0))</f>
        <v/>
      </c>
      <c r="H199" s="1863"/>
      <c r="I199" s="1740"/>
      <c r="J199" s="1774"/>
      <c r="K199" s="1779"/>
      <c r="L199" s="1863" t="s">
        <v>436</v>
      </c>
      <c r="M199" s="342"/>
      <c r="N199" s="335"/>
      <c r="O199" s="1625"/>
      <c r="P199" s="1625"/>
      <c r="AH199" s="1632">
        <v>0</v>
      </c>
    </row>
    <row s="1636" customFormat="1" customHeight="1" ht="18.75" hidden="1">
      <c r="A200" s="1781"/>
      <c r="B200" s="1781"/>
      <c r="C200" s="370" t="s">
        <v>1285</v>
      </c>
      <c r="D200" s="2463"/>
      <c r="E200" s="2205"/>
      <c r="F200" s="2384"/>
      <c r="G200" s="2428"/>
      <c r="H200" s="1501"/>
      <c r="I200" s="652" t="s">
        <v>1284</v>
      </c>
      <c r="J200" s="572"/>
      <c r="K200" s="1501"/>
      <c r="L200" s="215"/>
      <c r="M200" s="342"/>
      <c r="N200" s="335"/>
      <c r="O200" s="1625"/>
      <c r="P200" s="1625"/>
      <c r="AH200" s="1632">
        <v>0</v>
      </c>
    </row>
    <row s="1636" customFormat="1" customHeight="1" ht="0.75" hidden="1">
      <c r="A201" s="1781"/>
      <c r="B201" s="1781"/>
      <c r="C201" s="370" t="s">
        <v>1292</v>
      </c>
      <c r="D201" s="2463"/>
      <c r="E201" s="2205"/>
      <c r="F201" s="2384"/>
      <c r="G201" s="401"/>
      <c r="H201" s="1501"/>
      <c r="I201" s="652"/>
      <c r="J201" s="572"/>
      <c r="K201" s="1501"/>
      <c r="L201" s="215"/>
      <c r="M201" s="342"/>
      <c r="N201" s="335"/>
      <c r="O201" s="1625"/>
      <c r="P201" s="1625"/>
      <c r="AH201" s="1632">
        <v>0</v>
      </c>
    </row>
    <row s="1636" customFormat="1" customHeight="1" ht="18.75" hidden="1">
      <c r="A202" s="1781" t="s">
        <v>395</v>
      </c>
      <c r="B202" s="1781" t="s">
        <v>396</v>
      </c>
      <c r="C202" s="370"/>
      <c r="D202" s="2463"/>
      <c r="E202" s="2205"/>
      <c r="F202" s="2384" t="str">
        <f>INDEX(PT_DIFFERENTIATION_VTAR,MATCH(A202,PT_DIFFERENTIATION_VTAR_ID,0))</f>
        <v>Тариф на водоотведение</v>
      </c>
      <c r="G202" s="2428" t="str">
        <f>INDEX(PT_DIFFERENTIATION_NTAR,MATCH(B202,PT_DIFFERENTIATION_NTAR_ID,0))</f>
        <v/>
      </c>
      <c r="H202" s="1863"/>
      <c r="I202" s="1740"/>
      <c r="J202" s="1774"/>
      <c r="K202" s="1779"/>
      <c r="L202" s="1863" t="s">
        <v>436</v>
      </c>
      <c r="M202" s="342"/>
      <c r="N202" s="335"/>
      <c r="O202" s="1625"/>
      <c r="P202" s="1625"/>
      <c r="AH202" s="1632">
        <v>0</v>
      </c>
    </row>
    <row s="1636" customFormat="1" customHeight="1" ht="18.75" hidden="1">
      <c r="A203" s="1781"/>
      <c r="B203" s="1781"/>
      <c r="C203" s="370" t="s">
        <v>1285</v>
      </c>
      <c r="D203" s="2463"/>
      <c r="E203" s="2205"/>
      <c r="F203" s="2384"/>
      <c r="G203" s="2428"/>
      <c r="H203" s="1501"/>
      <c r="I203" s="652" t="s">
        <v>1284</v>
      </c>
      <c r="J203" s="572"/>
      <c r="K203" s="1501"/>
      <c r="L203" s="215"/>
      <c r="M203" s="342"/>
      <c r="N203" s="335"/>
      <c r="O203" s="1625"/>
      <c r="P203" s="1625"/>
      <c r="AH203" s="1632">
        <v>0</v>
      </c>
    </row>
    <row s="1636" customFormat="1" customHeight="1" ht="0.75" hidden="1">
      <c r="A204" s="1781"/>
      <c r="B204" s="1781"/>
      <c r="C204" s="370" t="s">
        <v>1292</v>
      </c>
      <c r="D204" s="2463"/>
      <c r="E204" s="2205"/>
      <c r="F204" s="2384"/>
      <c r="G204" s="401"/>
      <c r="H204" s="1501"/>
      <c r="I204" s="652"/>
      <c r="J204" s="572"/>
      <c r="K204" s="1501"/>
      <c r="L204" s="215"/>
      <c r="M204" s="342"/>
      <c r="N204" s="335"/>
      <c r="O204" s="1625"/>
      <c r="P204" s="1625"/>
      <c r="AH204" s="1632">
        <v>0</v>
      </c>
    </row>
    <row s="1636" customFormat="1" customHeight="1" ht="18.75" hidden="1">
      <c r="A205" s="1781" t="s">
        <v>400</v>
      </c>
      <c r="B205" s="1781" t="s">
        <v>401</v>
      </c>
      <c r="C205" s="370"/>
      <c r="D205" s="2463"/>
      <c r="E205" s="2205"/>
      <c r="F205" s="2384" t="str">
        <f>INDEX(PT_DIFFERENTIATION_VTAR,MATCH(A205,PT_DIFFERENTIATION_VTAR_ID,0))</f>
        <v>Тариф на транспортировку сточных вод</v>
      </c>
      <c r="G205" s="2428" t="str">
        <f>INDEX(PT_DIFFERENTIATION_NTAR,MATCH(B205,PT_DIFFERENTIATION_NTAR_ID,0))</f>
        <v/>
      </c>
      <c r="H205" s="1863"/>
      <c r="I205" s="1740"/>
      <c r="J205" s="1774"/>
      <c r="K205" s="1779"/>
      <c r="L205" s="1863" t="s">
        <v>436</v>
      </c>
      <c r="M205" s="342"/>
      <c r="N205" s="335"/>
      <c r="O205" s="1625"/>
      <c r="P205" s="1625"/>
      <c r="AH205" s="1632">
        <v>0</v>
      </c>
    </row>
    <row s="1636" customFormat="1" customHeight="1" ht="18.75" hidden="1">
      <c r="A206" s="1781"/>
      <c r="B206" s="1781"/>
      <c r="C206" s="370" t="s">
        <v>1285</v>
      </c>
      <c r="D206" s="2463"/>
      <c r="E206" s="2205"/>
      <c r="F206" s="2384"/>
      <c r="G206" s="2428"/>
      <c r="H206" s="1501"/>
      <c r="I206" s="652" t="s">
        <v>1284</v>
      </c>
      <c r="J206" s="572"/>
      <c r="K206" s="1501"/>
      <c r="L206" s="215"/>
      <c r="M206" s="342"/>
      <c r="N206" s="335"/>
      <c r="O206" s="1625"/>
      <c r="P206" s="1625"/>
      <c r="AH206" s="1632">
        <v>0</v>
      </c>
    </row>
    <row s="1636" customFormat="1" customHeight="1" ht="0.75" hidden="1">
      <c r="A207" s="1781"/>
      <c r="B207" s="1781"/>
      <c r="C207" s="370" t="s">
        <v>1292</v>
      </c>
      <c r="D207" s="2463"/>
      <c r="E207" s="2205"/>
      <c r="F207" s="2384"/>
      <c r="G207" s="401"/>
      <c r="H207" s="1501"/>
      <c r="I207" s="652"/>
      <c r="J207" s="572"/>
      <c r="K207" s="1501"/>
      <c r="L207" s="215"/>
      <c r="M207" s="342"/>
      <c r="N207" s="335"/>
      <c r="O207" s="1625"/>
      <c r="P207" s="1625"/>
      <c r="AH207" s="1632">
        <v>0</v>
      </c>
    </row>
    <row s="1636" customFormat="1" customHeight="1" ht="18.75" hidden="1">
      <c r="A208" s="1781" t="s">
        <v>405</v>
      </c>
      <c r="B208" s="1781" t="s">
        <v>406</v>
      </c>
      <c r="C208" s="370"/>
      <c r="D208" s="2463"/>
      <c r="E208" s="2205"/>
      <c r="F208" s="2384" t="str">
        <f>INDEX(PT_DIFFERENTIATION_VTAR,MATCH(A208,PT_DIFFERENTIATION_VTAR_ID,0))</f>
        <v>Тариф на подключение (технологическое присоединение) к централизованной системе водоотведения</v>
      </c>
      <c r="G208" s="2428" t="str">
        <f>INDEX(PT_DIFFERENTIATION_NTAR,MATCH(B208,PT_DIFFERENTIATION_NTAR_ID,0))</f>
        <v/>
      </c>
      <c r="H208" s="1863"/>
      <c r="I208" s="1740"/>
      <c r="J208" s="1774"/>
      <c r="K208" s="1779"/>
      <c r="L208" s="1863" t="s">
        <v>436</v>
      </c>
      <c r="M208" s="342"/>
      <c r="N208" s="335"/>
      <c r="O208" s="1625"/>
      <c r="P208" s="1625"/>
      <c r="AH208" s="1632">
        <v>0</v>
      </c>
    </row>
    <row s="1636" customFormat="1" customHeight="1" ht="18.75" hidden="1">
      <c r="A209" s="1781"/>
      <c r="B209" s="1781"/>
      <c r="C209" s="370" t="s">
        <v>1285</v>
      </c>
      <c r="D209" s="2463"/>
      <c r="E209" s="2205"/>
      <c r="F209" s="2384"/>
      <c r="G209" s="2428"/>
      <c r="H209" s="1501"/>
      <c r="I209" s="652" t="s">
        <v>1284</v>
      </c>
      <c r="J209" s="572"/>
      <c r="K209" s="1501"/>
      <c r="L209" s="215"/>
      <c r="M209" s="342"/>
      <c r="N209" s="335"/>
      <c r="O209" s="1625"/>
      <c r="P209" s="1625"/>
      <c r="AH209" s="1632">
        <v>0</v>
      </c>
    </row>
    <row s="1636" customFormat="1" customHeight="1" ht="1.05">
      <c r="A210" s="1781"/>
      <c r="B210" s="1781"/>
      <c r="C210" s="370" t="s">
        <v>1292</v>
      </c>
      <c r="D210" s="2463"/>
      <c r="E210" s="2205"/>
      <c r="F210" s="2384"/>
      <c r="G210" s="401"/>
      <c r="H210" s="1501"/>
      <c r="I210" s="652"/>
      <c r="J210" s="572"/>
      <c r="K210" s="1501"/>
      <c r="L210" s="215"/>
      <c r="M210" s="342"/>
      <c r="N210" s="335"/>
      <c r="O210" s="1625"/>
      <c r="P210" s="1625"/>
      <c r="AH210" s="1632">
        <v>1</v>
      </c>
    </row>
    <row customHeight="1" ht="19.95">
      <c r="A211" s="1781"/>
      <c r="B211" s="1781"/>
      <c r="D211" s="377"/>
      <c r="E211" s="148" t="s">
        <v>95</v>
      </c>
      <c r="F211" s="2461" t="str">
        <f>"Годовой объем "&amp;IF(TEMPLATE_SPHERE="HEAT","полезного отпуска тепловой энергии (теплоносителя)",IF(TEMPLATE_SPHERE="VOTV","принятых сточных вод","отпущенной "&amp;IF(TEMPLATE_SPHERE="COLDVSNA","потребителям воды","в сеть горячей воды")))</f>
        <v>Годовой объем полезного отпуска тепловой энергии (теплоносителя)</v>
      </c>
      <c r="G211" s="2461"/>
      <c r="H211" s="2461"/>
      <c r="I211" s="2461"/>
      <c r="J211" s="2461"/>
      <c r="K211" s="2461"/>
      <c r="L211" s="2461"/>
      <c r="M211" s="298"/>
      <c r="N211" s="335"/>
      <c r="AH211" s="375">
        <v>19</v>
      </c>
    </row>
    <row s="1636" customFormat="1" customHeight="1" ht="60.75" hidden="1">
      <c r="A212" s="1781" t="s">
        <v>172</v>
      </c>
      <c r="B212" s="1781" t="s">
        <v>173</v>
      </c>
      <c r="C212" s="370"/>
      <c r="D212" s="2463"/>
      <c r="E212" s="2205"/>
      <c r="F212" s="2384" t="str">
        <f>INDEX(PT_DIFFERENTIATION_VTAR,MATCH(A212,PT_DIFFERENTIATION_VTAR_ID,0))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212" s="2428" t="str">
        <f>INDEX(PT_DIFFERENTIATION_NTAR,MATCH(B212,PT_DIFFERENTIATION_NTAR_ID,0))</f>
        <v>Тарифы на тепловую энергию (мощность) на коллекторах источника тепловой энергии. Для потребителей, в случае отсутствия дифференциации тарифов по схеме подключения. Муниципальный округ город Апатиты с подведомственной территорией Мурманской области, муниципальный округ город Кировск с подведомственной территорией Мурманской области</v>
      </c>
      <c r="H212" s="1863"/>
      <c r="I212" s="1740"/>
      <c r="J212" s="1774"/>
      <c r="K212" s="1779"/>
      <c r="L212" s="1863" t="s">
        <v>436</v>
      </c>
      <c r="M212" s="2170"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Величина годового объема "&amp;IF(TEMPLATE_SPHERE="HEAT","полезного отпуска тепловой энергии (теплоносителя)","отпущенной потребителям воды")&amp;" указывается в колонке «Информация» в тыс. "&amp;IF(TEMPLATE_SPHERE="HEAT","Гкал","куб. м.")&amp;"
В случае дифференциации "&amp;IF(TEMPLATE_SPHERE="HEAT","полезного отпуска тепловой энергии (теплоносителя)","отпущенной потребителям воды")&amp;" по видам тарифов и (или) по срокам действия тарифов информация указывается в отдельных строках."</f>
        <v>Значение в колонке «Вид тарифа» выбирается из перечня видов тарифов в сфере теплоснабжения, предусмотренных законодательством в сфере теплоснабжения.
Даты начала и окончания срока действия тарифов указываются в виде «ДД.ММ.ГГГГ».
Величина годового объема полезного отпуска тепловой энергии (теплоносителя) указывается в колонке «Информация» в тыс. Гкал
В случае дифференциации полезного отпуска тепловой энергии (теплоносителя) по видам тарифов и (или) по срокам действия тарифов информация указывается в отдельных строках.</v>
      </c>
      <c r="N212" s="335"/>
      <c r="O212" s="1625"/>
      <c r="P212" s="1625"/>
      <c r="AH212" s="1632">
        <v>0</v>
      </c>
    </row>
    <row s="1636" customFormat="1" customHeight="1" ht="18.75" hidden="1">
      <c r="A213" s="1781"/>
      <c r="B213" s="1781"/>
      <c r="C213" s="370" t="s">
        <v>1285</v>
      </c>
      <c r="D213" s="2463"/>
      <c r="E213" s="2205"/>
      <c r="F213" s="2384"/>
      <c r="G213" s="2428"/>
      <c r="H213" s="1501"/>
      <c r="I213" s="652" t="s">
        <v>1284</v>
      </c>
      <c r="J213" s="572"/>
      <c r="K213" s="1501"/>
      <c r="L213" s="215"/>
      <c r="M213" s="2171"/>
      <c r="N213" s="335"/>
      <c r="O213" s="1625"/>
      <c r="P213" s="1625"/>
      <c r="AH213" s="1632">
        <v>0</v>
      </c>
    </row>
    <row s="1636" customFormat="1" customHeight="1" ht="18.75">
      <c r="A214" s="1824" t="s">
        <v>172</v>
      </c>
      <c r="B214" s="1824" t="s">
        <v>185</v>
      </c>
      <c r="C214" s="1688"/>
      <c r="D214" s="345"/>
      <c r="E214" s="1032"/>
      <c r="F214" s="1032"/>
      <c r="G214" s="2428" t="str">
        <f>INDEX(PT_DIFFERENTIATION_NTAR,MATCH(B214,PT_DIFFERENTIATION_NTAR_ID,0))</f>
        <v>Льготные тарифы на тепловую энергию, поставляемую группе потребителей "население". Для потребителей, в случае отсутствия дифференциации тарифов по схеме подключения. Муниципальный округ город Апатиты с подведомственной территорией Мурманской области</v>
      </c>
      <c r="H214" s="2272"/>
      <c r="I214" s="1740"/>
      <c r="J214" s="1774"/>
      <c r="K214" s="1779"/>
      <c r="L214" s="2272" t="s">
        <v>436</v>
      </c>
      <c r="M214" s="2319"/>
      <c r="N214" s="619"/>
      <c r="O214" s="1625"/>
      <c r="P214" s="1625"/>
      <c r="Q214" s="1636"/>
      <c r="R214" s="1636"/>
      <c r="S214" s="1636"/>
      <c r="T214" s="1636"/>
      <c r="U214" s="1636"/>
      <c r="V214" s="1636"/>
      <c r="W214" s="1636"/>
      <c r="X214" s="1636"/>
      <c r="Y214" s="1636"/>
      <c r="Z214" s="1636"/>
      <c r="AA214" s="1636"/>
      <c r="AB214" s="1636"/>
      <c r="AC214" s="1636"/>
      <c r="AD214" s="1636"/>
      <c r="AE214" s="1636"/>
      <c r="AF214" s="1636"/>
      <c r="AG214" s="1636"/>
      <c r="AH214" s="1636">
        <v>0</v>
      </c>
    </row>
    <row s="1636" customFormat="1" customHeight="1" ht="18.75">
      <c r="A215" s="1824"/>
      <c r="B215" s="1824"/>
      <c r="C215" s="1688" t="s">
        <v>1285</v>
      </c>
      <c r="D215" s="345"/>
      <c r="E215" s="1032"/>
      <c r="F215" s="1032"/>
      <c r="G215" s="2428"/>
      <c r="H215" s="4998"/>
      <c r="I215" s="4999" t="s">
        <v>1284</v>
      </c>
      <c r="J215" s="5000"/>
      <c r="K215" s="5001"/>
      <c r="L215" s="5002"/>
      <c r="M215" s="2319"/>
      <c r="N215" s="619"/>
      <c r="O215" s="1625"/>
      <c r="P215" s="1625"/>
      <c r="Q215" s="1636"/>
      <c r="R215" s="1636"/>
      <c r="S215" s="1636"/>
      <c r="T215" s="1636"/>
      <c r="U215" s="1636"/>
      <c r="V215" s="1636"/>
      <c r="W215" s="1636"/>
      <c r="X215" s="1636"/>
      <c r="Y215" s="1636"/>
      <c r="Z215" s="1636"/>
      <c r="AA215" s="1636"/>
      <c r="AB215" s="1636"/>
      <c r="AC215" s="1636"/>
      <c r="AD215" s="1636"/>
      <c r="AE215" s="1636"/>
      <c r="AF215" s="1636"/>
      <c r="AG215" s="1636"/>
      <c r="AH215" s="1636">
        <v>0</v>
      </c>
    </row>
    <row s="1636" customFormat="1" customHeight="1" ht="18.75">
      <c r="A216" s="1824" t="s">
        <v>172</v>
      </c>
      <c r="B216" s="1824" t="s">
        <v>193</v>
      </c>
      <c r="C216" s="1688"/>
      <c r="D216" s="345"/>
      <c r="E216" s="1032"/>
      <c r="F216" s="1032"/>
      <c r="G216" s="2428" t="str">
        <f>INDEX(PT_DIFFERENTIATION_NTAR,MATCH(B216,PT_DIFFERENTIATION_NTAR_ID,0))</f>
        <v>Льготные тарифы на тепловую энергию, поставляемую группе потребителей "потребители (кроме населения)". Для потребителей, подключенных к тепловым сетям ПАО "ТГК-1". Муниципальный округ город Апатиты с подведомственной территорией Мурманской области</v>
      </c>
      <c r="H216" s="2272"/>
      <c r="I216" s="1740"/>
      <c r="J216" s="1774"/>
      <c r="K216" s="1779"/>
      <c r="L216" s="2272" t="s">
        <v>436</v>
      </c>
      <c r="M216" s="2319"/>
      <c r="N216" s="619"/>
      <c r="O216" s="1625"/>
      <c r="P216" s="1625"/>
      <c r="Q216" s="1636"/>
      <c r="R216" s="1636"/>
      <c r="S216" s="1636"/>
      <c r="T216" s="1636"/>
      <c r="U216" s="1636"/>
      <c r="V216" s="1636"/>
      <c r="W216" s="1636"/>
      <c r="X216" s="1636"/>
      <c r="Y216" s="1636"/>
      <c r="Z216" s="1636"/>
      <c r="AA216" s="1636"/>
      <c r="AB216" s="1636"/>
      <c r="AC216" s="1636"/>
      <c r="AD216" s="1636"/>
      <c r="AE216" s="1636"/>
      <c r="AF216" s="1636"/>
      <c r="AG216" s="1636"/>
      <c r="AH216" s="1636">
        <v>0</v>
      </c>
    </row>
    <row s="1636" customFormat="1" customHeight="1" ht="18.75">
      <c r="A217" s="1824"/>
      <c r="B217" s="1824"/>
      <c r="C217" s="1688" t="s">
        <v>1285</v>
      </c>
      <c r="D217" s="345"/>
      <c r="E217" s="1032"/>
      <c r="F217" s="1032"/>
      <c r="G217" s="2428"/>
      <c r="H217" s="5003"/>
      <c r="I217" s="5004" t="s">
        <v>1284</v>
      </c>
      <c r="J217" s="5005"/>
      <c r="K217" s="5006"/>
      <c r="L217" s="5007"/>
      <c r="M217" s="2319"/>
      <c r="N217" s="619"/>
      <c r="O217" s="1625"/>
      <c r="P217" s="1625"/>
      <c r="Q217" s="1636"/>
      <c r="R217" s="1636"/>
      <c r="S217" s="1636"/>
      <c r="T217" s="1636"/>
      <c r="U217" s="1636"/>
      <c r="V217" s="1636"/>
      <c r="W217" s="1636"/>
      <c r="X217" s="1636"/>
      <c r="Y217" s="1636"/>
      <c r="Z217" s="1636"/>
      <c r="AA217" s="1636"/>
      <c r="AB217" s="1636"/>
      <c r="AC217" s="1636"/>
      <c r="AD217" s="1636"/>
      <c r="AE217" s="1636"/>
      <c r="AF217" s="1636"/>
      <c r="AG217" s="1636"/>
      <c r="AH217" s="1636">
        <v>0</v>
      </c>
    </row>
    <row s="1636" customFormat="1" customHeight="1" ht="18.75">
      <c r="A218" s="1824" t="s">
        <v>172</v>
      </c>
      <c r="B218" s="1824" t="s">
        <v>198</v>
      </c>
      <c r="C218" s="1688"/>
      <c r="D218" s="345"/>
      <c r="E218" s="1032"/>
      <c r="F218" s="1032"/>
      <c r="G218" s="2428" t="str">
        <f>INDEX(PT_DIFFERENTIATION_NTAR,MATCH(B218,PT_DIFFERENTIATION_NTAR_ID,0))</f>
        <v>Льготные тарифы на тепловую энергию, поставляемую группе потребителей "потребители (кроме населения)". Для потребителей, подключенных к тепловым сетям АО "Апатитыэнерго". Муниципальный округ город Апатиты с подведомственной территорией Мурманской области</v>
      </c>
      <c r="H218" s="2272"/>
      <c r="I218" s="1740"/>
      <c r="J218" s="1774"/>
      <c r="K218" s="1779"/>
      <c r="L218" s="2272" t="s">
        <v>436</v>
      </c>
      <c r="M218" s="2319"/>
      <c r="N218" s="619"/>
      <c r="O218" s="1625"/>
      <c r="P218" s="1625"/>
      <c r="Q218" s="1636"/>
      <c r="R218" s="1636"/>
      <c r="S218" s="1636"/>
      <c r="T218" s="1636"/>
      <c r="U218" s="1636"/>
      <c r="V218" s="1636"/>
      <c r="W218" s="1636"/>
      <c r="X218" s="1636"/>
      <c r="Y218" s="1636"/>
      <c r="Z218" s="1636"/>
      <c r="AA218" s="1636"/>
      <c r="AB218" s="1636"/>
      <c r="AC218" s="1636"/>
      <c r="AD218" s="1636"/>
      <c r="AE218" s="1636"/>
      <c r="AF218" s="1636"/>
      <c r="AG218" s="1636"/>
      <c r="AH218" s="1636">
        <v>0</v>
      </c>
    </row>
    <row s="1636" customFormat="1" customHeight="1" ht="18.75">
      <c r="A219" s="1824"/>
      <c r="B219" s="1824"/>
      <c r="C219" s="1688" t="s">
        <v>1285</v>
      </c>
      <c r="D219" s="345"/>
      <c r="E219" s="1032"/>
      <c r="F219" s="1032"/>
      <c r="G219" s="2428"/>
      <c r="H219" s="5008"/>
      <c r="I219" s="5009" t="s">
        <v>1284</v>
      </c>
      <c r="J219" s="5010"/>
      <c r="K219" s="5011"/>
      <c r="L219" s="5012"/>
      <c r="M219" s="2319"/>
      <c r="N219" s="619"/>
      <c r="O219" s="1625"/>
      <c r="P219" s="1625"/>
      <c r="Q219" s="1636"/>
      <c r="R219" s="1636"/>
      <c r="S219" s="1636"/>
      <c r="T219" s="1636"/>
      <c r="U219" s="1636"/>
      <c r="V219" s="1636"/>
      <c r="W219" s="1636"/>
      <c r="X219" s="1636"/>
      <c r="Y219" s="1636"/>
      <c r="Z219" s="1636"/>
      <c r="AA219" s="1636"/>
      <c r="AB219" s="1636"/>
      <c r="AC219" s="1636"/>
      <c r="AD219" s="1636"/>
      <c r="AE219" s="1636"/>
      <c r="AF219" s="1636"/>
      <c r="AG219" s="1636"/>
      <c r="AH219" s="1636">
        <v>0</v>
      </c>
    </row>
    <row s="1636" customFormat="1" customHeight="1" ht="18.75">
      <c r="A220" s="1824" t="s">
        <v>172</v>
      </c>
      <c r="B220" s="1824" t="s">
        <v>203</v>
      </c>
      <c r="C220" s="1688"/>
      <c r="D220" s="345"/>
      <c r="E220" s="1032"/>
      <c r="F220" s="1032"/>
      <c r="G220" s="2428" t="str">
        <f>INDEX(PT_DIFFERENTIATION_NTAR,MATCH(B220,PT_DIFFERENTIATION_NTAR_ID,0))</f>
        <v>Льготные тарифы на тепловую энергию, поставляемую группе потребителей "потребители (кроме населения)". Для потребителей в случае отсутствия дифференциации тарифов по схеме подключения. Муниципальный округ город Кировск с подведомственной территорией Мурманской области</v>
      </c>
      <c r="H220" s="2272"/>
      <c r="I220" s="1740"/>
      <c r="J220" s="1774"/>
      <c r="K220" s="1779"/>
      <c r="L220" s="2272" t="s">
        <v>436</v>
      </c>
      <c r="M220" s="2319"/>
      <c r="N220" s="619"/>
      <c r="O220" s="1625"/>
      <c r="P220" s="1625"/>
      <c r="Q220" s="1636"/>
      <c r="R220" s="1636"/>
      <c r="S220" s="1636"/>
      <c r="T220" s="1636"/>
      <c r="U220" s="1636"/>
      <c r="V220" s="1636"/>
      <c r="W220" s="1636"/>
      <c r="X220" s="1636"/>
      <c r="Y220" s="1636"/>
      <c r="Z220" s="1636"/>
      <c r="AA220" s="1636"/>
      <c r="AB220" s="1636"/>
      <c r="AC220" s="1636"/>
      <c r="AD220" s="1636"/>
      <c r="AE220" s="1636"/>
      <c r="AF220" s="1636"/>
      <c r="AG220" s="1636"/>
      <c r="AH220" s="1636">
        <v>0</v>
      </c>
    </row>
    <row s="1636" customFormat="1" customHeight="1" ht="18.75">
      <c r="A221" s="1824"/>
      <c r="B221" s="1824"/>
      <c r="C221" s="1688" t="s">
        <v>1285</v>
      </c>
      <c r="D221" s="345"/>
      <c r="E221" s="1032"/>
      <c r="F221" s="1032"/>
      <c r="G221" s="2428"/>
      <c r="H221" s="5013"/>
      <c r="I221" s="5014" t="s">
        <v>1284</v>
      </c>
      <c r="J221" s="5015"/>
      <c r="K221" s="5016"/>
      <c r="L221" s="5017"/>
      <c r="M221" s="2319"/>
      <c r="N221" s="619"/>
      <c r="O221" s="1625"/>
      <c r="P221" s="1625"/>
      <c r="Q221" s="1636"/>
      <c r="R221" s="1636"/>
      <c r="S221" s="1636"/>
      <c r="T221" s="1636"/>
      <c r="U221" s="1636"/>
      <c r="V221" s="1636"/>
      <c r="W221" s="1636"/>
      <c r="X221" s="1636"/>
      <c r="Y221" s="1636"/>
      <c r="Z221" s="1636"/>
      <c r="AA221" s="1636"/>
      <c r="AB221" s="1636"/>
      <c r="AC221" s="1636"/>
      <c r="AD221" s="1636"/>
      <c r="AE221" s="1636"/>
      <c r="AF221" s="1636"/>
      <c r="AG221" s="1636"/>
      <c r="AH221" s="1636">
        <v>0</v>
      </c>
    </row>
    <row s="1636" customFormat="1" customHeight="1" ht="18.75">
      <c r="A222" s="1824" t="s">
        <v>172</v>
      </c>
      <c r="B222" s="1824" t="s">
        <v>208</v>
      </c>
      <c r="C222" s="1688"/>
      <c r="D222" s="345"/>
      <c r="E222" s="1032"/>
      <c r="F222" s="1032"/>
      <c r="G222" s="2428" t="str">
        <f>INDEX(PT_DIFFERENTIATION_NTAR,MATCH(B222,PT_DIFFERENTIATION_NTAR_ID,0))</f>
        <v>Тарифы на тепловую энергию, поставляемую потребителям. Для потребителей, подключенных к тепловым сетям ПАО "ТГК-1". Муниципальный  округ город Апатиты с подведомственной территорией Мурманской области</v>
      </c>
      <c r="H222" s="2272"/>
      <c r="I222" s="1740"/>
      <c r="J222" s="1774"/>
      <c r="K222" s="1779"/>
      <c r="L222" s="2272" t="s">
        <v>436</v>
      </c>
      <c r="M222" s="2319"/>
      <c r="N222" s="619"/>
      <c r="O222" s="1625"/>
      <c r="P222" s="1625"/>
      <c r="Q222" s="1636"/>
      <c r="R222" s="1636"/>
      <c r="S222" s="1636"/>
      <c r="T222" s="1636"/>
      <c r="U222" s="1636"/>
      <c r="V222" s="1636"/>
      <c r="W222" s="1636"/>
      <c r="X222" s="1636"/>
      <c r="Y222" s="1636"/>
      <c r="Z222" s="1636"/>
      <c r="AA222" s="1636"/>
      <c r="AB222" s="1636"/>
      <c r="AC222" s="1636"/>
      <c r="AD222" s="1636"/>
      <c r="AE222" s="1636"/>
      <c r="AF222" s="1636"/>
      <c r="AG222" s="1636"/>
      <c r="AH222" s="1636">
        <v>0</v>
      </c>
    </row>
    <row s="1636" customFormat="1" customHeight="1" ht="18.75">
      <c r="A223" s="1824"/>
      <c r="B223" s="1824"/>
      <c r="C223" s="1688" t="s">
        <v>1285</v>
      </c>
      <c r="D223" s="345"/>
      <c r="E223" s="1032"/>
      <c r="F223" s="1032"/>
      <c r="G223" s="2428"/>
      <c r="H223" s="5018"/>
      <c r="I223" s="5019" t="s">
        <v>1284</v>
      </c>
      <c r="J223" s="5020"/>
      <c r="K223" s="5021"/>
      <c r="L223" s="5022"/>
      <c r="M223" s="2319"/>
      <c r="N223" s="619"/>
      <c r="O223" s="1625"/>
      <c r="P223" s="1625"/>
      <c r="Q223" s="1636"/>
      <c r="R223" s="1636"/>
      <c r="S223" s="1636"/>
      <c r="T223" s="1636"/>
      <c r="U223" s="1636"/>
      <c r="V223" s="1636"/>
      <c r="W223" s="1636"/>
      <c r="X223" s="1636"/>
      <c r="Y223" s="1636"/>
      <c r="Z223" s="1636"/>
      <c r="AA223" s="1636"/>
      <c r="AB223" s="1636"/>
      <c r="AC223" s="1636"/>
      <c r="AD223" s="1636"/>
      <c r="AE223" s="1636"/>
      <c r="AF223" s="1636"/>
      <c r="AG223" s="1636"/>
      <c r="AH223" s="1636">
        <v>0</v>
      </c>
    </row>
    <row s="1636" customFormat="1" customHeight="1" ht="18.75">
      <c r="A224" s="1824" t="s">
        <v>172</v>
      </c>
      <c r="B224" s="1824" t="s">
        <v>213</v>
      </c>
      <c r="C224" s="1688"/>
      <c r="D224" s="345"/>
      <c r="E224" s="1032"/>
      <c r="F224" s="1032"/>
      <c r="G224" s="2428" t="str">
        <f>INDEX(PT_DIFFERENTIATION_NTAR,MATCH(B224,PT_DIFFERENTIATION_NTAR_ID,0))</f>
        <v>Тарифы на тепловую энергию, поставляемую потребителям. Для потребителей, подключенных к тепловым сетям АО "Апатитыэнерго". Муниципальный округ город Апатиты с подведомственной территорией Мурманской области</v>
      </c>
      <c r="H224" s="2272"/>
      <c r="I224" s="1740"/>
      <c r="J224" s="1774"/>
      <c r="K224" s="1779"/>
      <c r="L224" s="2272" t="s">
        <v>436</v>
      </c>
      <c r="M224" s="2319"/>
      <c r="N224" s="619"/>
      <c r="O224" s="1625"/>
      <c r="P224" s="1625"/>
      <c r="Q224" s="1636"/>
      <c r="R224" s="1636"/>
      <c r="S224" s="1636"/>
      <c r="T224" s="1636"/>
      <c r="U224" s="1636"/>
      <c r="V224" s="1636"/>
      <c r="W224" s="1636"/>
      <c r="X224" s="1636"/>
      <c r="Y224" s="1636"/>
      <c r="Z224" s="1636"/>
      <c r="AA224" s="1636"/>
      <c r="AB224" s="1636"/>
      <c r="AC224" s="1636"/>
      <c r="AD224" s="1636"/>
      <c r="AE224" s="1636"/>
      <c r="AF224" s="1636"/>
      <c r="AG224" s="1636"/>
      <c r="AH224" s="1636">
        <v>0</v>
      </c>
    </row>
    <row s="1636" customFormat="1" customHeight="1" ht="18.75">
      <c r="A225" s="1824"/>
      <c r="B225" s="1824"/>
      <c r="C225" s="1688" t="s">
        <v>1285</v>
      </c>
      <c r="D225" s="345"/>
      <c r="E225" s="1032"/>
      <c r="F225" s="1032"/>
      <c r="G225" s="2428"/>
      <c r="H225" s="5023"/>
      <c r="I225" s="5024" t="s">
        <v>1284</v>
      </c>
      <c r="J225" s="5025"/>
      <c r="K225" s="5026"/>
      <c r="L225" s="5027"/>
      <c r="M225" s="2319"/>
      <c r="N225" s="619"/>
      <c r="O225" s="1625"/>
      <c r="P225" s="1625"/>
      <c r="Q225" s="1636"/>
      <c r="R225" s="1636"/>
      <c r="S225" s="1636"/>
      <c r="T225" s="1636"/>
      <c r="U225" s="1636"/>
      <c r="V225" s="1636"/>
      <c r="W225" s="1636"/>
      <c r="X225" s="1636"/>
      <c r="Y225" s="1636"/>
      <c r="Z225" s="1636"/>
      <c r="AA225" s="1636"/>
      <c r="AB225" s="1636"/>
      <c r="AC225" s="1636"/>
      <c r="AD225" s="1636"/>
      <c r="AE225" s="1636"/>
      <c r="AF225" s="1636"/>
      <c r="AG225" s="1636"/>
      <c r="AH225" s="1636">
        <v>0</v>
      </c>
    </row>
    <row s="1636" customFormat="1" customHeight="1" ht="18.75">
      <c r="A226" s="1824" t="s">
        <v>172</v>
      </c>
      <c r="B226" s="1824" t="s">
        <v>218</v>
      </c>
      <c r="C226" s="1688"/>
      <c r="D226" s="345"/>
      <c r="E226" s="1032"/>
      <c r="F226" s="1032"/>
      <c r="G226" s="2428" t="str">
        <f>INDEX(PT_DIFFERENTIATION_NTAR,MATCH(B226,PT_DIFFERENTIATION_NTAR_ID,0))</f>
        <v>Тарифы на тепловую энергию, поставляемую потребителям. Для потребителей в случае отсутствия дифференциации тарифов по схеме подключения. Муниципальный округ город Кировск с подведомственной территорией Мурманской области</v>
      </c>
      <c r="H226" s="2272"/>
      <c r="I226" s="1740"/>
      <c r="J226" s="1774"/>
      <c r="K226" s="1779"/>
      <c r="L226" s="2272" t="s">
        <v>436</v>
      </c>
      <c r="M226" s="2319"/>
      <c r="N226" s="619"/>
      <c r="O226" s="1625"/>
      <c r="P226" s="1625"/>
      <c r="Q226" s="1636"/>
      <c r="R226" s="1636"/>
      <c r="S226" s="1636"/>
      <c r="T226" s="1636"/>
      <c r="U226" s="1636"/>
      <c r="V226" s="1636"/>
      <c r="W226" s="1636"/>
      <c r="X226" s="1636"/>
      <c r="Y226" s="1636"/>
      <c r="Z226" s="1636"/>
      <c r="AA226" s="1636"/>
      <c r="AB226" s="1636"/>
      <c r="AC226" s="1636"/>
      <c r="AD226" s="1636"/>
      <c r="AE226" s="1636"/>
      <c r="AF226" s="1636"/>
      <c r="AG226" s="1636"/>
      <c r="AH226" s="1636">
        <v>0</v>
      </c>
    </row>
    <row s="1636" customFormat="1" customHeight="1" ht="18.75">
      <c r="A227" s="1824"/>
      <c r="B227" s="1824"/>
      <c r="C227" s="1688" t="s">
        <v>1285</v>
      </c>
      <c r="D227" s="345"/>
      <c r="E227" s="1032"/>
      <c r="F227" s="1032"/>
      <c r="G227" s="2428"/>
      <c r="H227" s="5028"/>
      <c r="I227" s="5029" t="s">
        <v>1284</v>
      </c>
      <c r="J227" s="5030"/>
      <c r="K227" s="5031"/>
      <c r="L227" s="5032"/>
      <c r="M227" s="2319"/>
      <c r="N227" s="619"/>
      <c r="O227" s="1625"/>
      <c r="P227" s="1625"/>
      <c r="Q227" s="1636"/>
      <c r="R227" s="1636"/>
      <c r="S227" s="1636"/>
      <c r="T227" s="1636"/>
      <c r="U227" s="1636"/>
      <c r="V227" s="1636"/>
      <c r="W227" s="1636"/>
      <c r="X227" s="1636"/>
      <c r="Y227" s="1636"/>
      <c r="Z227" s="1636"/>
      <c r="AA227" s="1636"/>
      <c r="AB227" s="1636"/>
      <c r="AC227" s="1636"/>
      <c r="AD227" s="1636"/>
      <c r="AE227" s="1636"/>
      <c r="AF227" s="1636"/>
      <c r="AG227" s="1636"/>
      <c r="AH227" s="1636">
        <v>0</v>
      </c>
    </row>
    <row s="1636" customFormat="1" customHeight="1" ht="0.75" hidden="1">
      <c r="A228" s="1781"/>
      <c r="B228" s="1781"/>
      <c r="C228" s="370" t="s">
        <v>1292</v>
      </c>
      <c r="D228" s="2463"/>
      <c r="E228" s="2205"/>
      <c r="F228" s="2384"/>
      <c r="G228" s="401"/>
      <c r="H228" s="1501"/>
      <c r="I228" s="652"/>
      <c r="J228" s="572"/>
      <c r="K228" s="1501"/>
      <c r="L228" s="215"/>
      <c r="M228" s="2171"/>
      <c r="N228" s="335"/>
      <c r="O228" s="1625"/>
      <c r="P228" s="1625"/>
      <c r="AH228" s="1632">
        <v>0</v>
      </c>
    </row>
    <row s="1636" customFormat="1" customHeight="1" ht="45" hidden="1">
      <c r="A229" s="1781" t="s">
        <v>228</v>
      </c>
      <c r="B229" s="1781" t="s">
        <v>229</v>
      </c>
      <c r="C229" s="370"/>
      <c r="D229" s="2463"/>
      <c r="E229" s="2205"/>
      <c r="F229" s="2384" t="str">
        <f>INDEX(PT_DIFFERENTIATION_VTAR,MATCH(A229,PT_DIFFERENTIATION_VTAR_ID,0))</f>
        <v>Тарифы на тепловую энергию (мощность), поставляемую теплоснабжающими организациями потребителям, другим теплоснабжающим организациям</v>
      </c>
      <c r="G229" s="2428" t="str">
        <f>INDEX(PT_DIFFERENTIATION_NTAR,MATCH(B229,PT_DIFFERENTIATION_NTAR_ID,0))</f>
        <v>Льготные тарифы на тепловую энергию, поставляемую группе потребителей "население". Для потребителей, в случае отсутствия дифференциации тарифов по схеме подключения. Населенный пункт Раякоски Печенгского муниципального округа Мурманской области
</v>
      </c>
      <c r="H229" s="1863"/>
      <c r="I229" s="1740"/>
      <c r="J229" s="1774"/>
      <c r="K229" s="1779"/>
      <c r="L229" s="1863" t="s">
        <v>436</v>
      </c>
      <c r="M229" s="2172"/>
      <c r="N229" s="335"/>
      <c r="O229" s="1625"/>
      <c r="P229" s="1625"/>
      <c r="AH229" s="1632">
        <v>0</v>
      </c>
    </row>
    <row s="1636" customFormat="1" customHeight="1" ht="18.75" hidden="1">
      <c r="A230" s="1781"/>
      <c r="B230" s="1781"/>
      <c r="C230" s="370" t="s">
        <v>1285</v>
      </c>
      <c r="D230" s="2463"/>
      <c r="E230" s="2205"/>
      <c r="F230" s="2384"/>
      <c r="G230" s="2428"/>
      <c r="H230" s="1501"/>
      <c r="I230" s="652" t="s">
        <v>1284</v>
      </c>
      <c r="J230" s="572"/>
      <c r="K230" s="1501"/>
      <c r="L230" s="215"/>
      <c r="M230" s="1862"/>
      <c r="N230" s="335"/>
      <c r="O230" s="1625"/>
      <c r="P230" s="1625"/>
      <c r="AH230" s="1632">
        <v>0</v>
      </c>
    </row>
    <row s="1636" customFormat="1" customHeight="1" ht="18.75">
      <c r="A231" s="1824" t="s">
        <v>228</v>
      </c>
      <c r="B231" s="1824" t="s">
        <v>234</v>
      </c>
      <c r="C231" s="1688"/>
      <c r="D231" s="345"/>
      <c r="E231" s="1032"/>
      <c r="F231" s="1032"/>
      <c r="G231" s="2428" t="str">
        <f>INDEX(PT_DIFFERENTIATION_NTAR,MATCH(B231,PT_DIFFERENTIATION_NTAR_ID,0))</f>
        <v>Льготные тарифы на тепловую энергию, поставляемую группе потребителей "потребители (кроме населения)". Для потребителей, в случае отсутствия дифференциации тарифов по схеме подключения. Населенный пункт Раякоски Печенгского муниципального округа Мурманской области</v>
      </c>
      <c r="H231" s="2272"/>
      <c r="I231" s="1740"/>
      <c r="J231" s="1774"/>
      <c r="K231" s="1779"/>
      <c r="L231" s="2272" t="s">
        <v>436</v>
      </c>
      <c r="M231" s="2319"/>
      <c r="N231" s="619"/>
      <c r="O231" s="1625"/>
      <c r="P231" s="1625"/>
      <c r="Q231" s="1636"/>
      <c r="R231" s="1636"/>
      <c r="S231" s="1636"/>
      <c r="T231" s="1636"/>
      <c r="U231" s="1636"/>
      <c r="V231" s="1636"/>
      <c r="W231" s="1636"/>
      <c r="X231" s="1636"/>
      <c r="Y231" s="1636"/>
      <c r="Z231" s="1636"/>
      <c r="AA231" s="1636"/>
      <c r="AB231" s="1636"/>
      <c r="AC231" s="1636"/>
      <c r="AD231" s="1636"/>
      <c r="AE231" s="1636"/>
      <c r="AF231" s="1636"/>
      <c r="AG231" s="1636"/>
      <c r="AH231" s="1636">
        <v>0</v>
      </c>
    </row>
    <row s="1636" customFormat="1" customHeight="1" ht="18.75">
      <c r="A232" s="1824"/>
      <c r="B232" s="1824"/>
      <c r="C232" s="1688" t="s">
        <v>1285</v>
      </c>
      <c r="D232" s="345"/>
      <c r="E232" s="1032"/>
      <c r="F232" s="1032"/>
      <c r="G232" s="2428"/>
      <c r="H232" s="5033"/>
      <c r="I232" s="5034" t="s">
        <v>1284</v>
      </c>
      <c r="J232" s="5035"/>
      <c r="K232" s="5036"/>
      <c r="L232" s="5037"/>
      <c r="M232" s="2319"/>
      <c r="N232" s="619"/>
      <c r="O232" s="1625"/>
      <c r="P232" s="1625"/>
      <c r="Q232" s="1636"/>
      <c r="R232" s="1636"/>
      <c r="S232" s="1636"/>
      <c r="T232" s="1636"/>
      <c r="U232" s="1636"/>
      <c r="V232" s="1636"/>
      <c r="W232" s="1636"/>
      <c r="X232" s="1636"/>
      <c r="Y232" s="1636"/>
      <c r="Z232" s="1636"/>
      <c r="AA232" s="1636"/>
      <c r="AB232" s="1636"/>
      <c r="AC232" s="1636"/>
      <c r="AD232" s="1636"/>
      <c r="AE232" s="1636"/>
      <c r="AF232" s="1636"/>
      <c r="AG232" s="1636"/>
      <c r="AH232" s="1636">
        <v>0</v>
      </c>
    </row>
    <row s="1636" customFormat="1" customHeight="1" ht="18.75">
      <c r="A233" s="1824" t="s">
        <v>228</v>
      </c>
      <c r="B233" s="1824" t="s">
        <v>239</v>
      </c>
      <c r="C233" s="1688"/>
      <c r="D233" s="345"/>
      <c r="E233" s="1032"/>
      <c r="F233" s="1032"/>
      <c r="G233" s="2428" t="str">
        <f>INDEX(PT_DIFFERENTIATION_NTAR,MATCH(B233,PT_DIFFERENTIATION_NTAR_ID,0))</f>
        <v>Тарифы на тепловую энергию, поставляемую потребителям. Для потребителей в случае отсутствия дифференциации тарифов по схеме подключения. Населенный пункт Раякоски Печенгского муниципального округа Мурманской области</v>
      </c>
      <c r="H233" s="2272"/>
      <c r="I233" s="1740"/>
      <c r="J233" s="1774"/>
      <c r="K233" s="1779"/>
      <c r="L233" s="2272" t="s">
        <v>436</v>
      </c>
      <c r="M233" s="2319"/>
      <c r="N233" s="619"/>
      <c r="O233" s="1625"/>
      <c r="P233" s="1625"/>
      <c r="Q233" s="1636"/>
      <c r="R233" s="1636"/>
      <c r="S233" s="1636"/>
      <c r="T233" s="1636"/>
      <c r="U233" s="1636"/>
      <c r="V233" s="1636"/>
      <c r="W233" s="1636"/>
      <c r="X233" s="1636"/>
      <c r="Y233" s="1636"/>
      <c r="Z233" s="1636"/>
      <c r="AA233" s="1636"/>
      <c r="AB233" s="1636"/>
      <c r="AC233" s="1636"/>
      <c r="AD233" s="1636"/>
      <c r="AE233" s="1636"/>
      <c r="AF233" s="1636"/>
      <c r="AG233" s="1636"/>
      <c r="AH233" s="1636">
        <v>0</v>
      </c>
    </row>
    <row s="1636" customFormat="1" customHeight="1" ht="18.75">
      <c r="A234" s="1824"/>
      <c r="B234" s="1824"/>
      <c r="C234" s="1688" t="s">
        <v>1285</v>
      </c>
      <c r="D234" s="345"/>
      <c r="E234" s="1032"/>
      <c r="F234" s="1032"/>
      <c r="G234" s="2428"/>
      <c r="H234" s="5038"/>
      <c r="I234" s="5039" t="s">
        <v>1284</v>
      </c>
      <c r="J234" s="5040"/>
      <c r="K234" s="5041"/>
      <c r="L234" s="5042"/>
      <c r="M234" s="2319"/>
      <c r="N234" s="619"/>
      <c r="O234" s="1625"/>
      <c r="P234" s="1625"/>
      <c r="Q234" s="1636"/>
      <c r="R234" s="1636"/>
      <c r="S234" s="1636"/>
      <c r="T234" s="1636"/>
      <c r="U234" s="1636"/>
      <c r="V234" s="1636"/>
      <c r="W234" s="1636"/>
      <c r="X234" s="1636"/>
      <c r="Y234" s="1636"/>
      <c r="Z234" s="1636"/>
      <c r="AA234" s="1636"/>
      <c r="AB234" s="1636"/>
      <c r="AC234" s="1636"/>
      <c r="AD234" s="1636"/>
      <c r="AE234" s="1636"/>
      <c r="AF234" s="1636"/>
      <c r="AG234" s="1636"/>
      <c r="AH234" s="1636">
        <v>0</v>
      </c>
    </row>
    <row s="1636" customFormat="1" customHeight="1" ht="18.75">
      <c r="A235" s="1824" t="s">
        <v>228</v>
      </c>
      <c r="B235" s="1824" t="s">
        <v>244</v>
      </c>
      <c r="C235" s="1688"/>
      <c r="D235" s="345"/>
      <c r="E235" s="1032"/>
      <c r="F235" s="1032"/>
      <c r="G235" s="2428" t="str">
        <f>INDEX(PT_DIFFERENTIATION_NTAR,MATCH(B235,PT_DIFFERENTIATION_NTAR_ID,0))</f>
        <v>Тарифы на тепловую энергию, поставляемую теплоснабжающим, теплосетевым организациям, приобретающим тепловую энергию с целью компенсации потерь. Для теплоснабжающих, теплосетевых организаций, приобретающих тепловую энергию на коллекторах источника тепловой энергии (Апатитская ТЭЦ). Муниципальный округ город Кировск с подведомственной территорией Мурманской области, Муниципальный округ город Апатиты с подведомственной территорией Мурманской области</v>
      </c>
      <c r="H235" s="2272"/>
      <c r="I235" s="1740"/>
      <c r="J235" s="1774"/>
      <c r="K235" s="1779"/>
      <c r="L235" s="2272" t="s">
        <v>436</v>
      </c>
      <c r="M235" s="2319"/>
      <c r="N235" s="619"/>
      <c r="O235" s="1625"/>
      <c r="P235" s="1625"/>
      <c r="Q235" s="1636"/>
      <c r="R235" s="1636"/>
      <c r="S235" s="1636"/>
      <c r="T235" s="1636"/>
      <c r="U235" s="1636"/>
      <c r="V235" s="1636"/>
      <c r="W235" s="1636"/>
      <c r="X235" s="1636"/>
      <c r="Y235" s="1636"/>
      <c r="Z235" s="1636"/>
      <c r="AA235" s="1636"/>
      <c r="AB235" s="1636"/>
      <c r="AC235" s="1636"/>
      <c r="AD235" s="1636"/>
      <c r="AE235" s="1636"/>
      <c r="AF235" s="1636"/>
      <c r="AG235" s="1636"/>
      <c r="AH235" s="1636">
        <v>0</v>
      </c>
    </row>
    <row s="1636" customFormat="1" customHeight="1" ht="18.75">
      <c r="A236" s="1824"/>
      <c r="B236" s="1824"/>
      <c r="C236" s="1688" t="s">
        <v>1285</v>
      </c>
      <c r="D236" s="345"/>
      <c r="E236" s="1032"/>
      <c r="F236" s="1032"/>
      <c r="G236" s="2428"/>
      <c r="H236" s="5043"/>
      <c r="I236" s="5044" t="s">
        <v>1284</v>
      </c>
      <c r="J236" s="5045"/>
      <c r="K236" s="5046"/>
      <c r="L236" s="5047"/>
      <c r="M236" s="2319"/>
      <c r="N236" s="619"/>
      <c r="O236" s="1625"/>
      <c r="P236" s="1625"/>
      <c r="Q236" s="1636"/>
      <c r="R236" s="1636"/>
      <c r="S236" s="1636"/>
      <c r="T236" s="1636"/>
      <c r="U236" s="1636"/>
      <c r="V236" s="1636"/>
      <c r="W236" s="1636"/>
      <c r="X236" s="1636"/>
      <c r="Y236" s="1636"/>
      <c r="Z236" s="1636"/>
      <c r="AA236" s="1636"/>
      <c r="AB236" s="1636"/>
      <c r="AC236" s="1636"/>
      <c r="AD236" s="1636"/>
      <c r="AE236" s="1636"/>
      <c r="AF236" s="1636"/>
      <c r="AG236" s="1636"/>
      <c r="AH236" s="1636">
        <v>0</v>
      </c>
    </row>
    <row s="1636" customFormat="1" customHeight="1" ht="0.75" hidden="1">
      <c r="A237" s="1781"/>
      <c r="B237" s="1781"/>
      <c r="C237" s="370" t="s">
        <v>1292</v>
      </c>
      <c r="D237" s="2463"/>
      <c r="E237" s="2205"/>
      <c r="F237" s="2384"/>
      <c r="G237" s="401"/>
      <c r="H237" s="1501"/>
      <c r="I237" s="652"/>
      <c r="J237" s="572"/>
      <c r="K237" s="1501"/>
      <c r="L237" s="215"/>
      <c r="M237" s="342"/>
      <c r="N237" s="335"/>
      <c r="O237" s="1625"/>
      <c r="P237" s="1625"/>
      <c r="AH237" s="1632">
        <v>0</v>
      </c>
    </row>
    <row s="1636" customFormat="1" customHeight="1" ht="45" hidden="1">
      <c r="A238" s="1781" t="s">
        <v>254</v>
      </c>
      <c r="B238" s="1781" t="s">
        <v>255</v>
      </c>
      <c r="C238" s="370"/>
      <c r="D238" s="2463"/>
      <c r="E238" s="2205"/>
      <c r="F238" s="2384" t="str">
        <f>INDEX(PT_DIFFERENTIATION_VTAR,MATCH(A238,PT_DIFFERENTIATION_VTAR_ID,0))</f>
        <v>Тарифы на теплоноситель, поставляемый теплоснабжающими организациями потребителям, другим теплоснабжающим организациям</v>
      </c>
      <c r="G238" s="2428" t="str">
        <f>INDEX(PT_DIFFERENTIATION_NTAR,MATCH(B238,PT_DIFFERENTIATION_NTAR_ID,0))</f>
        <v>Тарифы на теплоноситель, поставляемый группе потребителей "население". Муниципальный округ город Апатиты с подведомственной территорией Мурманской области, муниципальный округ город Кировск с подведомственной территорией Мурманской области</v>
      </c>
      <c r="H238" s="1863"/>
      <c r="I238" s="1740"/>
      <c r="J238" s="1774"/>
      <c r="K238" s="1779"/>
      <c r="L238" s="1863" t="s">
        <v>436</v>
      </c>
      <c r="M238" s="342"/>
      <c r="N238" s="335"/>
      <c r="O238" s="1625"/>
      <c r="P238" s="1625"/>
      <c r="AH238" s="1632">
        <v>0</v>
      </c>
    </row>
    <row s="1636" customFormat="1" customHeight="1" ht="18.75" hidden="1">
      <c r="A239" s="1781"/>
      <c r="B239" s="1781"/>
      <c r="C239" s="370" t="s">
        <v>1285</v>
      </c>
      <c r="D239" s="2463"/>
      <c r="E239" s="2205"/>
      <c r="F239" s="2384"/>
      <c r="G239" s="2428"/>
      <c r="H239" s="1501"/>
      <c r="I239" s="652" t="s">
        <v>1284</v>
      </c>
      <c r="J239" s="572"/>
      <c r="K239" s="1501"/>
      <c r="L239" s="215"/>
      <c r="M239" s="342"/>
      <c r="N239" s="335"/>
      <c r="O239" s="1625"/>
      <c r="P239" s="1625"/>
      <c r="AH239" s="1632">
        <v>0</v>
      </c>
    </row>
    <row s="1636" customFormat="1" customHeight="1" ht="18.75">
      <c r="A240" s="1824" t="s">
        <v>254</v>
      </c>
      <c r="B240" s="1824" t="s">
        <v>263</v>
      </c>
      <c r="C240" s="1688"/>
      <c r="D240" s="345"/>
      <c r="E240" s="1032"/>
      <c r="F240" s="1032"/>
      <c r="G240" s="2428" t="str">
        <f>INDEX(PT_DIFFERENTIATION_NTAR,MATCH(B240,PT_DIFFERENTIATION_NTAR_ID,0))</f>
        <v>Тарифы на теплоноситель, поставляемый потребителям. Муниципальный округ город Апатиты с подведомственной территорией Мурманской области, муниципальный округ город Кировск с подведомственной территорией Мурманской области</v>
      </c>
      <c r="H240" s="2272"/>
      <c r="I240" s="1740"/>
      <c r="J240" s="1774"/>
      <c r="K240" s="1779"/>
      <c r="L240" s="2272" t="s">
        <v>436</v>
      </c>
      <c r="M240" s="2319"/>
      <c r="N240" s="619"/>
      <c r="O240" s="1625"/>
      <c r="P240" s="1625"/>
      <c r="Q240" s="1636"/>
      <c r="R240" s="1636"/>
      <c r="S240" s="1636"/>
      <c r="T240" s="1636"/>
      <c r="U240" s="1636"/>
      <c r="V240" s="1636"/>
      <c r="W240" s="1636"/>
      <c r="X240" s="1636"/>
      <c r="Y240" s="1636"/>
      <c r="Z240" s="1636"/>
      <c r="AA240" s="1636"/>
      <c r="AB240" s="1636"/>
      <c r="AC240" s="1636"/>
      <c r="AD240" s="1636"/>
      <c r="AE240" s="1636"/>
      <c r="AF240" s="1636"/>
      <c r="AG240" s="1636"/>
      <c r="AH240" s="1636">
        <v>0</v>
      </c>
    </row>
    <row s="1636" customFormat="1" customHeight="1" ht="18.75">
      <c r="A241" s="1824"/>
      <c r="B241" s="1824"/>
      <c r="C241" s="1688" t="s">
        <v>1285</v>
      </c>
      <c r="D241" s="345"/>
      <c r="E241" s="1032"/>
      <c r="F241" s="1032"/>
      <c r="G241" s="2428"/>
      <c r="H241" s="5048"/>
      <c r="I241" s="5049" t="s">
        <v>1284</v>
      </c>
      <c r="J241" s="5050"/>
      <c r="K241" s="5051"/>
      <c r="L241" s="5052"/>
      <c r="M241" s="2319"/>
      <c r="N241" s="619"/>
      <c r="O241" s="1625"/>
      <c r="P241" s="1625"/>
      <c r="Q241" s="1636"/>
      <c r="R241" s="1636"/>
      <c r="S241" s="1636"/>
      <c r="T241" s="1636"/>
      <c r="U241" s="1636"/>
      <c r="V241" s="1636"/>
      <c r="W241" s="1636"/>
      <c r="X241" s="1636"/>
      <c r="Y241" s="1636"/>
      <c r="Z241" s="1636"/>
      <c r="AA241" s="1636"/>
      <c r="AB241" s="1636"/>
      <c r="AC241" s="1636"/>
      <c r="AD241" s="1636"/>
      <c r="AE241" s="1636"/>
      <c r="AF241" s="1636"/>
      <c r="AG241" s="1636"/>
      <c r="AH241" s="1636">
        <v>0</v>
      </c>
    </row>
    <row s="1636" customFormat="1" customHeight="1" ht="0.75" hidden="1">
      <c r="A242" s="1781"/>
      <c r="B242" s="1781"/>
      <c r="C242" s="370" t="s">
        <v>1292</v>
      </c>
      <c r="D242" s="2463"/>
      <c r="E242" s="2205"/>
      <c r="F242" s="2384"/>
      <c r="G242" s="401"/>
      <c r="H242" s="1501"/>
      <c r="I242" s="652"/>
      <c r="J242" s="572"/>
      <c r="K242" s="1501"/>
      <c r="L242" s="215"/>
      <c r="M242" s="342"/>
      <c r="N242" s="335"/>
      <c r="O242" s="1625"/>
      <c r="P242" s="1625"/>
      <c r="AH242" s="1632">
        <v>0</v>
      </c>
    </row>
    <row s="1636" customFormat="1" customHeight="1" ht="45" hidden="1">
      <c r="A243" s="1781" t="s">
        <v>272</v>
      </c>
      <c r="B243" s="1781" t="s">
        <v>273</v>
      </c>
      <c r="C243" s="370"/>
      <c r="D243" s="2463"/>
      <c r="E243" s="2205"/>
      <c r="F243" s="2384" t="str">
        <f>INDEX(PT_DIFFERENTIATION_VTAR,MATCH(A243,PT_DIFFERENTIATION_VTAR_ID,0))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243" s="2428" t="str">
        <f>INDEX(PT_DIFFERENTIATION_NTAR,MATCH(B243,PT_DIFFERENTIATION_NTAR_ID,0))</f>
        <v>Тарифы на горячую воду в открытых системах теплоснабжения (горячее водоснабжение), поставляемую группе потребителей "население". Муниципальный округ город Апатиты с подведомственной территорией Мурманской области.</v>
      </c>
      <c r="H243" s="1863"/>
      <c r="I243" s="1740"/>
      <c r="J243" s="1774"/>
      <c r="K243" s="1779"/>
      <c r="L243" s="1863" t="s">
        <v>436</v>
      </c>
      <c r="M243" s="342"/>
      <c r="N243" s="335"/>
      <c r="O243" s="1625"/>
      <c r="P243" s="1625"/>
      <c r="AH243" s="1632">
        <v>0</v>
      </c>
    </row>
    <row s="1636" customFormat="1" customHeight="1" ht="18.75" hidden="1">
      <c r="A244" s="1781"/>
      <c r="B244" s="1781"/>
      <c r="C244" s="370" t="s">
        <v>1285</v>
      </c>
      <c r="D244" s="2463"/>
      <c r="E244" s="2205"/>
      <c r="F244" s="2384"/>
      <c r="G244" s="2428"/>
      <c r="H244" s="1501"/>
      <c r="I244" s="652" t="s">
        <v>1284</v>
      </c>
      <c r="J244" s="572"/>
      <c r="K244" s="1501"/>
      <c r="L244" s="215"/>
      <c r="M244" s="342"/>
      <c r="N244" s="335"/>
      <c r="O244" s="1625"/>
      <c r="P244" s="1625"/>
      <c r="AH244" s="1632">
        <v>0</v>
      </c>
    </row>
    <row s="1636" customFormat="1" customHeight="1" ht="18.75">
      <c r="A245" s="1824" t="s">
        <v>272</v>
      </c>
      <c r="B245" s="1824" t="s">
        <v>278</v>
      </c>
      <c r="C245" s="1688"/>
      <c r="D245" s="345"/>
      <c r="E245" s="1032"/>
      <c r="F245" s="1032"/>
      <c r="G245" s="2428" t="str">
        <f>INDEX(PT_DIFFERENTIATION_NTAR,MATCH(B245,PT_DIFFERENTIATION_NTAR_ID,0))</f>
        <v>Тарифы на горячую воду в открытых системах теплоснабжения (горячее водоснабжение), поставляемую группе потребителей "население". Муниципальный округ город Кировск с подведомственной территорией Мурманской области.</v>
      </c>
      <c r="H245" s="2272"/>
      <c r="I245" s="1740"/>
      <c r="J245" s="1774"/>
      <c r="K245" s="1779"/>
      <c r="L245" s="2272" t="s">
        <v>436</v>
      </c>
      <c r="M245" s="2319"/>
      <c r="N245" s="619"/>
      <c r="O245" s="1625"/>
      <c r="P245" s="1625"/>
      <c r="Q245" s="1636"/>
      <c r="R245" s="1636"/>
      <c r="S245" s="1636"/>
      <c r="T245" s="1636"/>
      <c r="U245" s="1636"/>
      <c r="V245" s="1636"/>
      <c r="W245" s="1636"/>
      <c r="X245" s="1636"/>
      <c r="Y245" s="1636"/>
      <c r="Z245" s="1636"/>
      <c r="AA245" s="1636"/>
      <c r="AB245" s="1636"/>
      <c r="AC245" s="1636"/>
      <c r="AD245" s="1636"/>
      <c r="AE245" s="1636"/>
      <c r="AF245" s="1636"/>
      <c r="AG245" s="1636"/>
      <c r="AH245" s="1636">
        <v>0</v>
      </c>
    </row>
    <row s="1636" customFormat="1" customHeight="1" ht="18.75">
      <c r="A246" s="1824"/>
      <c r="B246" s="1824"/>
      <c r="C246" s="1688" t="s">
        <v>1285</v>
      </c>
      <c r="D246" s="345"/>
      <c r="E246" s="1032"/>
      <c r="F246" s="1032"/>
      <c r="G246" s="2428"/>
      <c r="H246" s="5053"/>
      <c r="I246" s="5054" t="s">
        <v>1284</v>
      </c>
      <c r="J246" s="5055"/>
      <c r="K246" s="5056"/>
      <c r="L246" s="5057"/>
      <c r="M246" s="2319"/>
      <c r="N246" s="619"/>
      <c r="O246" s="1625"/>
      <c r="P246" s="1625"/>
      <c r="Q246" s="1636"/>
      <c r="R246" s="1636"/>
      <c r="S246" s="1636"/>
      <c r="T246" s="1636"/>
      <c r="U246" s="1636"/>
      <c r="V246" s="1636"/>
      <c r="W246" s="1636"/>
      <c r="X246" s="1636"/>
      <c r="Y246" s="1636"/>
      <c r="Z246" s="1636"/>
      <c r="AA246" s="1636"/>
      <c r="AB246" s="1636"/>
      <c r="AC246" s="1636"/>
      <c r="AD246" s="1636"/>
      <c r="AE246" s="1636"/>
      <c r="AF246" s="1636"/>
      <c r="AG246" s="1636"/>
      <c r="AH246" s="1636">
        <v>0</v>
      </c>
    </row>
    <row s="1636" customFormat="1" customHeight="1" ht="18.75">
      <c r="A247" s="1824" t="s">
        <v>272</v>
      </c>
      <c r="B247" s="1824" t="s">
        <v>283</v>
      </c>
      <c r="C247" s="1688"/>
      <c r="D247" s="345"/>
      <c r="E247" s="1032"/>
      <c r="F247" s="1032"/>
      <c r="G247" s="2428" t="str">
        <f>INDEX(PT_DIFFERENTIATION_NTAR,MATCH(B247,PT_DIFFERENTIATION_NTAR_ID,0))</f>
        <v>Тарифы на горячую воду в открытых системах теплоснабжения (горячее водоснабжение), поставляемую потребителям. Муниципальный округ город Апатиты с подведомственной территорией Мурманской области. Для потребителей на коллекторах источника тепловой энергии Апатитская ТЭЦ</v>
      </c>
      <c r="H247" s="2272"/>
      <c r="I247" s="1740"/>
      <c r="J247" s="1774"/>
      <c r="K247" s="1779"/>
      <c r="L247" s="2272" t="s">
        <v>436</v>
      </c>
      <c r="M247" s="2319"/>
      <c r="N247" s="619"/>
      <c r="O247" s="1625"/>
      <c r="P247" s="1625"/>
      <c r="Q247" s="1636"/>
      <c r="R247" s="1636"/>
      <c r="S247" s="1636"/>
      <c r="T247" s="1636"/>
      <c r="U247" s="1636"/>
      <c r="V247" s="1636"/>
      <c r="W247" s="1636"/>
      <c r="X247" s="1636"/>
      <c r="Y247" s="1636"/>
      <c r="Z247" s="1636"/>
      <c r="AA247" s="1636"/>
      <c r="AB247" s="1636"/>
      <c r="AC247" s="1636"/>
      <c r="AD247" s="1636"/>
      <c r="AE247" s="1636"/>
      <c r="AF247" s="1636"/>
      <c r="AG247" s="1636"/>
      <c r="AH247" s="1636">
        <v>0</v>
      </c>
    </row>
    <row s="1636" customFormat="1" customHeight="1" ht="18.75">
      <c r="A248" s="1824"/>
      <c r="B248" s="1824"/>
      <c r="C248" s="1688" t="s">
        <v>1285</v>
      </c>
      <c r="D248" s="345"/>
      <c r="E248" s="1032"/>
      <c r="F248" s="1032"/>
      <c r="G248" s="2428"/>
      <c r="H248" s="5058"/>
      <c r="I248" s="5059" t="s">
        <v>1284</v>
      </c>
      <c r="J248" s="5060"/>
      <c r="K248" s="5061"/>
      <c r="L248" s="5062"/>
      <c r="M248" s="2319"/>
      <c r="N248" s="619"/>
      <c r="O248" s="1625"/>
      <c r="P248" s="1625"/>
      <c r="Q248" s="1636"/>
      <c r="R248" s="1636"/>
      <c r="S248" s="1636"/>
      <c r="T248" s="1636"/>
      <c r="U248" s="1636"/>
      <c r="V248" s="1636"/>
      <c r="W248" s="1636"/>
      <c r="X248" s="1636"/>
      <c r="Y248" s="1636"/>
      <c r="Z248" s="1636"/>
      <c r="AA248" s="1636"/>
      <c r="AB248" s="1636"/>
      <c r="AC248" s="1636"/>
      <c r="AD248" s="1636"/>
      <c r="AE248" s="1636"/>
      <c r="AF248" s="1636"/>
      <c r="AG248" s="1636"/>
      <c r="AH248" s="1636">
        <v>0</v>
      </c>
    </row>
    <row s="1636" customFormat="1" customHeight="1" ht="18.75">
      <c r="A249" s="1824" t="s">
        <v>272</v>
      </c>
      <c r="B249" s="1824" t="s">
        <v>288</v>
      </c>
      <c r="C249" s="1688"/>
      <c r="D249" s="345"/>
      <c r="E249" s="1032"/>
      <c r="F249" s="1032"/>
      <c r="G249" s="2428" t="str">
        <f>INDEX(PT_DIFFERENTIATION_NTAR,MATCH(B249,PT_DIFFERENTIATION_NTAR_ID,0))</f>
        <v>Тарифы на горячую воду в открытых системах теплоснабжения (горячее водоснабжение), поставляемую потребителям. Муниципальный округ город Апатиты с подведомственной территорией Мурманской области. Для потребителей, подключенных к тепловым сетям ПАО "ТГК-1"</v>
      </c>
      <c r="H249" s="2272"/>
      <c r="I249" s="1740"/>
      <c r="J249" s="1774"/>
      <c r="K249" s="1779"/>
      <c r="L249" s="2272" t="s">
        <v>436</v>
      </c>
      <c r="M249" s="2319"/>
      <c r="N249" s="619"/>
      <c r="O249" s="1625"/>
      <c r="P249" s="1625"/>
      <c r="Q249" s="1636"/>
      <c r="R249" s="1636"/>
      <c r="S249" s="1636"/>
      <c r="T249" s="1636"/>
      <c r="U249" s="1636"/>
      <c r="V249" s="1636"/>
      <c r="W249" s="1636"/>
      <c r="X249" s="1636"/>
      <c r="Y249" s="1636"/>
      <c r="Z249" s="1636"/>
      <c r="AA249" s="1636"/>
      <c r="AB249" s="1636"/>
      <c r="AC249" s="1636"/>
      <c r="AD249" s="1636"/>
      <c r="AE249" s="1636"/>
      <c r="AF249" s="1636"/>
      <c r="AG249" s="1636"/>
      <c r="AH249" s="1636">
        <v>0</v>
      </c>
    </row>
    <row s="1636" customFormat="1" customHeight="1" ht="18.75">
      <c r="A250" s="1824"/>
      <c r="B250" s="1824"/>
      <c r="C250" s="1688" t="s">
        <v>1285</v>
      </c>
      <c r="D250" s="345"/>
      <c r="E250" s="1032"/>
      <c r="F250" s="1032"/>
      <c r="G250" s="2428"/>
      <c r="H250" s="5063"/>
      <c r="I250" s="5064" t="s">
        <v>1284</v>
      </c>
      <c r="J250" s="5065"/>
      <c r="K250" s="5066"/>
      <c r="L250" s="5067"/>
      <c r="M250" s="2319"/>
      <c r="N250" s="619"/>
      <c r="O250" s="1625"/>
      <c r="P250" s="1625"/>
      <c r="Q250" s="1636"/>
      <c r="R250" s="1636"/>
      <c r="S250" s="1636"/>
      <c r="T250" s="1636"/>
      <c r="U250" s="1636"/>
      <c r="V250" s="1636"/>
      <c r="W250" s="1636"/>
      <c r="X250" s="1636"/>
      <c r="Y250" s="1636"/>
      <c r="Z250" s="1636"/>
      <c r="AA250" s="1636"/>
      <c r="AB250" s="1636"/>
      <c r="AC250" s="1636"/>
      <c r="AD250" s="1636"/>
      <c r="AE250" s="1636"/>
      <c r="AF250" s="1636"/>
      <c r="AG250" s="1636"/>
      <c r="AH250" s="1636">
        <v>0</v>
      </c>
    </row>
    <row s="1636" customFormat="1" customHeight="1" ht="18.75">
      <c r="A251" s="1824" t="s">
        <v>272</v>
      </c>
      <c r="B251" s="1824" t="s">
        <v>293</v>
      </c>
      <c r="C251" s="1688"/>
      <c r="D251" s="345"/>
      <c r="E251" s="1032"/>
      <c r="F251" s="1032"/>
      <c r="G251" s="2428" t="str">
        <f>INDEX(PT_DIFFERENTIATION_NTAR,MATCH(B251,PT_DIFFERENTIATION_NTAR_ID,0))</f>
        <v>Тарифы на горячую воду в открытых системах теплоснабжения (горячее водоснабжение), поставляемую потребителям. Муниципальный округ город Апатиты с подведомственной территорией Мурманской области. Для потребителей, подключенных к тепловым сетям АО "Апатитыэнерго"</v>
      </c>
      <c r="H251" s="2272"/>
      <c r="I251" s="1740"/>
      <c r="J251" s="1774"/>
      <c r="K251" s="1779"/>
      <c r="L251" s="2272" t="s">
        <v>436</v>
      </c>
      <c r="M251" s="2319"/>
      <c r="N251" s="619"/>
      <c r="O251" s="1625"/>
      <c r="P251" s="1625"/>
      <c r="Q251" s="1636"/>
      <c r="R251" s="1636"/>
      <c r="S251" s="1636"/>
      <c r="T251" s="1636"/>
      <c r="U251" s="1636"/>
      <c r="V251" s="1636"/>
      <c r="W251" s="1636"/>
      <c r="X251" s="1636"/>
      <c r="Y251" s="1636"/>
      <c r="Z251" s="1636"/>
      <c r="AA251" s="1636"/>
      <c r="AB251" s="1636"/>
      <c r="AC251" s="1636"/>
      <c r="AD251" s="1636"/>
      <c r="AE251" s="1636"/>
      <c r="AF251" s="1636"/>
      <c r="AG251" s="1636"/>
      <c r="AH251" s="1636">
        <v>0</v>
      </c>
    </row>
    <row s="1636" customFormat="1" customHeight="1" ht="18.75">
      <c r="A252" s="1824"/>
      <c r="B252" s="1824"/>
      <c r="C252" s="1688" t="s">
        <v>1285</v>
      </c>
      <c r="D252" s="345"/>
      <c r="E252" s="1032"/>
      <c r="F252" s="1032"/>
      <c r="G252" s="2428"/>
      <c r="H252" s="5068"/>
      <c r="I252" s="5069" t="s">
        <v>1284</v>
      </c>
      <c r="J252" s="5070"/>
      <c r="K252" s="5071"/>
      <c r="L252" s="5072"/>
      <c r="M252" s="2319"/>
      <c r="N252" s="619"/>
      <c r="O252" s="1625"/>
      <c r="P252" s="1625"/>
      <c r="Q252" s="1636"/>
      <c r="R252" s="1636"/>
      <c r="S252" s="1636"/>
      <c r="T252" s="1636"/>
      <c r="U252" s="1636"/>
      <c r="V252" s="1636"/>
      <c r="W252" s="1636"/>
      <c r="X252" s="1636"/>
      <c r="Y252" s="1636"/>
      <c r="Z252" s="1636"/>
      <c r="AA252" s="1636"/>
      <c r="AB252" s="1636"/>
      <c r="AC252" s="1636"/>
      <c r="AD252" s="1636"/>
      <c r="AE252" s="1636"/>
      <c r="AF252" s="1636"/>
      <c r="AG252" s="1636"/>
      <c r="AH252" s="1636">
        <v>0</v>
      </c>
    </row>
    <row s="1636" customFormat="1" customHeight="1" ht="18.75">
      <c r="A253" s="1824" t="s">
        <v>272</v>
      </c>
      <c r="B253" s="1824" t="s">
        <v>298</v>
      </c>
      <c r="C253" s="1688"/>
      <c r="D253" s="345"/>
      <c r="E253" s="1032"/>
      <c r="F253" s="1032"/>
      <c r="G253" s="2428" t="str">
        <f>INDEX(PT_DIFFERENTIATION_NTAR,MATCH(B253,PT_DIFFERENTIATION_NTAR_ID,0))</f>
        <v>Тарифы на горячую воду в открытых системах теплоснабжения (горячее водоснабжение), поставляемую потребителям. Муниципальный округ город Кировск с подведомственной территорией Мурманской области. Для потребителей в случае отсутствия дифференциации тарифов по схеме подключения</v>
      </c>
      <c r="H253" s="2272"/>
      <c r="I253" s="1740"/>
      <c r="J253" s="1774"/>
      <c r="K253" s="1779"/>
      <c r="L253" s="2272" t="s">
        <v>436</v>
      </c>
      <c r="M253" s="2319"/>
      <c r="N253" s="619"/>
      <c r="O253" s="1625"/>
      <c r="P253" s="1625"/>
      <c r="Q253" s="1636"/>
      <c r="R253" s="1636"/>
      <c r="S253" s="1636"/>
      <c r="T253" s="1636"/>
      <c r="U253" s="1636"/>
      <c r="V253" s="1636"/>
      <c r="W253" s="1636"/>
      <c r="X253" s="1636"/>
      <c r="Y253" s="1636"/>
      <c r="Z253" s="1636"/>
      <c r="AA253" s="1636"/>
      <c r="AB253" s="1636"/>
      <c r="AC253" s="1636"/>
      <c r="AD253" s="1636"/>
      <c r="AE253" s="1636"/>
      <c r="AF253" s="1636"/>
      <c r="AG253" s="1636"/>
      <c r="AH253" s="1636">
        <v>0</v>
      </c>
    </row>
    <row s="1636" customFormat="1" customHeight="1" ht="18.75">
      <c r="A254" s="1824"/>
      <c r="B254" s="1824"/>
      <c r="C254" s="1688" t="s">
        <v>1285</v>
      </c>
      <c r="D254" s="345"/>
      <c r="E254" s="1032"/>
      <c r="F254" s="1032"/>
      <c r="G254" s="2428"/>
      <c r="H254" s="5073"/>
      <c r="I254" s="5074" t="s">
        <v>1284</v>
      </c>
      <c r="J254" s="5075"/>
      <c r="K254" s="5076"/>
      <c r="L254" s="5077"/>
      <c r="M254" s="2319"/>
      <c r="N254" s="619"/>
      <c r="O254" s="1625"/>
      <c r="P254" s="1625"/>
      <c r="Q254" s="1636"/>
      <c r="R254" s="1636"/>
      <c r="S254" s="1636"/>
      <c r="T254" s="1636"/>
      <c r="U254" s="1636"/>
      <c r="V254" s="1636"/>
      <c r="W254" s="1636"/>
      <c r="X254" s="1636"/>
      <c r="Y254" s="1636"/>
      <c r="Z254" s="1636"/>
      <c r="AA254" s="1636"/>
      <c r="AB254" s="1636"/>
      <c r="AC254" s="1636"/>
      <c r="AD254" s="1636"/>
      <c r="AE254" s="1636"/>
      <c r="AF254" s="1636"/>
      <c r="AG254" s="1636"/>
      <c r="AH254" s="1636">
        <v>0</v>
      </c>
    </row>
    <row s="1636" customFormat="1" customHeight="1" ht="0.75" hidden="1">
      <c r="A255" s="1781"/>
      <c r="B255" s="1781"/>
      <c r="C255" s="370" t="s">
        <v>1292</v>
      </c>
      <c r="D255" s="2463"/>
      <c r="E255" s="2205"/>
      <c r="F255" s="2384"/>
      <c r="G255" s="401"/>
      <c r="H255" s="1501"/>
      <c r="I255" s="652"/>
      <c r="J255" s="572"/>
      <c r="K255" s="1501"/>
      <c r="L255" s="215"/>
      <c r="M255" s="342"/>
      <c r="N255" s="335"/>
      <c r="O255" s="1625"/>
      <c r="P255" s="1625"/>
      <c r="AH255" s="1632">
        <v>0</v>
      </c>
    </row>
    <row s="1636" customFormat="1" customHeight="1" ht="18.75" hidden="1">
      <c r="A256" s="1781" t="s">
        <v>303</v>
      </c>
      <c r="B256" s="1781" t="s">
        <v>304</v>
      </c>
      <c r="C256" s="370"/>
      <c r="D256" s="2463"/>
      <c r="E256" s="2205"/>
      <c r="F256" s="2384" t="str">
        <f>INDEX(PT_DIFFERENTIATION_VTAR,MATCH(A256,PT_DIFFERENTIATION_VTAR_ID,0))</f>
        <v>Тарифы на услуги по передаче тепловой энергии</v>
      </c>
      <c r="G256" s="2428" t="str">
        <f>INDEX(PT_DIFFERENTIATION_NTAR,MATCH(B256,PT_DIFFERENTIATION_NTAR_ID,0))</f>
        <v/>
      </c>
      <c r="H256" s="1863"/>
      <c r="I256" s="1740"/>
      <c r="J256" s="1774"/>
      <c r="K256" s="1779"/>
      <c r="L256" s="1863" t="s">
        <v>436</v>
      </c>
      <c r="M256" s="342"/>
      <c r="N256" s="335"/>
      <c r="O256" s="1625"/>
      <c r="P256" s="1625"/>
      <c r="AH256" s="1632">
        <v>0</v>
      </c>
    </row>
    <row s="1636" customFormat="1" customHeight="1" ht="18.75" hidden="1">
      <c r="A257" s="1781"/>
      <c r="B257" s="1781"/>
      <c r="C257" s="370" t="s">
        <v>1285</v>
      </c>
      <c r="D257" s="2463"/>
      <c r="E257" s="2205"/>
      <c r="F257" s="2384"/>
      <c r="G257" s="2428"/>
      <c r="H257" s="1501"/>
      <c r="I257" s="652" t="s">
        <v>1284</v>
      </c>
      <c r="J257" s="572"/>
      <c r="K257" s="1501"/>
      <c r="L257" s="215"/>
      <c r="M257" s="342"/>
      <c r="N257" s="335"/>
      <c r="O257" s="1625"/>
      <c r="P257" s="1625"/>
      <c r="AH257" s="1632">
        <v>0</v>
      </c>
    </row>
    <row s="1636" customFormat="1" customHeight="1" ht="0.75" hidden="1">
      <c r="A258" s="1781"/>
      <c r="B258" s="1781"/>
      <c r="C258" s="370" t="s">
        <v>1292</v>
      </c>
      <c r="D258" s="2463"/>
      <c r="E258" s="2205"/>
      <c r="F258" s="2384"/>
      <c r="G258" s="401"/>
      <c r="H258" s="1501"/>
      <c r="I258" s="652"/>
      <c r="J258" s="572"/>
      <c r="K258" s="1501"/>
      <c r="L258" s="215"/>
      <c r="M258" s="342"/>
      <c r="N258" s="335"/>
      <c r="O258" s="1625"/>
      <c r="P258" s="1625"/>
      <c r="AH258" s="1632">
        <v>0</v>
      </c>
    </row>
    <row s="1636" customFormat="1" customHeight="1" ht="18.75" hidden="1">
      <c r="A259" s="1781" t="s">
        <v>309</v>
      </c>
      <c r="B259" s="1781" t="s">
        <v>310</v>
      </c>
      <c r="C259" s="370"/>
      <c r="D259" s="2463"/>
      <c r="E259" s="2205"/>
      <c r="F259" s="2384" t="str">
        <f>INDEX(PT_DIFFERENTIATION_VTAR,MATCH(A259,PT_DIFFERENTIATION_VTAR_ID,0))</f>
        <v>Тарифы на услуги по передаче теплоносителя</v>
      </c>
      <c r="G259" s="2428" t="str">
        <f>INDEX(PT_DIFFERENTIATION_NTAR,MATCH(B259,PT_DIFFERENTIATION_NTAR_ID,0))</f>
        <v/>
      </c>
      <c r="H259" s="1863"/>
      <c r="I259" s="1740"/>
      <c r="J259" s="1774"/>
      <c r="K259" s="1779"/>
      <c r="L259" s="1863" t="s">
        <v>436</v>
      </c>
      <c r="M259" s="342"/>
      <c r="N259" s="335"/>
      <c r="O259" s="1625"/>
      <c r="P259" s="1625"/>
      <c r="AH259" s="1632">
        <v>0</v>
      </c>
    </row>
    <row s="1636" customFormat="1" customHeight="1" ht="18.75" hidden="1">
      <c r="A260" s="1781"/>
      <c r="B260" s="1781"/>
      <c r="C260" s="370" t="s">
        <v>1285</v>
      </c>
      <c r="D260" s="2463"/>
      <c r="E260" s="2205"/>
      <c r="F260" s="2384"/>
      <c r="G260" s="2428"/>
      <c r="H260" s="1501"/>
      <c r="I260" s="652" t="s">
        <v>1284</v>
      </c>
      <c r="J260" s="572"/>
      <c r="K260" s="1501"/>
      <c r="L260" s="215"/>
      <c r="M260" s="342"/>
      <c r="N260" s="335"/>
      <c r="O260" s="1625"/>
      <c r="P260" s="1625"/>
      <c r="AH260" s="1632">
        <v>0</v>
      </c>
    </row>
    <row s="1636" customFormat="1" customHeight="1" ht="0.75" hidden="1">
      <c r="A261" s="1781"/>
      <c r="B261" s="1781"/>
      <c r="C261" s="370" t="s">
        <v>1292</v>
      </c>
      <c r="D261" s="2463"/>
      <c r="E261" s="2205"/>
      <c r="F261" s="2384"/>
      <c r="G261" s="401"/>
      <c r="H261" s="1501"/>
      <c r="I261" s="652"/>
      <c r="J261" s="572"/>
      <c r="K261" s="1501"/>
      <c r="L261" s="215"/>
      <c r="M261" s="342"/>
      <c r="N261" s="335"/>
      <c r="O261" s="1625"/>
      <c r="P261" s="1625"/>
      <c r="AH261" s="1632">
        <v>0</v>
      </c>
    </row>
    <row s="1636" customFormat="1" customHeight="1" ht="18.75" hidden="1">
      <c r="A262" s="1781" t="s">
        <v>317</v>
      </c>
      <c r="B262" s="1781" t="s">
        <v>318</v>
      </c>
      <c r="C262" s="370"/>
      <c r="D262" s="2463"/>
      <c r="E262" s="2205"/>
      <c r="F262" s="2384" t="str">
        <f>INDEX(PT_DIFFERENTIATION_VTAR,MATCH(A262,PT_DIFFERENTIATION_VTAR_ID,0))</f>
        <v>Плата за услуги по поддержанию резервной тепловой мощности при отсутствии потребления тепловой энергии</v>
      </c>
      <c r="G262" s="2428" t="str">
        <f>INDEX(PT_DIFFERENTIATION_NTAR,MATCH(B262,PT_DIFFERENTIATION_NTAR_ID,0))</f>
        <v>Плата за услуги по поддержанию резервной тепловой мощности. </v>
      </c>
      <c r="H262" s="1863"/>
      <c r="I262" s="1740"/>
      <c r="J262" s="1774"/>
      <c r="K262" s="1779"/>
      <c r="L262" s="1863" t="s">
        <v>436</v>
      </c>
      <c r="M262" s="342"/>
      <c r="N262" s="335"/>
      <c r="O262" s="1625"/>
      <c r="P262" s="1625"/>
      <c r="AH262" s="1632">
        <v>0</v>
      </c>
    </row>
    <row s="1636" customFormat="1" customHeight="1" ht="18.75" hidden="1">
      <c r="A263" s="1781"/>
      <c r="B263" s="1781"/>
      <c r="C263" s="370" t="s">
        <v>1285</v>
      </c>
      <c r="D263" s="2463"/>
      <c r="E263" s="2205"/>
      <c r="F263" s="2384"/>
      <c r="G263" s="2428"/>
      <c r="H263" s="1501"/>
      <c r="I263" s="652" t="s">
        <v>1284</v>
      </c>
      <c r="J263" s="572"/>
      <c r="K263" s="1501"/>
      <c r="L263" s="215"/>
      <c r="M263" s="342"/>
      <c r="N263" s="335"/>
      <c r="O263" s="1625"/>
      <c r="P263" s="1625"/>
      <c r="AH263" s="1632">
        <v>0</v>
      </c>
    </row>
    <row s="1636" customFormat="1" customHeight="1" ht="0.75" hidden="1">
      <c r="A264" s="1781"/>
      <c r="B264" s="1781"/>
      <c r="C264" s="370" t="s">
        <v>1292</v>
      </c>
      <c r="D264" s="2463"/>
      <c r="E264" s="2205"/>
      <c r="F264" s="2384"/>
      <c r="G264" s="401"/>
      <c r="H264" s="1501"/>
      <c r="I264" s="652"/>
      <c r="J264" s="572"/>
      <c r="K264" s="1501"/>
      <c r="L264" s="215"/>
      <c r="M264" s="342"/>
      <c r="N264" s="335"/>
      <c r="O264" s="1625"/>
      <c r="P264" s="1625"/>
      <c r="AH264" s="1632">
        <v>0</v>
      </c>
    </row>
    <row s="1636" customFormat="1" customHeight="1" ht="18.75" hidden="1">
      <c r="A265" s="1781" t="s">
        <v>329</v>
      </c>
      <c r="B265" s="1781" t="s">
        <v>330</v>
      </c>
      <c r="C265" s="370"/>
      <c r="D265" s="2463"/>
      <c r="E265" s="2205"/>
      <c r="F265" s="2384" t="str">
        <f>INDEX(PT_DIFFERENTIATION_VTAR,MATCH(A265,PT_DIFFERENTIATION_VTAR_ID,0))</f>
        <v>Плата за подключение (технологическое присоединение) к системе теплоснабжения</v>
      </c>
      <c r="G265" s="2428" t="str">
        <f>INDEX(PT_DIFFERENTIATION_NTAR,MATCH(B265,PT_DIFFERENTIATION_NTAR_ID,0))</f>
        <v/>
      </c>
      <c r="H265" s="1863"/>
      <c r="I265" s="1740"/>
      <c r="J265" s="1774"/>
      <c r="K265" s="1779"/>
      <c r="L265" s="1863" t="s">
        <v>436</v>
      </c>
      <c r="M265" s="342"/>
      <c r="N265" s="335"/>
      <c r="O265" s="1625"/>
      <c r="P265" s="1625"/>
      <c r="AH265" s="1632">
        <v>0</v>
      </c>
    </row>
    <row s="1636" customFormat="1" customHeight="1" ht="18.75" hidden="1">
      <c r="A266" s="1781"/>
      <c r="B266" s="1781"/>
      <c r="C266" s="370" t="s">
        <v>1285</v>
      </c>
      <c r="D266" s="2463"/>
      <c r="E266" s="2205"/>
      <c r="F266" s="2384"/>
      <c r="G266" s="2428"/>
      <c r="H266" s="1501"/>
      <c r="I266" s="652" t="s">
        <v>1284</v>
      </c>
      <c r="J266" s="572"/>
      <c r="K266" s="1501"/>
      <c r="L266" s="215"/>
      <c r="M266" s="342"/>
      <c r="N266" s="335"/>
      <c r="O266" s="1625"/>
      <c r="P266" s="1625"/>
      <c r="AH266" s="1632">
        <v>0</v>
      </c>
    </row>
    <row s="1636" customFormat="1" customHeight="1" ht="0.75" hidden="1">
      <c r="A267" s="1781"/>
      <c r="B267" s="1781"/>
      <c r="C267" s="370" t="s">
        <v>1292</v>
      </c>
      <c r="D267" s="2463"/>
      <c r="E267" s="2205"/>
      <c r="F267" s="2384"/>
      <c r="G267" s="401"/>
      <c r="H267" s="1501"/>
      <c r="I267" s="652"/>
      <c r="J267" s="572"/>
      <c r="K267" s="1501"/>
      <c r="L267" s="215"/>
      <c r="M267" s="342"/>
      <c r="N267" s="335"/>
      <c r="O267" s="1625"/>
      <c r="P267" s="1625"/>
      <c r="AH267" s="1632">
        <v>0</v>
      </c>
    </row>
    <row s="1636" customFormat="1" customHeight="1" ht="18.75" hidden="1">
      <c r="A268" s="1781" t="s">
        <v>335</v>
      </c>
      <c r="B268" s="1781" t="s">
        <v>336</v>
      </c>
      <c r="C268" s="370"/>
      <c r="D268" s="2463"/>
      <c r="E268" s="2205"/>
      <c r="F268" s="2384" t="str">
        <f>INDEX(PT_DIFFERENTIATION_VTAR,MATCH(A268,PT_DIFFERENTIATION_VTAR_ID,0))</f>
        <v>Плата за подключение (технологическое присоединение) к системе теплоснабжения (индивидуальная)</v>
      </c>
      <c r="G268" s="2428" t="str">
        <f>INDEX(PT_DIFFERENTIATION_NTAR,MATCH(B268,PT_DIFFERENTIATION_NTAR_ID,0))</f>
        <v/>
      </c>
      <c r="H268" s="1990"/>
      <c r="I268" s="1740"/>
      <c r="J268" s="1774"/>
      <c r="K268" s="1779"/>
      <c r="L268" s="1990" t="s">
        <v>436</v>
      </c>
      <c r="M268" s="342"/>
      <c r="N268" s="335"/>
      <c r="O268" s="1625"/>
      <c r="P268" s="1625"/>
      <c r="AH268" s="1632">
        <v>0</v>
      </c>
    </row>
    <row s="1636" customFormat="1" customHeight="1" ht="18.75" hidden="1">
      <c r="A269" s="1781"/>
      <c r="B269" s="1781"/>
      <c r="C269" s="370" t="s">
        <v>1285</v>
      </c>
      <c r="D269" s="2463"/>
      <c r="E269" s="2205"/>
      <c r="F269" s="2384"/>
      <c r="G269" s="2428"/>
      <c r="H269" s="1501"/>
      <c r="I269" s="652" t="s">
        <v>1284</v>
      </c>
      <c r="J269" s="572"/>
      <c r="K269" s="1501"/>
      <c r="L269" s="215"/>
      <c r="M269" s="342"/>
      <c r="N269" s="335"/>
      <c r="O269" s="1625"/>
      <c r="P269" s="1625"/>
      <c r="AH269" s="1632">
        <v>0</v>
      </c>
    </row>
    <row s="1636" customFormat="1" customHeight="1" ht="0.75" hidden="1">
      <c r="A270" s="1781"/>
      <c r="B270" s="1781"/>
      <c r="C270" s="370" t="s">
        <v>1292</v>
      </c>
      <c r="D270" s="2463"/>
      <c r="E270" s="2205"/>
      <c r="F270" s="2384"/>
      <c r="G270" s="401"/>
      <c r="H270" s="1501"/>
      <c r="I270" s="652"/>
      <c r="J270" s="572"/>
      <c r="K270" s="1501"/>
      <c r="L270" s="215"/>
      <c r="M270" s="342"/>
      <c r="N270" s="335"/>
      <c r="O270" s="1625"/>
      <c r="P270" s="1625"/>
      <c r="AH270" s="1632">
        <v>0</v>
      </c>
    </row>
    <row s="1636" customFormat="1" customHeight="1" ht="18.75" hidden="1">
      <c r="A271" s="1781" t="s">
        <v>355</v>
      </c>
      <c r="B271" s="1781" t="s">
        <v>356</v>
      </c>
      <c r="C271" s="370"/>
      <c r="D271" s="2463"/>
      <c r="E271" s="2205"/>
      <c r="F271" s="2384" t="str">
        <f>INDEX(PT_DIFFERENTIATION_VTAR,MATCH(A271,PT_DIFFERENTIATION_VTAR_ID,0))</f>
        <v>Тариф на питьевую воду (питьевое водоснабжение)</v>
      </c>
      <c r="G271" s="2428" t="str">
        <f>INDEX(PT_DIFFERENTIATION_NTAR,MATCH(B271,PT_DIFFERENTIATION_NTAR_ID,0))</f>
        <v/>
      </c>
      <c r="H271" s="1863"/>
      <c r="I271" s="1740"/>
      <c r="J271" s="1774"/>
      <c r="K271" s="1779"/>
      <c r="L271" s="1863" t="s">
        <v>436</v>
      </c>
      <c r="M271" s="342"/>
      <c r="N271" s="335"/>
      <c r="O271" s="1625"/>
      <c r="P271" s="1625"/>
      <c r="AH271" s="1632">
        <v>0</v>
      </c>
    </row>
    <row s="1636" customFormat="1" customHeight="1" ht="18.75" hidden="1">
      <c r="A272" s="1781"/>
      <c r="B272" s="1781"/>
      <c r="C272" s="370" t="s">
        <v>1285</v>
      </c>
      <c r="D272" s="2463"/>
      <c r="E272" s="2205"/>
      <c r="F272" s="2384"/>
      <c r="G272" s="2428"/>
      <c r="H272" s="1501"/>
      <c r="I272" s="652" t="s">
        <v>1284</v>
      </c>
      <c r="J272" s="572"/>
      <c r="K272" s="1501"/>
      <c r="L272" s="215"/>
      <c r="M272" s="342"/>
      <c r="N272" s="335"/>
      <c r="O272" s="1625"/>
      <c r="P272" s="1625"/>
      <c r="AH272" s="1632">
        <v>0</v>
      </c>
    </row>
    <row s="1636" customFormat="1" customHeight="1" ht="0.75" hidden="1">
      <c r="A273" s="1781"/>
      <c r="B273" s="1781"/>
      <c r="C273" s="370" t="s">
        <v>1292</v>
      </c>
      <c r="D273" s="2463"/>
      <c r="E273" s="2205"/>
      <c r="F273" s="2384"/>
      <c r="G273" s="401"/>
      <c r="H273" s="1501"/>
      <c r="I273" s="652"/>
      <c r="J273" s="572"/>
      <c r="K273" s="1501"/>
      <c r="L273" s="215"/>
      <c r="M273" s="342"/>
      <c r="N273" s="335"/>
      <c r="O273" s="1625"/>
      <c r="P273" s="1625"/>
      <c r="AH273" s="1632">
        <v>0</v>
      </c>
    </row>
    <row s="1636" customFormat="1" customHeight="1" ht="18.75" hidden="1">
      <c r="A274" s="1781" t="s">
        <v>360</v>
      </c>
      <c r="B274" s="1781" t="s">
        <v>361</v>
      </c>
      <c r="C274" s="370"/>
      <c r="D274" s="2463"/>
      <c r="E274" s="2205"/>
      <c r="F274" s="2384" t="str">
        <f>INDEX(PT_DIFFERENTIATION_VTAR,MATCH(A274,PT_DIFFERENTIATION_VTAR_ID,0))</f>
        <v>Тариф на техническую воду</v>
      </c>
      <c r="G274" s="2428" t="str">
        <f>INDEX(PT_DIFFERENTIATION_NTAR,MATCH(B274,PT_DIFFERENTIATION_NTAR_ID,0))</f>
        <v/>
      </c>
      <c r="H274" s="1863"/>
      <c r="I274" s="1740"/>
      <c r="J274" s="1774"/>
      <c r="K274" s="1779"/>
      <c r="L274" s="1863" t="s">
        <v>436</v>
      </c>
      <c r="M274" s="342"/>
      <c r="N274" s="335"/>
      <c r="O274" s="1625"/>
      <c r="P274" s="1625"/>
      <c r="AH274" s="1632">
        <v>0</v>
      </c>
    </row>
    <row s="1636" customFormat="1" customHeight="1" ht="18.75" hidden="1">
      <c r="A275" s="1781"/>
      <c r="B275" s="1781"/>
      <c r="C275" s="370" t="s">
        <v>1285</v>
      </c>
      <c r="D275" s="2463"/>
      <c r="E275" s="2205"/>
      <c r="F275" s="2384"/>
      <c r="G275" s="2428"/>
      <c r="H275" s="1501"/>
      <c r="I275" s="652" t="s">
        <v>1284</v>
      </c>
      <c r="J275" s="572"/>
      <c r="K275" s="1501"/>
      <c r="L275" s="215"/>
      <c r="M275" s="342"/>
      <c r="N275" s="335"/>
      <c r="O275" s="1625"/>
      <c r="P275" s="1625"/>
      <c r="AH275" s="1632">
        <v>0</v>
      </c>
    </row>
    <row s="1636" customFormat="1" customHeight="1" ht="0.75" hidden="1">
      <c r="A276" s="1781"/>
      <c r="B276" s="1781"/>
      <c r="C276" s="370" t="s">
        <v>1292</v>
      </c>
      <c r="D276" s="2463"/>
      <c r="E276" s="2205"/>
      <c r="F276" s="2384"/>
      <c r="G276" s="401"/>
      <c r="H276" s="1501"/>
      <c r="I276" s="652"/>
      <c r="J276" s="572"/>
      <c r="K276" s="1501"/>
      <c r="L276" s="215"/>
      <c r="M276" s="342"/>
      <c r="N276" s="335"/>
      <c r="O276" s="1625"/>
      <c r="P276" s="1625"/>
      <c r="AH276" s="1632">
        <v>0</v>
      </c>
    </row>
    <row s="1636" customFormat="1" customHeight="1" ht="18.75" hidden="1">
      <c r="A277" s="1781" t="s">
        <v>365</v>
      </c>
      <c r="B277" s="1781" t="s">
        <v>366</v>
      </c>
      <c r="C277" s="370"/>
      <c r="D277" s="2463"/>
      <c r="E277" s="2205"/>
      <c r="F277" s="2384" t="str">
        <f>INDEX(PT_DIFFERENTIATION_VTAR,MATCH(A277,PT_DIFFERENTIATION_VTAR_ID,0))</f>
        <v>Тариф на транспортировку воды</v>
      </c>
      <c r="G277" s="2428" t="str">
        <f>INDEX(PT_DIFFERENTIATION_NTAR,MATCH(B277,PT_DIFFERENTIATION_NTAR_ID,0))</f>
        <v/>
      </c>
      <c r="H277" s="1863"/>
      <c r="I277" s="1740"/>
      <c r="J277" s="1774"/>
      <c r="K277" s="1779"/>
      <c r="L277" s="1863" t="s">
        <v>436</v>
      </c>
      <c r="M277" s="342"/>
      <c r="N277" s="335"/>
      <c r="O277" s="1625"/>
      <c r="P277" s="1625"/>
      <c r="AH277" s="1632">
        <v>0</v>
      </c>
    </row>
    <row s="1636" customFormat="1" customHeight="1" ht="18.75" hidden="1">
      <c r="A278" s="1781"/>
      <c r="B278" s="1781"/>
      <c r="C278" s="370" t="s">
        <v>1285</v>
      </c>
      <c r="D278" s="2463"/>
      <c r="E278" s="2205"/>
      <c r="F278" s="2384"/>
      <c r="G278" s="2428"/>
      <c r="H278" s="1501"/>
      <c r="I278" s="652" t="s">
        <v>1284</v>
      </c>
      <c r="J278" s="572"/>
      <c r="K278" s="1501"/>
      <c r="L278" s="215"/>
      <c r="M278" s="342"/>
      <c r="N278" s="335"/>
      <c r="O278" s="1625"/>
      <c r="P278" s="1625"/>
      <c r="AH278" s="1632">
        <v>0</v>
      </c>
    </row>
    <row s="1636" customFormat="1" customHeight="1" ht="0.75" hidden="1">
      <c r="A279" s="1781"/>
      <c r="B279" s="1781"/>
      <c r="C279" s="370" t="s">
        <v>1292</v>
      </c>
      <c r="D279" s="2463"/>
      <c r="E279" s="2205"/>
      <c r="F279" s="2384"/>
      <c r="G279" s="401"/>
      <c r="H279" s="1501"/>
      <c r="I279" s="652"/>
      <c r="J279" s="572"/>
      <c r="K279" s="1501"/>
      <c r="L279" s="215"/>
      <c r="M279" s="342"/>
      <c r="N279" s="335"/>
      <c r="O279" s="1625"/>
      <c r="P279" s="1625"/>
      <c r="AH279" s="1632">
        <v>0</v>
      </c>
    </row>
    <row s="1636" customFormat="1" customHeight="1" ht="18.75" hidden="1">
      <c r="A280" s="1781" t="s">
        <v>370</v>
      </c>
      <c r="B280" s="1781" t="s">
        <v>371</v>
      </c>
      <c r="C280" s="370"/>
      <c r="D280" s="2463"/>
      <c r="E280" s="2205"/>
      <c r="F280" s="2384" t="str">
        <f>INDEX(PT_DIFFERENTIATION_VTAR,MATCH(A280,PT_DIFFERENTIATION_VTAR_ID,0))</f>
        <v>Тариф на подвоз воды</v>
      </c>
      <c r="G280" s="2428" t="str">
        <f>INDEX(PT_DIFFERENTIATION_NTAR,MATCH(B280,PT_DIFFERENTIATION_NTAR_ID,0))</f>
        <v/>
      </c>
      <c r="H280" s="1863"/>
      <c r="I280" s="1740"/>
      <c r="J280" s="1774"/>
      <c r="K280" s="1779"/>
      <c r="L280" s="1863" t="s">
        <v>436</v>
      </c>
      <c r="M280" s="342"/>
      <c r="N280" s="335"/>
      <c r="O280" s="1625"/>
      <c r="P280" s="1625"/>
      <c r="AH280" s="1632">
        <v>0</v>
      </c>
    </row>
    <row s="1636" customFormat="1" customHeight="1" ht="18.75" hidden="1">
      <c r="A281" s="1781"/>
      <c r="B281" s="1781"/>
      <c r="C281" s="370" t="s">
        <v>1285</v>
      </c>
      <c r="D281" s="2463"/>
      <c r="E281" s="2205"/>
      <c r="F281" s="2384"/>
      <c r="G281" s="2428"/>
      <c r="H281" s="1501"/>
      <c r="I281" s="652" t="s">
        <v>1284</v>
      </c>
      <c r="J281" s="572"/>
      <c r="K281" s="1501"/>
      <c r="L281" s="215"/>
      <c r="M281" s="342"/>
      <c r="N281" s="335"/>
      <c r="O281" s="1625"/>
      <c r="P281" s="1625"/>
      <c r="AH281" s="1632">
        <v>0</v>
      </c>
    </row>
    <row s="1636" customFormat="1" customHeight="1" ht="0.75" hidden="1">
      <c r="A282" s="1781"/>
      <c r="B282" s="1781"/>
      <c r="C282" s="370" t="s">
        <v>1292</v>
      </c>
      <c r="D282" s="2463"/>
      <c r="E282" s="2205"/>
      <c r="F282" s="2384"/>
      <c r="G282" s="401"/>
      <c r="H282" s="1501"/>
      <c r="I282" s="652"/>
      <c r="J282" s="572"/>
      <c r="K282" s="1501"/>
      <c r="L282" s="215"/>
      <c r="M282" s="342"/>
      <c r="N282" s="335"/>
      <c r="O282" s="1625"/>
      <c r="P282" s="1625"/>
      <c r="AH282" s="1632">
        <v>0</v>
      </c>
    </row>
    <row s="1636" customFormat="1" customHeight="1" ht="18.75" hidden="1">
      <c r="A283" s="1781" t="s">
        <v>375</v>
      </c>
      <c r="B283" s="1781" t="s">
        <v>376</v>
      </c>
      <c r="C283" s="370"/>
      <c r="D283" s="2463"/>
      <c r="E283" s="2205"/>
      <c r="F283" s="2384" t="str">
        <f>INDEX(PT_DIFFERENTIATION_VTAR,MATCH(A283,PT_DIFFERENTIATION_VTAR_ID,0))</f>
        <v>Тариф на подключение (технологическое присоединение) к централизованной системе холодного водоснабжения</v>
      </c>
      <c r="G283" s="2428" t="str">
        <f>INDEX(PT_DIFFERENTIATION_NTAR,MATCH(B283,PT_DIFFERENTIATION_NTAR_ID,0))</f>
        <v/>
      </c>
      <c r="H283" s="1863"/>
      <c r="I283" s="1740"/>
      <c r="J283" s="1774"/>
      <c r="K283" s="1779"/>
      <c r="L283" s="1863" t="s">
        <v>436</v>
      </c>
      <c r="M283" s="342"/>
      <c r="N283" s="335"/>
      <c r="O283" s="1625"/>
      <c r="P283" s="1625"/>
      <c r="AH283" s="1632">
        <v>0</v>
      </c>
    </row>
    <row s="1636" customFormat="1" customHeight="1" ht="18.75" hidden="1">
      <c r="A284" s="1781"/>
      <c r="B284" s="1781"/>
      <c r="C284" s="370" t="s">
        <v>1285</v>
      </c>
      <c r="D284" s="2463"/>
      <c r="E284" s="2205"/>
      <c r="F284" s="2384"/>
      <c r="G284" s="2428"/>
      <c r="H284" s="1501"/>
      <c r="I284" s="652" t="s">
        <v>1284</v>
      </c>
      <c r="J284" s="572"/>
      <c r="K284" s="1501"/>
      <c r="L284" s="215"/>
      <c r="M284" s="342"/>
      <c r="N284" s="335"/>
      <c r="O284" s="1625"/>
      <c r="P284" s="1625"/>
      <c r="AH284" s="1632">
        <v>0</v>
      </c>
    </row>
    <row s="1636" customFormat="1" customHeight="1" ht="0.75" hidden="1">
      <c r="A285" s="1781"/>
      <c r="B285" s="1781"/>
      <c r="C285" s="370" t="s">
        <v>1292</v>
      </c>
      <c r="D285" s="2463"/>
      <c r="E285" s="2205"/>
      <c r="F285" s="2384"/>
      <c r="G285" s="401"/>
      <c r="H285" s="1501"/>
      <c r="I285" s="652"/>
      <c r="J285" s="572"/>
      <c r="K285" s="1501"/>
      <c r="L285" s="215"/>
      <c r="M285" s="342"/>
      <c r="N285" s="335"/>
      <c r="O285" s="1625"/>
      <c r="P285" s="1625"/>
      <c r="AH285" s="1632">
        <v>0</v>
      </c>
    </row>
    <row s="1636" customFormat="1" customHeight="1" ht="18.75" hidden="1">
      <c r="A286" s="1781" t="s">
        <v>380</v>
      </c>
      <c r="B286" s="1781" t="s">
        <v>381</v>
      </c>
      <c r="C286" s="370"/>
      <c r="D286" s="2463"/>
      <c r="E286" s="2205"/>
      <c r="F286" s="2384" t="str">
        <f>INDEX(PT_DIFFERENTIATION_VTAR,MATCH(A286,PT_DIFFERENTIATION_VTAR_ID,0))</f>
        <v>Тариф на горячую воду (горячее водоснабжение)</v>
      </c>
      <c r="G286" s="2428" t="str">
        <f>INDEX(PT_DIFFERENTIATION_NTAR,MATCH(B286,PT_DIFFERENTIATION_NTAR_ID,0))</f>
        <v/>
      </c>
      <c r="H286" s="1863"/>
      <c r="I286" s="1740"/>
      <c r="J286" s="1774"/>
      <c r="K286" s="1779"/>
      <c r="L286" s="1863" t="s">
        <v>436</v>
      </c>
      <c r="M286" s="342"/>
      <c r="N286" s="335"/>
      <c r="O286" s="1625"/>
      <c r="P286" s="1625"/>
      <c r="AH286" s="1632">
        <v>0</v>
      </c>
    </row>
    <row s="1636" customFormat="1" customHeight="1" ht="18.75" hidden="1">
      <c r="A287" s="1781"/>
      <c r="B287" s="1781"/>
      <c r="C287" s="370" t="s">
        <v>1285</v>
      </c>
      <c r="D287" s="2463"/>
      <c r="E287" s="2205"/>
      <c r="F287" s="2384"/>
      <c r="G287" s="2428"/>
      <c r="H287" s="1501"/>
      <c r="I287" s="652" t="s">
        <v>1284</v>
      </c>
      <c r="J287" s="572"/>
      <c r="K287" s="1501"/>
      <c r="L287" s="215"/>
      <c r="M287" s="342"/>
      <c r="N287" s="335"/>
      <c r="O287" s="1625"/>
      <c r="P287" s="1625"/>
      <c r="AH287" s="1632">
        <v>0</v>
      </c>
    </row>
    <row s="1636" customFormat="1" customHeight="1" ht="0.75" hidden="1">
      <c r="A288" s="1781"/>
      <c r="B288" s="1781"/>
      <c r="C288" s="370" t="s">
        <v>1292</v>
      </c>
      <c r="D288" s="2463"/>
      <c r="E288" s="2205"/>
      <c r="F288" s="2384"/>
      <c r="G288" s="401"/>
      <c r="H288" s="1501"/>
      <c r="I288" s="652"/>
      <c r="J288" s="572"/>
      <c r="K288" s="1501"/>
      <c r="L288" s="215"/>
      <c r="M288" s="342"/>
      <c r="N288" s="335"/>
      <c r="O288" s="1625"/>
      <c r="P288" s="1625"/>
      <c r="AH288" s="1632">
        <v>0</v>
      </c>
    </row>
    <row s="1636" customFormat="1" customHeight="1" ht="18.75" hidden="1">
      <c r="A289" s="1781" t="s">
        <v>385</v>
      </c>
      <c r="B289" s="1781" t="s">
        <v>386</v>
      </c>
      <c r="C289" s="370"/>
      <c r="D289" s="2463"/>
      <c r="E289" s="2205"/>
      <c r="F289" s="2384" t="str">
        <f>INDEX(PT_DIFFERENTIATION_VTAR,MATCH(A289,PT_DIFFERENTIATION_VTAR_ID,0))</f>
        <v>Тариф на транспортировку горячей воды</v>
      </c>
      <c r="G289" s="2428" t="str">
        <f>INDEX(PT_DIFFERENTIATION_NTAR,MATCH(B289,PT_DIFFERENTIATION_NTAR_ID,0))</f>
        <v/>
      </c>
      <c r="H289" s="1863"/>
      <c r="I289" s="1740"/>
      <c r="J289" s="1774"/>
      <c r="K289" s="1779"/>
      <c r="L289" s="1863" t="s">
        <v>436</v>
      </c>
      <c r="M289" s="342"/>
      <c r="N289" s="335"/>
      <c r="O289" s="1625"/>
      <c r="P289" s="1625"/>
      <c r="AH289" s="1632">
        <v>0</v>
      </c>
    </row>
    <row s="1636" customFormat="1" customHeight="1" ht="18.75" hidden="1">
      <c r="A290" s="1781"/>
      <c r="B290" s="1781"/>
      <c r="C290" s="370" t="s">
        <v>1285</v>
      </c>
      <c r="D290" s="2463"/>
      <c r="E290" s="2205"/>
      <c r="F290" s="2384"/>
      <c r="G290" s="2428"/>
      <c r="H290" s="1501"/>
      <c r="I290" s="652" t="s">
        <v>1284</v>
      </c>
      <c r="J290" s="572"/>
      <c r="K290" s="1501"/>
      <c r="L290" s="215"/>
      <c r="M290" s="342"/>
      <c r="N290" s="335"/>
      <c r="O290" s="1625"/>
      <c r="P290" s="1625"/>
      <c r="AH290" s="1632">
        <v>0</v>
      </c>
    </row>
    <row s="1636" customFormat="1" customHeight="1" ht="0.75" hidden="1">
      <c r="A291" s="1781"/>
      <c r="B291" s="1781"/>
      <c r="C291" s="370" t="s">
        <v>1292</v>
      </c>
      <c r="D291" s="2463"/>
      <c r="E291" s="2205"/>
      <c r="F291" s="2384"/>
      <c r="G291" s="401"/>
      <c r="H291" s="1501"/>
      <c r="I291" s="652"/>
      <c r="J291" s="572"/>
      <c r="K291" s="1501"/>
      <c r="L291" s="215"/>
      <c r="M291" s="342"/>
      <c r="N291" s="335"/>
      <c r="O291" s="1625"/>
      <c r="P291" s="1625"/>
      <c r="AH291" s="1632">
        <v>0</v>
      </c>
    </row>
    <row s="1636" customFormat="1" customHeight="1" ht="18.75" hidden="1">
      <c r="A292" s="1781" t="s">
        <v>390</v>
      </c>
      <c r="B292" s="1781" t="s">
        <v>391</v>
      </c>
      <c r="C292" s="370"/>
      <c r="D292" s="2463"/>
      <c r="E292" s="2205"/>
      <c r="F292" s="2384" t="str">
        <f>INDEX(PT_DIFFERENTIATION_VTAR,MATCH(A292,PT_DIFFERENTIATION_VTAR_ID,0))</f>
        <v>Тариф на подключение (технологическое присоединение) к централизованной системе горячего водоснабжения</v>
      </c>
      <c r="G292" s="2428" t="str">
        <f>INDEX(PT_DIFFERENTIATION_NTAR,MATCH(B292,PT_DIFFERENTIATION_NTAR_ID,0))</f>
        <v/>
      </c>
      <c r="H292" s="1863"/>
      <c r="I292" s="1740"/>
      <c r="J292" s="1774"/>
      <c r="K292" s="1779"/>
      <c r="L292" s="1863" t="s">
        <v>436</v>
      </c>
      <c r="M292" s="342"/>
      <c r="N292" s="335"/>
      <c r="O292" s="1625"/>
      <c r="P292" s="1625"/>
      <c r="AH292" s="1632">
        <v>0</v>
      </c>
    </row>
    <row s="1636" customFormat="1" customHeight="1" ht="18.75" hidden="1">
      <c r="A293" s="1781"/>
      <c r="B293" s="1781"/>
      <c r="C293" s="370" t="s">
        <v>1285</v>
      </c>
      <c r="D293" s="2463"/>
      <c r="E293" s="2205"/>
      <c r="F293" s="2384"/>
      <c r="G293" s="2428"/>
      <c r="H293" s="1501"/>
      <c r="I293" s="652" t="s">
        <v>1284</v>
      </c>
      <c r="J293" s="572"/>
      <c r="K293" s="1501"/>
      <c r="L293" s="215"/>
      <c r="M293" s="342"/>
      <c r="N293" s="335"/>
      <c r="O293" s="1625"/>
      <c r="P293" s="1625"/>
      <c r="AH293" s="1632">
        <v>0</v>
      </c>
    </row>
    <row s="1636" customFormat="1" customHeight="1" ht="0.75" hidden="1">
      <c r="A294" s="1781"/>
      <c r="B294" s="1781"/>
      <c r="C294" s="370" t="s">
        <v>1292</v>
      </c>
      <c r="D294" s="2463"/>
      <c r="E294" s="2205"/>
      <c r="F294" s="2384"/>
      <c r="G294" s="401"/>
      <c r="H294" s="1501"/>
      <c r="I294" s="652"/>
      <c r="J294" s="572"/>
      <c r="K294" s="1501"/>
      <c r="L294" s="215"/>
      <c r="M294" s="342"/>
      <c r="N294" s="335"/>
      <c r="O294" s="1625"/>
      <c r="P294" s="1625"/>
      <c r="AH294" s="1632">
        <v>0</v>
      </c>
    </row>
    <row s="1636" customFormat="1" customHeight="1" ht="18.75" hidden="1">
      <c r="A295" s="1781" t="s">
        <v>395</v>
      </c>
      <c r="B295" s="1781" t="s">
        <v>396</v>
      </c>
      <c r="C295" s="370"/>
      <c r="D295" s="2463"/>
      <c r="E295" s="2205"/>
      <c r="F295" s="2384" t="str">
        <f>INDEX(PT_DIFFERENTIATION_VTAR,MATCH(A295,PT_DIFFERENTIATION_VTAR_ID,0))</f>
        <v>Тариф на водоотведение</v>
      </c>
      <c r="G295" s="2428" t="str">
        <f>INDEX(PT_DIFFERENTIATION_NTAR,MATCH(B295,PT_DIFFERENTIATION_NTAR_ID,0))</f>
        <v/>
      </c>
      <c r="H295" s="1863"/>
      <c r="I295" s="1740"/>
      <c r="J295" s="1774"/>
      <c r="K295" s="1779"/>
      <c r="L295" s="1863" t="s">
        <v>436</v>
      </c>
      <c r="M295" s="342"/>
      <c r="N295" s="335"/>
      <c r="O295" s="1625"/>
      <c r="P295" s="1625"/>
      <c r="AH295" s="1632">
        <v>0</v>
      </c>
    </row>
    <row s="1636" customFormat="1" customHeight="1" ht="18.75" hidden="1">
      <c r="A296" s="1781"/>
      <c r="B296" s="1781"/>
      <c r="C296" s="370" t="s">
        <v>1285</v>
      </c>
      <c r="D296" s="2463"/>
      <c r="E296" s="2205"/>
      <c r="F296" s="2384"/>
      <c r="G296" s="2428"/>
      <c r="H296" s="1501"/>
      <c r="I296" s="652" t="s">
        <v>1284</v>
      </c>
      <c r="J296" s="572"/>
      <c r="K296" s="1501"/>
      <c r="L296" s="215"/>
      <c r="M296" s="342"/>
      <c r="N296" s="335"/>
      <c r="O296" s="1625"/>
      <c r="P296" s="1625"/>
      <c r="AH296" s="1632">
        <v>0</v>
      </c>
    </row>
    <row s="1636" customFormat="1" customHeight="1" ht="0.75" hidden="1">
      <c r="A297" s="1781"/>
      <c r="B297" s="1781"/>
      <c r="C297" s="370" t="s">
        <v>1292</v>
      </c>
      <c r="D297" s="2463"/>
      <c r="E297" s="2205"/>
      <c r="F297" s="2384"/>
      <c r="G297" s="401"/>
      <c r="H297" s="1501"/>
      <c r="I297" s="652"/>
      <c r="J297" s="572"/>
      <c r="K297" s="1501"/>
      <c r="L297" s="215"/>
      <c r="M297" s="342"/>
      <c r="N297" s="335"/>
      <c r="O297" s="1625"/>
      <c r="P297" s="1625"/>
      <c r="AH297" s="1632">
        <v>0</v>
      </c>
    </row>
    <row s="1636" customFormat="1" customHeight="1" ht="18.75" hidden="1">
      <c r="A298" s="1781" t="s">
        <v>400</v>
      </c>
      <c r="B298" s="1781" t="s">
        <v>401</v>
      </c>
      <c r="C298" s="370"/>
      <c r="D298" s="2463"/>
      <c r="E298" s="2205"/>
      <c r="F298" s="2384" t="str">
        <f>INDEX(PT_DIFFERENTIATION_VTAR,MATCH(A298,PT_DIFFERENTIATION_VTAR_ID,0))</f>
        <v>Тариф на транспортировку сточных вод</v>
      </c>
      <c r="G298" s="2428" t="str">
        <f>INDEX(PT_DIFFERENTIATION_NTAR,MATCH(B298,PT_DIFFERENTIATION_NTAR_ID,0))</f>
        <v/>
      </c>
      <c r="H298" s="1863"/>
      <c r="I298" s="1740"/>
      <c r="J298" s="1774"/>
      <c r="K298" s="1779"/>
      <c r="L298" s="1863" t="s">
        <v>436</v>
      </c>
      <c r="M298" s="342"/>
      <c r="N298" s="335"/>
      <c r="O298" s="1625"/>
      <c r="P298" s="1625"/>
      <c r="AH298" s="1632">
        <v>0</v>
      </c>
    </row>
    <row s="1636" customFormat="1" customHeight="1" ht="18.75" hidden="1">
      <c r="A299" s="1781"/>
      <c r="B299" s="1781"/>
      <c r="C299" s="370" t="s">
        <v>1285</v>
      </c>
      <c r="D299" s="2463"/>
      <c r="E299" s="2205"/>
      <c r="F299" s="2384"/>
      <c r="G299" s="2428"/>
      <c r="H299" s="1501"/>
      <c r="I299" s="652" t="s">
        <v>1284</v>
      </c>
      <c r="J299" s="572"/>
      <c r="K299" s="1501"/>
      <c r="L299" s="215"/>
      <c r="M299" s="342"/>
      <c r="N299" s="335"/>
      <c r="O299" s="1625"/>
      <c r="P299" s="1625"/>
      <c r="AH299" s="1632">
        <v>0</v>
      </c>
    </row>
    <row s="1636" customFormat="1" customHeight="1" ht="0.75" hidden="1">
      <c r="A300" s="1781"/>
      <c r="B300" s="1781"/>
      <c r="C300" s="370" t="s">
        <v>1292</v>
      </c>
      <c r="D300" s="2463"/>
      <c r="E300" s="2205"/>
      <c r="F300" s="2384"/>
      <c r="G300" s="401"/>
      <c r="H300" s="1501"/>
      <c r="I300" s="652"/>
      <c r="J300" s="572"/>
      <c r="K300" s="1501"/>
      <c r="L300" s="215"/>
      <c r="M300" s="342"/>
      <c r="N300" s="335"/>
      <c r="O300" s="1625"/>
      <c r="P300" s="1625"/>
      <c r="AH300" s="1632">
        <v>0</v>
      </c>
    </row>
    <row s="1636" customFormat="1" customHeight="1" ht="18.75" hidden="1">
      <c r="A301" s="1781" t="s">
        <v>405</v>
      </c>
      <c r="B301" s="1781" t="s">
        <v>406</v>
      </c>
      <c r="C301" s="370"/>
      <c r="D301" s="2463"/>
      <c r="E301" s="2205"/>
      <c r="F301" s="2384" t="str">
        <f>INDEX(PT_DIFFERENTIATION_VTAR,MATCH(A301,PT_DIFFERENTIATION_VTAR_ID,0))</f>
        <v>Тариф на подключение (технологическое присоединение) к централизованной системе водоотведения</v>
      </c>
      <c r="G301" s="2428" t="str">
        <f>INDEX(PT_DIFFERENTIATION_NTAR,MATCH(B301,PT_DIFFERENTIATION_NTAR_ID,0))</f>
        <v/>
      </c>
      <c r="H301" s="1863"/>
      <c r="I301" s="1740"/>
      <c r="J301" s="1774"/>
      <c r="K301" s="1779"/>
      <c r="L301" s="1863" t="s">
        <v>436</v>
      </c>
      <c r="M301" s="342"/>
      <c r="N301" s="335"/>
      <c r="O301" s="1625"/>
      <c r="P301" s="1625"/>
      <c r="AH301" s="1632">
        <v>0</v>
      </c>
    </row>
    <row s="1636" customFormat="1" customHeight="1" ht="18.75" hidden="1">
      <c r="A302" s="1781"/>
      <c r="B302" s="1781"/>
      <c r="C302" s="370" t="s">
        <v>1285</v>
      </c>
      <c r="D302" s="2463"/>
      <c r="E302" s="2205"/>
      <c r="F302" s="2384"/>
      <c r="G302" s="2428"/>
      <c r="H302" s="1501"/>
      <c r="I302" s="652" t="s">
        <v>1284</v>
      </c>
      <c r="J302" s="572"/>
      <c r="K302" s="1501"/>
      <c r="L302" s="215"/>
      <c r="M302" s="342"/>
      <c r="N302" s="335"/>
      <c r="O302" s="1625"/>
      <c r="P302" s="1625"/>
      <c r="AH302" s="1632">
        <v>0</v>
      </c>
    </row>
    <row s="1636" customFormat="1" customHeight="1" ht="1.05">
      <c r="A303" s="1781"/>
      <c r="B303" s="1781"/>
      <c r="C303" s="370" t="s">
        <v>1292</v>
      </c>
      <c r="D303" s="2463"/>
      <c r="E303" s="2205"/>
      <c r="F303" s="2384"/>
      <c r="G303" s="401"/>
      <c r="H303" s="1501"/>
      <c r="I303" s="652"/>
      <c r="J303" s="572"/>
      <c r="K303" s="1501"/>
      <c r="L303" s="215"/>
      <c r="M303" s="342"/>
      <c r="N303" s="335"/>
      <c r="O303" s="1625"/>
      <c r="P303" s="1625"/>
      <c r="AH303" s="1632">
        <v>1</v>
      </c>
    </row>
    <row customHeight="1" ht="27.299999999999997">
      <c r="A304" s="1781"/>
      <c r="B304" s="1781"/>
      <c r="D304" s="377"/>
      <c r="E304" s="148" t="s">
        <v>124</v>
      </c>
      <c r="F304" s="2461" t="str">
        <f>IF(TEMPLATE_SPHERE="HEAT","Размер недополученных доходов регулируемой организацией (при их наличии), исчисленный в соответствии с Основами ценообразования в сфере теплоснабжения,"&amp;" утвержденными постановлением Правительства Российской Федерации от 22 октября 2012 г. N 1075 ""О ценообразовании в сфере теплоснабжения""","Размер недополученных доходов организации холодного водоснабжения (при их наличии), исчисленных в соответствии с Основами ценообразования в сфере водоснабжения и водоотведения")</f>
        <v>Размер недополученных доходов регулируемой организацией (при их наличии), исчисленный в соответствии с Основами ценообразования в сфере теплоснабжения, утвержденными постановлением Правительства Российской Федерации от 22 октября 2012 г. N 1075 "О ценообразовании в сфере теплоснабжения"</v>
      </c>
      <c r="G304" s="2461"/>
      <c r="H304" s="2461"/>
      <c r="I304" s="2461"/>
      <c r="J304" s="2461"/>
      <c r="K304" s="2461"/>
      <c r="L304" s="2461"/>
      <c r="M304" s="298"/>
      <c r="N304" s="335"/>
      <c r="AH304" s="375">
        <v>26</v>
      </c>
    </row>
    <row s="1636" customFormat="1" customHeight="1" ht="60.75" hidden="1">
      <c r="A305" s="1781" t="s">
        <v>172</v>
      </c>
      <c r="B305" s="1781" t="s">
        <v>173</v>
      </c>
      <c r="C305" s="370"/>
      <c r="D305" s="2463"/>
      <c r="E305" s="2205"/>
      <c r="F305" s="2384" t="str">
        <f>INDEX(PT_DIFFERENTIATION_VTAR,MATCH(A305,PT_DIFFERENTIATION_VTAR_ID,0))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305" s="2428" t="str">
        <f>INDEX(PT_DIFFERENTIATION_NTAR,MATCH(B305,PT_DIFFERENTIATION_NTAR_ID,0))</f>
        <v>Тарифы на тепловую энергию (мощность) на коллекторах источника тепловой энергии. Для потребителей, в случае отсутствия дифференциации тарифов по схеме подключения. Муниципальный округ город Апатиты с подведомственной территорией Мурманской области, муниципальный округ город Кировск с подведомственной территорией Мурманской области</v>
      </c>
      <c r="H305" s="1863"/>
      <c r="I305" s="1740"/>
      <c r="J305" s="1774"/>
      <c r="K305" s="1779"/>
      <c r="L305" s="1863" t="s">
        <v>436</v>
      </c>
      <c r="M305" s="2170"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Величина недополученных доходов регулируемой организации указывается в колонке «Информация» в тыс. руб.
В случае отсутствия недополученных доходов организацией "&amp;IF(TEMPLATE_SPHERE="HEAT","регулируемой организацией",TEMPLATE_SPHERE_RUS)&amp;", исчисленных в соответствии с законодательством в сфере "&amp;IF(TEMPLATE_SPHERE="HEAT","теплоснабжения","водоснабжения и водоотведения")&amp;", указывается значение «0».
В случае дифференциации недополученных доходов организацией "&amp;TEMPLATE_SPHERE_RUS&amp;" по видам тарифов и/или по срокам действия тарифов информация указывается в отдельных строках."</f>
        <v>Значение в колонке «Вид тарифа» выбирается из перечня видов тарифов в сфере теплоснабжения, предусмотренных законодательством в сфере теплоснабжения.
Даты начала и окончания срока действия тарифов указываются в виде «ДД.ММ.ГГГГ».
Величина недополученных доходов регулируемой организации указывается в колонке «Информация» в тыс. руб.
В случае отсутствия недополученных доходов организацией регулируемой организацией, исчисленных в соответствии с законодательством в сфере теплоснабжения, указывается значение «0».
В случае дифференциации недополученных доходов организацией теплоснабжения по видам тарифов и/или по срокам действия тарифов информация указывается в отдельных строках.</v>
      </c>
      <c r="N305" s="335"/>
      <c r="O305" s="1625"/>
      <c r="P305" s="1625"/>
      <c r="AH305" s="1632">
        <v>0</v>
      </c>
    </row>
    <row s="1636" customFormat="1" customHeight="1" ht="18.75" hidden="1">
      <c r="A306" s="1781"/>
      <c r="B306" s="1781"/>
      <c r="C306" s="370" t="s">
        <v>1285</v>
      </c>
      <c r="D306" s="2463"/>
      <c r="E306" s="2205"/>
      <c r="F306" s="2384"/>
      <c r="G306" s="2428"/>
      <c r="H306" s="1501"/>
      <c r="I306" s="652" t="s">
        <v>1284</v>
      </c>
      <c r="J306" s="572"/>
      <c r="K306" s="1501"/>
      <c r="L306" s="215"/>
      <c r="M306" s="2171"/>
      <c r="N306" s="335"/>
      <c r="O306" s="1625"/>
      <c r="P306" s="1625"/>
      <c r="AH306" s="1632">
        <v>0</v>
      </c>
    </row>
    <row s="1636" customFormat="1" customHeight="1" ht="18.75">
      <c r="A307" s="1824" t="s">
        <v>172</v>
      </c>
      <c r="B307" s="1824" t="s">
        <v>185</v>
      </c>
      <c r="C307" s="1688"/>
      <c r="D307" s="345"/>
      <c r="E307" s="1032"/>
      <c r="F307" s="1032"/>
      <c r="G307" s="2428" t="str">
        <f>INDEX(PT_DIFFERENTIATION_NTAR,MATCH(B307,PT_DIFFERENTIATION_NTAR_ID,0))</f>
        <v>Льготные тарифы на тепловую энергию, поставляемую группе потребителей "население". Для потребителей, в случае отсутствия дифференциации тарифов по схеме подключения. Муниципальный округ город Апатиты с подведомственной территорией Мурманской области</v>
      </c>
      <c r="H307" s="2272"/>
      <c r="I307" s="1740"/>
      <c r="J307" s="1774"/>
      <c r="K307" s="1779"/>
      <c r="L307" s="2272" t="s">
        <v>436</v>
      </c>
      <c r="M307" s="2319"/>
      <c r="N307" s="619"/>
      <c r="O307" s="1625"/>
      <c r="P307" s="1625"/>
      <c r="Q307" s="1636"/>
      <c r="R307" s="1636"/>
      <c r="S307" s="1636"/>
      <c r="T307" s="1636"/>
      <c r="U307" s="1636"/>
      <c r="V307" s="1636"/>
      <c r="W307" s="1636"/>
      <c r="X307" s="1636"/>
      <c r="Y307" s="1636"/>
      <c r="Z307" s="1636"/>
      <c r="AA307" s="1636"/>
      <c r="AB307" s="1636"/>
      <c r="AC307" s="1636"/>
      <c r="AD307" s="1636"/>
      <c r="AE307" s="1636"/>
      <c r="AF307" s="1636"/>
      <c r="AG307" s="1636"/>
      <c r="AH307" s="1636">
        <v>0</v>
      </c>
    </row>
    <row s="1636" customFormat="1" customHeight="1" ht="18.75">
      <c r="A308" s="1824"/>
      <c r="B308" s="1824"/>
      <c r="C308" s="1688" t="s">
        <v>1285</v>
      </c>
      <c r="D308" s="345"/>
      <c r="E308" s="1032"/>
      <c r="F308" s="1032"/>
      <c r="G308" s="2428"/>
      <c r="H308" s="5078"/>
      <c r="I308" s="5079" t="s">
        <v>1284</v>
      </c>
      <c r="J308" s="5080"/>
      <c r="K308" s="5081"/>
      <c r="L308" s="5082"/>
      <c r="M308" s="2319"/>
      <c r="N308" s="619"/>
      <c r="O308" s="1625"/>
      <c r="P308" s="1625"/>
      <c r="Q308" s="1636"/>
      <c r="R308" s="1636"/>
      <c r="S308" s="1636"/>
      <c r="T308" s="1636"/>
      <c r="U308" s="1636"/>
      <c r="V308" s="1636"/>
      <c r="W308" s="1636"/>
      <c r="X308" s="1636"/>
      <c r="Y308" s="1636"/>
      <c r="Z308" s="1636"/>
      <c r="AA308" s="1636"/>
      <c r="AB308" s="1636"/>
      <c r="AC308" s="1636"/>
      <c r="AD308" s="1636"/>
      <c r="AE308" s="1636"/>
      <c r="AF308" s="1636"/>
      <c r="AG308" s="1636"/>
      <c r="AH308" s="1636">
        <v>0</v>
      </c>
    </row>
    <row s="1636" customFormat="1" customHeight="1" ht="18.75">
      <c r="A309" s="1824" t="s">
        <v>172</v>
      </c>
      <c r="B309" s="1824" t="s">
        <v>193</v>
      </c>
      <c r="C309" s="1688"/>
      <c r="D309" s="345"/>
      <c r="E309" s="1032"/>
      <c r="F309" s="1032"/>
      <c r="G309" s="2428" t="str">
        <f>INDEX(PT_DIFFERENTIATION_NTAR,MATCH(B309,PT_DIFFERENTIATION_NTAR_ID,0))</f>
        <v>Льготные тарифы на тепловую энергию, поставляемую группе потребителей "потребители (кроме населения)". Для потребителей, подключенных к тепловым сетям ПАО "ТГК-1". Муниципальный округ город Апатиты с подведомственной территорией Мурманской области</v>
      </c>
      <c r="H309" s="2272"/>
      <c r="I309" s="1740"/>
      <c r="J309" s="1774"/>
      <c r="K309" s="1779"/>
      <c r="L309" s="2272" t="s">
        <v>436</v>
      </c>
      <c r="M309" s="2319"/>
      <c r="N309" s="619"/>
      <c r="O309" s="1625"/>
      <c r="P309" s="1625"/>
      <c r="Q309" s="1636"/>
      <c r="R309" s="1636"/>
      <c r="S309" s="1636"/>
      <c r="T309" s="1636"/>
      <c r="U309" s="1636"/>
      <c r="V309" s="1636"/>
      <c r="W309" s="1636"/>
      <c r="X309" s="1636"/>
      <c r="Y309" s="1636"/>
      <c r="Z309" s="1636"/>
      <c r="AA309" s="1636"/>
      <c r="AB309" s="1636"/>
      <c r="AC309" s="1636"/>
      <c r="AD309" s="1636"/>
      <c r="AE309" s="1636"/>
      <c r="AF309" s="1636"/>
      <c r="AG309" s="1636"/>
      <c r="AH309" s="1636">
        <v>0</v>
      </c>
    </row>
    <row s="1636" customFormat="1" customHeight="1" ht="18.75">
      <c r="A310" s="1824"/>
      <c r="B310" s="1824"/>
      <c r="C310" s="1688" t="s">
        <v>1285</v>
      </c>
      <c r="D310" s="345"/>
      <c r="E310" s="1032"/>
      <c r="F310" s="1032"/>
      <c r="G310" s="2428"/>
      <c r="H310" s="5083"/>
      <c r="I310" s="5084" t="s">
        <v>1284</v>
      </c>
      <c r="J310" s="5085"/>
      <c r="K310" s="5086"/>
      <c r="L310" s="5087"/>
      <c r="M310" s="2319"/>
      <c r="N310" s="619"/>
      <c r="O310" s="1625"/>
      <c r="P310" s="1625"/>
      <c r="Q310" s="1636"/>
      <c r="R310" s="1636"/>
      <c r="S310" s="1636"/>
      <c r="T310" s="1636"/>
      <c r="U310" s="1636"/>
      <c r="V310" s="1636"/>
      <c r="W310" s="1636"/>
      <c r="X310" s="1636"/>
      <c r="Y310" s="1636"/>
      <c r="Z310" s="1636"/>
      <c r="AA310" s="1636"/>
      <c r="AB310" s="1636"/>
      <c r="AC310" s="1636"/>
      <c r="AD310" s="1636"/>
      <c r="AE310" s="1636"/>
      <c r="AF310" s="1636"/>
      <c r="AG310" s="1636"/>
      <c r="AH310" s="1636">
        <v>0</v>
      </c>
    </row>
    <row s="1636" customFormat="1" customHeight="1" ht="18.75">
      <c r="A311" s="1824" t="s">
        <v>172</v>
      </c>
      <c r="B311" s="1824" t="s">
        <v>198</v>
      </c>
      <c r="C311" s="1688"/>
      <c r="D311" s="345"/>
      <c r="E311" s="1032"/>
      <c r="F311" s="1032"/>
      <c r="G311" s="2428" t="str">
        <f>INDEX(PT_DIFFERENTIATION_NTAR,MATCH(B311,PT_DIFFERENTIATION_NTAR_ID,0))</f>
        <v>Льготные тарифы на тепловую энергию, поставляемую группе потребителей "потребители (кроме населения)". Для потребителей, подключенных к тепловым сетям АО "Апатитыэнерго". Муниципальный округ город Апатиты с подведомственной территорией Мурманской области</v>
      </c>
      <c r="H311" s="2272"/>
      <c r="I311" s="1740"/>
      <c r="J311" s="1774"/>
      <c r="K311" s="1779"/>
      <c r="L311" s="2272" t="s">
        <v>436</v>
      </c>
      <c r="M311" s="2319"/>
      <c r="N311" s="619"/>
      <c r="O311" s="1625"/>
      <c r="P311" s="1625"/>
      <c r="Q311" s="1636"/>
      <c r="R311" s="1636"/>
      <c r="S311" s="1636"/>
      <c r="T311" s="1636"/>
      <c r="U311" s="1636"/>
      <c r="V311" s="1636"/>
      <c r="W311" s="1636"/>
      <c r="X311" s="1636"/>
      <c r="Y311" s="1636"/>
      <c r="Z311" s="1636"/>
      <c r="AA311" s="1636"/>
      <c r="AB311" s="1636"/>
      <c r="AC311" s="1636"/>
      <c r="AD311" s="1636"/>
      <c r="AE311" s="1636"/>
      <c r="AF311" s="1636"/>
      <c r="AG311" s="1636"/>
      <c r="AH311" s="1636">
        <v>0</v>
      </c>
    </row>
    <row s="1636" customFormat="1" customHeight="1" ht="18.75">
      <c r="A312" s="1824"/>
      <c r="B312" s="1824"/>
      <c r="C312" s="1688" t="s">
        <v>1285</v>
      </c>
      <c r="D312" s="345"/>
      <c r="E312" s="1032"/>
      <c r="F312" s="1032"/>
      <c r="G312" s="2428"/>
      <c r="H312" s="5088"/>
      <c r="I312" s="5089" t="s">
        <v>1284</v>
      </c>
      <c r="J312" s="5090"/>
      <c r="K312" s="5091"/>
      <c r="L312" s="5092"/>
      <c r="M312" s="2319"/>
      <c r="N312" s="619"/>
      <c r="O312" s="1625"/>
      <c r="P312" s="1625"/>
      <c r="Q312" s="1636"/>
      <c r="R312" s="1636"/>
      <c r="S312" s="1636"/>
      <c r="T312" s="1636"/>
      <c r="U312" s="1636"/>
      <c r="V312" s="1636"/>
      <c r="W312" s="1636"/>
      <c r="X312" s="1636"/>
      <c r="Y312" s="1636"/>
      <c r="Z312" s="1636"/>
      <c r="AA312" s="1636"/>
      <c r="AB312" s="1636"/>
      <c r="AC312" s="1636"/>
      <c r="AD312" s="1636"/>
      <c r="AE312" s="1636"/>
      <c r="AF312" s="1636"/>
      <c r="AG312" s="1636"/>
      <c r="AH312" s="1636">
        <v>0</v>
      </c>
    </row>
    <row s="1636" customFormat="1" customHeight="1" ht="18.75">
      <c r="A313" s="1824" t="s">
        <v>172</v>
      </c>
      <c r="B313" s="1824" t="s">
        <v>203</v>
      </c>
      <c r="C313" s="1688"/>
      <c r="D313" s="345"/>
      <c r="E313" s="1032"/>
      <c r="F313" s="1032"/>
      <c r="G313" s="2428" t="str">
        <f>INDEX(PT_DIFFERENTIATION_NTAR,MATCH(B313,PT_DIFFERENTIATION_NTAR_ID,0))</f>
        <v>Льготные тарифы на тепловую энергию, поставляемую группе потребителей "потребители (кроме населения)". Для потребителей в случае отсутствия дифференциации тарифов по схеме подключения. Муниципальный округ город Кировск с подведомственной территорией Мурманской области</v>
      </c>
      <c r="H313" s="2272"/>
      <c r="I313" s="1740"/>
      <c r="J313" s="1774"/>
      <c r="K313" s="1779"/>
      <c r="L313" s="2272" t="s">
        <v>436</v>
      </c>
      <c r="M313" s="2319"/>
      <c r="N313" s="619"/>
      <c r="O313" s="1625"/>
      <c r="P313" s="1625"/>
      <c r="Q313" s="1636"/>
      <c r="R313" s="1636"/>
      <c r="S313" s="1636"/>
      <c r="T313" s="1636"/>
      <c r="U313" s="1636"/>
      <c r="V313" s="1636"/>
      <c r="W313" s="1636"/>
      <c r="X313" s="1636"/>
      <c r="Y313" s="1636"/>
      <c r="Z313" s="1636"/>
      <c r="AA313" s="1636"/>
      <c r="AB313" s="1636"/>
      <c r="AC313" s="1636"/>
      <c r="AD313" s="1636"/>
      <c r="AE313" s="1636"/>
      <c r="AF313" s="1636"/>
      <c r="AG313" s="1636"/>
      <c r="AH313" s="1636">
        <v>0</v>
      </c>
    </row>
    <row s="1636" customFormat="1" customHeight="1" ht="18.75">
      <c r="A314" s="1824"/>
      <c r="B314" s="1824"/>
      <c r="C314" s="1688" t="s">
        <v>1285</v>
      </c>
      <c r="D314" s="345"/>
      <c r="E314" s="1032"/>
      <c r="F314" s="1032"/>
      <c r="G314" s="2428"/>
      <c r="H314" s="5093"/>
      <c r="I314" s="5094" t="s">
        <v>1284</v>
      </c>
      <c r="J314" s="5095"/>
      <c r="K314" s="5096"/>
      <c r="L314" s="5097"/>
      <c r="M314" s="2319"/>
      <c r="N314" s="619"/>
      <c r="O314" s="1625"/>
      <c r="P314" s="1625"/>
      <c r="Q314" s="1636"/>
      <c r="R314" s="1636"/>
      <c r="S314" s="1636"/>
      <c r="T314" s="1636"/>
      <c r="U314" s="1636"/>
      <c r="V314" s="1636"/>
      <c r="W314" s="1636"/>
      <c r="X314" s="1636"/>
      <c r="Y314" s="1636"/>
      <c r="Z314" s="1636"/>
      <c r="AA314" s="1636"/>
      <c r="AB314" s="1636"/>
      <c r="AC314" s="1636"/>
      <c r="AD314" s="1636"/>
      <c r="AE314" s="1636"/>
      <c r="AF314" s="1636"/>
      <c r="AG314" s="1636"/>
      <c r="AH314" s="1636">
        <v>0</v>
      </c>
    </row>
    <row s="1636" customFormat="1" customHeight="1" ht="18.75">
      <c r="A315" s="1824" t="s">
        <v>172</v>
      </c>
      <c r="B315" s="1824" t="s">
        <v>208</v>
      </c>
      <c r="C315" s="1688"/>
      <c r="D315" s="345"/>
      <c r="E315" s="1032"/>
      <c r="F315" s="1032"/>
      <c r="G315" s="2428" t="str">
        <f>INDEX(PT_DIFFERENTIATION_NTAR,MATCH(B315,PT_DIFFERENTIATION_NTAR_ID,0))</f>
        <v>Тарифы на тепловую энергию, поставляемую потребителям. Для потребителей, подключенных к тепловым сетям ПАО "ТГК-1". Муниципальный  округ город Апатиты с подведомственной территорией Мурманской области</v>
      </c>
      <c r="H315" s="2272"/>
      <c r="I315" s="1740"/>
      <c r="J315" s="1774"/>
      <c r="K315" s="1779"/>
      <c r="L315" s="2272" t="s">
        <v>436</v>
      </c>
      <c r="M315" s="2319"/>
      <c r="N315" s="619"/>
      <c r="O315" s="1625"/>
      <c r="P315" s="1625"/>
      <c r="Q315" s="1636"/>
      <c r="R315" s="1636"/>
      <c r="S315" s="1636"/>
      <c r="T315" s="1636"/>
      <c r="U315" s="1636"/>
      <c r="V315" s="1636"/>
      <c r="W315" s="1636"/>
      <c r="X315" s="1636"/>
      <c r="Y315" s="1636"/>
      <c r="Z315" s="1636"/>
      <c r="AA315" s="1636"/>
      <c r="AB315" s="1636"/>
      <c r="AC315" s="1636"/>
      <c r="AD315" s="1636"/>
      <c r="AE315" s="1636"/>
      <c r="AF315" s="1636"/>
      <c r="AG315" s="1636"/>
      <c r="AH315" s="1636">
        <v>0</v>
      </c>
    </row>
    <row s="1636" customFormat="1" customHeight="1" ht="18.75">
      <c r="A316" s="1824"/>
      <c r="B316" s="1824"/>
      <c r="C316" s="1688" t="s">
        <v>1285</v>
      </c>
      <c r="D316" s="345"/>
      <c r="E316" s="1032"/>
      <c r="F316" s="1032"/>
      <c r="G316" s="2428"/>
      <c r="H316" s="5098"/>
      <c r="I316" s="5099" t="s">
        <v>1284</v>
      </c>
      <c r="J316" s="5100"/>
      <c r="K316" s="5101"/>
      <c r="L316" s="5102"/>
      <c r="M316" s="2319"/>
      <c r="N316" s="619"/>
      <c r="O316" s="1625"/>
      <c r="P316" s="1625"/>
      <c r="Q316" s="1636"/>
      <c r="R316" s="1636"/>
      <c r="S316" s="1636"/>
      <c r="T316" s="1636"/>
      <c r="U316" s="1636"/>
      <c r="V316" s="1636"/>
      <c r="W316" s="1636"/>
      <c r="X316" s="1636"/>
      <c r="Y316" s="1636"/>
      <c r="Z316" s="1636"/>
      <c r="AA316" s="1636"/>
      <c r="AB316" s="1636"/>
      <c r="AC316" s="1636"/>
      <c r="AD316" s="1636"/>
      <c r="AE316" s="1636"/>
      <c r="AF316" s="1636"/>
      <c r="AG316" s="1636"/>
      <c r="AH316" s="1636">
        <v>0</v>
      </c>
    </row>
    <row s="1636" customFormat="1" customHeight="1" ht="18.75">
      <c r="A317" s="1824" t="s">
        <v>172</v>
      </c>
      <c r="B317" s="1824" t="s">
        <v>213</v>
      </c>
      <c r="C317" s="1688"/>
      <c r="D317" s="345"/>
      <c r="E317" s="1032"/>
      <c r="F317" s="1032"/>
      <c r="G317" s="2428" t="str">
        <f>INDEX(PT_DIFFERENTIATION_NTAR,MATCH(B317,PT_DIFFERENTIATION_NTAR_ID,0))</f>
        <v>Тарифы на тепловую энергию, поставляемую потребителям. Для потребителей, подключенных к тепловым сетям АО "Апатитыэнерго". Муниципальный округ город Апатиты с подведомственной территорией Мурманской области</v>
      </c>
      <c r="H317" s="2272"/>
      <c r="I317" s="1740"/>
      <c r="J317" s="1774"/>
      <c r="K317" s="1779"/>
      <c r="L317" s="2272" t="s">
        <v>436</v>
      </c>
      <c r="M317" s="2319"/>
      <c r="N317" s="619"/>
      <c r="O317" s="1625"/>
      <c r="P317" s="1625"/>
      <c r="Q317" s="1636"/>
      <c r="R317" s="1636"/>
      <c r="S317" s="1636"/>
      <c r="T317" s="1636"/>
      <c r="U317" s="1636"/>
      <c r="V317" s="1636"/>
      <c r="W317" s="1636"/>
      <c r="X317" s="1636"/>
      <c r="Y317" s="1636"/>
      <c r="Z317" s="1636"/>
      <c r="AA317" s="1636"/>
      <c r="AB317" s="1636"/>
      <c r="AC317" s="1636"/>
      <c r="AD317" s="1636"/>
      <c r="AE317" s="1636"/>
      <c r="AF317" s="1636"/>
      <c r="AG317" s="1636"/>
      <c r="AH317" s="1636">
        <v>0</v>
      </c>
    </row>
    <row s="1636" customFormat="1" customHeight="1" ht="18.75">
      <c r="A318" s="1824"/>
      <c r="B318" s="1824"/>
      <c r="C318" s="1688" t="s">
        <v>1285</v>
      </c>
      <c r="D318" s="345"/>
      <c r="E318" s="1032"/>
      <c r="F318" s="1032"/>
      <c r="G318" s="2428"/>
      <c r="H318" s="5103"/>
      <c r="I318" s="5104" t="s">
        <v>1284</v>
      </c>
      <c r="J318" s="5105"/>
      <c r="K318" s="5106"/>
      <c r="L318" s="5107"/>
      <c r="M318" s="2319"/>
      <c r="N318" s="619"/>
      <c r="O318" s="1625"/>
      <c r="P318" s="1625"/>
      <c r="Q318" s="1636"/>
      <c r="R318" s="1636"/>
      <c r="S318" s="1636"/>
      <c r="T318" s="1636"/>
      <c r="U318" s="1636"/>
      <c r="V318" s="1636"/>
      <c r="W318" s="1636"/>
      <c r="X318" s="1636"/>
      <c r="Y318" s="1636"/>
      <c r="Z318" s="1636"/>
      <c r="AA318" s="1636"/>
      <c r="AB318" s="1636"/>
      <c r="AC318" s="1636"/>
      <c r="AD318" s="1636"/>
      <c r="AE318" s="1636"/>
      <c r="AF318" s="1636"/>
      <c r="AG318" s="1636"/>
      <c r="AH318" s="1636">
        <v>0</v>
      </c>
    </row>
    <row s="1636" customFormat="1" customHeight="1" ht="18.75">
      <c r="A319" s="1824" t="s">
        <v>172</v>
      </c>
      <c r="B319" s="1824" t="s">
        <v>218</v>
      </c>
      <c r="C319" s="1688"/>
      <c r="D319" s="345"/>
      <c r="E319" s="1032"/>
      <c r="F319" s="1032"/>
      <c r="G319" s="2428" t="str">
        <f>INDEX(PT_DIFFERENTIATION_NTAR,MATCH(B319,PT_DIFFERENTIATION_NTAR_ID,0))</f>
        <v>Тарифы на тепловую энергию, поставляемую потребителям. Для потребителей в случае отсутствия дифференциации тарифов по схеме подключения. Муниципальный округ город Кировск с подведомственной территорией Мурманской области</v>
      </c>
      <c r="H319" s="2272"/>
      <c r="I319" s="1740"/>
      <c r="J319" s="1774"/>
      <c r="K319" s="1779"/>
      <c r="L319" s="2272" t="s">
        <v>436</v>
      </c>
      <c r="M319" s="2319"/>
      <c r="N319" s="619"/>
      <c r="O319" s="1625"/>
      <c r="P319" s="1625"/>
      <c r="Q319" s="1636"/>
      <c r="R319" s="1636"/>
      <c r="S319" s="1636"/>
      <c r="T319" s="1636"/>
      <c r="U319" s="1636"/>
      <c r="V319" s="1636"/>
      <c r="W319" s="1636"/>
      <c r="X319" s="1636"/>
      <c r="Y319" s="1636"/>
      <c r="Z319" s="1636"/>
      <c r="AA319" s="1636"/>
      <c r="AB319" s="1636"/>
      <c r="AC319" s="1636"/>
      <c r="AD319" s="1636"/>
      <c r="AE319" s="1636"/>
      <c r="AF319" s="1636"/>
      <c r="AG319" s="1636"/>
      <c r="AH319" s="1636">
        <v>0</v>
      </c>
    </row>
    <row s="1636" customFormat="1" customHeight="1" ht="18.75">
      <c r="A320" s="1824"/>
      <c r="B320" s="1824"/>
      <c r="C320" s="1688" t="s">
        <v>1285</v>
      </c>
      <c r="D320" s="345"/>
      <c r="E320" s="1032"/>
      <c r="F320" s="1032"/>
      <c r="G320" s="2428"/>
      <c r="H320" s="5108"/>
      <c r="I320" s="5109" t="s">
        <v>1284</v>
      </c>
      <c r="J320" s="5110"/>
      <c r="K320" s="5111"/>
      <c r="L320" s="5112"/>
      <c r="M320" s="2319"/>
      <c r="N320" s="619"/>
      <c r="O320" s="1625"/>
      <c r="P320" s="1625"/>
      <c r="Q320" s="1636"/>
      <c r="R320" s="1636"/>
      <c r="S320" s="1636"/>
      <c r="T320" s="1636"/>
      <c r="U320" s="1636"/>
      <c r="V320" s="1636"/>
      <c r="W320" s="1636"/>
      <c r="X320" s="1636"/>
      <c r="Y320" s="1636"/>
      <c r="Z320" s="1636"/>
      <c r="AA320" s="1636"/>
      <c r="AB320" s="1636"/>
      <c r="AC320" s="1636"/>
      <c r="AD320" s="1636"/>
      <c r="AE320" s="1636"/>
      <c r="AF320" s="1636"/>
      <c r="AG320" s="1636"/>
      <c r="AH320" s="1636">
        <v>0</v>
      </c>
    </row>
    <row s="1636" customFormat="1" customHeight="1" ht="0.75" hidden="1">
      <c r="A321" s="1781"/>
      <c r="B321" s="1781"/>
      <c r="C321" s="370" t="s">
        <v>1292</v>
      </c>
      <c r="D321" s="2463"/>
      <c r="E321" s="2205"/>
      <c r="F321" s="2384"/>
      <c r="G321" s="401"/>
      <c r="H321" s="1501"/>
      <c r="I321" s="652"/>
      <c r="J321" s="572"/>
      <c r="K321" s="1501"/>
      <c r="L321" s="215"/>
      <c r="M321" s="2171"/>
      <c r="N321" s="335"/>
      <c r="O321" s="1625"/>
      <c r="P321" s="1625"/>
      <c r="AH321" s="1632">
        <v>0</v>
      </c>
    </row>
    <row s="1636" customFormat="1" customHeight="1" ht="45" hidden="1">
      <c r="A322" s="1781" t="s">
        <v>228</v>
      </c>
      <c r="B322" s="1781" t="s">
        <v>229</v>
      </c>
      <c r="C322" s="370"/>
      <c r="D322" s="2463"/>
      <c r="E322" s="2205"/>
      <c r="F322" s="2384" t="str">
        <f>INDEX(PT_DIFFERENTIATION_VTAR,MATCH(A322,PT_DIFFERENTIATION_VTAR_ID,0))</f>
        <v>Тарифы на тепловую энергию (мощность), поставляемую теплоснабжающими организациями потребителям, другим теплоснабжающим организациям</v>
      </c>
      <c r="G322" s="2428" t="str">
        <f>INDEX(PT_DIFFERENTIATION_NTAR,MATCH(B322,PT_DIFFERENTIATION_NTAR_ID,0))</f>
        <v>Льготные тарифы на тепловую энергию, поставляемую группе потребителей "население". Для потребителей, в случае отсутствия дифференциации тарифов по схеме подключения. Населенный пункт Раякоски Печенгского муниципального округа Мурманской области
</v>
      </c>
      <c r="H322" s="1863"/>
      <c r="I322" s="1740"/>
      <c r="J322" s="1774"/>
      <c r="K322" s="1779"/>
      <c r="L322" s="1863" t="s">
        <v>436</v>
      </c>
      <c r="M322" s="2172"/>
      <c r="N322" s="335"/>
      <c r="O322" s="1625"/>
      <c r="P322" s="1625"/>
      <c r="AH322" s="1632">
        <v>0</v>
      </c>
    </row>
    <row s="1636" customFormat="1" customHeight="1" ht="18.75" hidden="1">
      <c r="A323" s="1781"/>
      <c r="B323" s="1781"/>
      <c r="C323" s="370" t="s">
        <v>1285</v>
      </c>
      <c r="D323" s="2463"/>
      <c r="E323" s="2205"/>
      <c r="F323" s="2384"/>
      <c r="G323" s="2428"/>
      <c r="H323" s="1501"/>
      <c r="I323" s="652" t="s">
        <v>1284</v>
      </c>
      <c r="J323" s="572"/>
      <c r="K323" s="1501"/>
      <c r="L323" s="215"/>
      <c r="M323" s="1862"/>
      <c r="N323" s="335"/>
      <c r="O323" s="1625"/>
      <c r="P323" s="1625"/>
      <c r="AH323" s="1632">
        <v>0</v>
      </c>
    </row>
    <row s="1636" customFormat="1" customHeight="1" ht="18.75">
      <c r="A324" s="1824" t="s">
        <v>228</v>
      </c>
      <c r="B324" s="1824" t="s">
        <v>234</v>
      </c>
      <c r="C324" s="1688"/>
      <c r="D324" s="345"/>
      <c r="E324" s="1032"/>
      <c r="F324" s="1032"/>
      <c r="G324" s="2428" t="str">
        <f>INDEX(PT_DIFFERENTIATION_NTAR,MATCH(B324,PT_DIFFERENTIATION_NTAR_ID,0))</f>
        <v>Льготные тарифы на тепловую энергию, поставляемую группе потребителей "потребители (кроме населения)". Для потребителей, в случае отсутствия дифференциации тарифов по схеме подключения. Населенный пункт Раякоски Печенгского муниципального округа Мурманской области</v>
      </c>
      <c r="H324" s="2272"/>
      <c r="I324" s="1740"/>
      <c r="J324" s="1774"/>
      <c r="K324" s="1779"/>
      <c r="L324" s="2272" t="s">
        <v>436</v>
      </c>
      <c r="M324" s="2319"/>
      <c r="N324" s="619"/>
      <c r="O324" s="1625"/>
      <c r="P324" s="1625"/>
      <c r="Q324" s="1636"/>
      <c r="R324" s="1636"/>
      <c r="S324" s="1636"/>
      <c r="T324" s="1636"/>
      <c r="U324" s="1636"/>
      <c r="V324" s="1636"/>
      <c r="W324" s="1636"/>
      <c r="X324" s="1636"/>
      <c r="Y324" s="1636"/>
      <c r="Z324" s="1636"/>
      <c r="AA324" s="1636"/>
      <c r="AB324" s="1636"/>
      <c r="AC324" s="1636"/>
      <c r="AD324" s="1636"/>
      <c r="AE324" s="1636"/>
      <c r="AF324" s="1636"/>
      <c r="AG324" s="1636"/>
      <c r="AH324" s="1636">
        <v>0</v>
      </c>
    </row>
    <row s="1636" customFormat="1" customHeight="1" ht="18.75">
      <c r="A325" s="1824"/>
      <c r="B325" s="1824"/>
      <c r="C325" s="1688" t="s">
        <v>1285</v>
      </c>
      <c r="D325" s="345"/>
      <c r="E325" s="1032"/>
      <c r="F325" s="1032"/>
      <c r="G325" s="2428"/>
      <c r="H325" s="5113"/>
      <c r="I325" s="5114" t="s">
        <v>1284</v>
      </c>
      <c r="J325" s="5115"/>
      <c r="K325" s="5116"/>
      <c r="L325" s="5117"/>
      <c r="M325" s="2319"/>
      <c r="N325" s="619"/>
      <c r="O325" s="1625"/>
      <c r="P325" s="1625"/>
      <c r="Q325" s="1636"/>
      <c r="R325" s="1636"/>
      <c r="S325" s="1636"/>
      <c r="T325" s="1636"/>
      <c r="U325" s="1636"/>
      <c r="V325" s="1636"/>
      <c r="W325" s="1636"/>
      <c r="X325" s="1636"/>
      <c r="Y325" s="1636"/>
      <c r="Z325" s="1636"/>
      <c r="AA325" s="1636"/>
      <c r="AB325" s="1636"/>
      <c r="AC325" s="1636"/>
      <c r="AD325" s="1636"/>
      <c r="AE325" s="1636"/>
      <c r="AF325" s="1636"/>
      <c r="AG325" s="1636"/>
      <c r="AH325" s="1636">
        <v>0</v>
      </c>
    </row>
    <row s="1636" customFormat="1" customHeight="1" ht="18.75">
      <c r="A326" s="1824" t="s">
        <v>228</v>
      </c>
      <c r="B326" s="1824" t="s">
        <v>239</v>
      </c>
      <c r="C326" s="1688"/>
      <c r="D326" s="345"/>
      <c r="E326" s="1032"/>
      <c r="F326" s="1032"/>
      <c r="G326" s="2428" t="str">
        <f>INDEX(PT_DIFFERENTIATION_NTAR,MATCH(B326,PT_DIFFERENTIATION_NTAR_ID,0))</f>
        <v>Тарифы на тепловую энергию, поставляемую потребителям. Для потребителей в случае отсутствия дифференциации тарифов по схеме подключения. Населенный пункт Раякоски Печенгского муниципального округа Мурманской области</v>
      </c>
      <c r="H326" s="2272"/>
      <c r="I326" s="1740"/>
      <c r="J326" s="1774"/>
      <c r="K326" s="1779"/>
      <c r="L326" s="2272" t="s">
        <v>436</v>
      </c>
      <c r="M326" s="2319"/>
      <c r="N326" s="619"/>
      <c r="O326" s="1625"/>
      <c r="P326" s="1625"/>
      <c r="Q326" s="1636"/>
      <c r="R326" s="1636"/>
      <c r="S326" s="1636"/>
      <c r="T326" s="1636"/>
      <c r="U326" s="1636"/>
      <c r="V326" s="1636"/>
      <c r="W326" s="1636"/>
      <c r="X326" s="1636"/>
      <c r="Y326" s="1636"/>
      <c r="Z326" s="1636"/>
      <c r="AA326" s="1636"/>
      <c r="AB326" s="1636"/>
      <c r="AC326" s="1636"/>
      <c r="AD326" s="1636"/>
      <c r="AE326" s="1636"/>
      <c r="AF326" s="1636"/>
      <c r="AG326" s="1636"/>
      <c r="AH326" s="1636">
        <v>0</v>
      </c>
    </row>
    <row s="1636" customFormat="1" customHeight="1" ht="18.75">
      <c r="A327" s="1824"/>
      <c r="B327" s="1824"/>
      <c r="C327" s="1688" t="s">
        <v>1285</v>
      </c>
      <c r="D327" s="345"/>
      <c r="E327" s="1032"/>
      <c r="F327" s="1032"/>
      <c r="G327" s="2428"/>
      <c r="H327" s="5118"/>
      <c r="I327" s="5119" t="s">
        <v>1284</v>
      </c>
      <c r="J327" s="5120"/>
      <c r="K327" s="5121"/>
      <c r="L327" s="5122"/>
      <c r="M327" s="2319"/>
      <c r="N327" s="619"/>
      <c r="O327" s="1625"/>
      <c r="P327" s="1625"/>
      <c r="Q327" s="1636"/>
      <c r="R327" s="1636"/>
      <c r="S327" s="1636"/>
      <c r="T327" s="1636"/>
      <c r="U327" s="1636"/>
      <c r="V327" s="1636"/>
      <c r="W327" s="1636"/>
      <c r="X327" s="1636"/>
      <c r="Y327" s="1636"/>
      <c r="Z327" s="1636"/>
      <c r="AA327" s="1636"/>
      <c r="AB327" s="1636"/>
      <c r="AC327" s="1636"/>
      <c r="AD327" s="1636"/>
      <c r="AE327" s="1636"/>
      <c r="AF327" s="1636"/>
      <c r="AG327" s="1636"/>
      <c r="AH327" s="1636">
        <v>0</v>
      </c>
    </row>
    <row s="1636" customFormat="1" customHeight="1" ht="18.75">
      <c r="A328" s="1824" t="s">
        <v>228</v>
      </c>
      <c r="B328" s="1824" t="s">
        <v>244</v>
      </c>
      <c r="C328" s="1688"/>
      <c r="D328" s="345"/>
      <c r="E328" s="1032"/>
      <c r="F328" s="1032"/>
      <c r="G328" s="2428" t="str">
        <f>INDEX(PT_DIFFERENTIATION_NTAR,MATCH(B328,PT_DIFFERENTIATION_NTAR_ID,0))</f>
        <v>Тарифы на тепловую энергию, поставляемую теплоснабжающим, теплосетевым организациям, приобретающим тепловую энергию с целью компенсации потерь. Для теплоснабжающих, теплосетевых организаций, приобретающих тепловую энергию на коллекторах источника тепловой энергии (Апатитская ТЭЦ). Муниципальный округ город Кировск с подведомственной территорией Мурманской области, Муниципальный округ город Апатиты с подведомственной территорией Мурманской области</v>
      </c>
      <c r="H328" s="2272"/>
      <c r="I328" s="1740"/>
      <c r="J328" s="1774"/>
      <c r="K328" s="1779"/>
      <c r="L328" s="2272" t="s">
        <v>436</v>
      </c>
      <c r="M328" s="2319"/>
      <c r="N328" s="619"/>
      <c r="O328" s="1625"/>
      <c r="P328" s="1625"/>
      <c r="Q328" s="1636"/>
      <c r="R328" s="1636"/>
      <c r="S328" s="1636"/>
      <c r="T328" s="1636"/>
      <c r="U328" s="1636"/>
      <c r="V328" s="1636"/>
      <c r="W328" s="1636"/>
      <c r="X328" s="1636"/>
      <c r="Y328" s="1636"/>
      <c r="Z328" s="1636"/>
      <c r="AA328" s="1636"/>
      <c r="AB328" s="1636"/>
      <c r="AC328" s="1636"/>
      <c r="AD328" s="1636"/>
      <c r="AE328" s="1636"/>
      <c r="AF328" s="1636"/>
      <c r="AG328" s="1636"/>
      <c r="AH328" s="1636">
        <v>0</v>
      </c>
    </row>
    <row s="1636" customFormat="1" customHeight="1" ht="18.75">
      <c r="A329" s="1824"/>
      <c r="B329" s="1824"/>
      <c r="C329" s="1688" t="s">
        <v>1285</v>
      </c>
      <c r="D329" s="345"/>
      <c r="E329" s="1032"/>
      <c r="F329" s="1032"/>
      <c r="G329" s="2428"/>
      <c r="H329" s="5123"/>
      <c r="I329" s="5124" t="s">
        <v>1284</v>
      </c>
      <c r="J329" s="5125"/>
      <c r="K329" s="5126"/>
      <c r="L329" s="5127"/>
      <c r="M329" s="2319"/>
      <c r="N329" s="619"/>
      <c r="O329" s="1625"/>
      <c r="P329" s="1625"/>
      <c r="Q329" s="1636"/>
      <c r="R329" s="1636"/>
      <c r="S329" s="1636"/>
      <c r="T329" s="1636"/>
      <c r="U329" s="1636"/>
      <c r="V329" s="1636"/>
      <c r="W329" s="1636"/>
      <c r="X329" s="1636"/>
      <c r="Y329" s="1636"/>
      <c r="Z329" s="1636"/>
      <c r="AA329" s="1636"/>
      <c r="AB329" s="1636"/>
      <c r="AC329" s="1636"/>
      <c r="AD329" s="1636"/>
      <c r="AE329" s="1636"/>
      <c r="AF329" s="1636"/>
      <c r="AG329" s="1636"/>
      <c r="AH329" s="1636">
        <v>0</v>
      </c>
    </row>
    <row s="1636" customFormat="1" customHeight="1" ht="0.75" hidden="1">
      <c r="A330" s="1781"/>
      <c r="B330" s="1781"/>
      <c r="C330" s="370" t="s">
        <v>1292</v>
      </c>
      <c r="D330" s="2463"/>
      <c r="E330" s="2205"/>
      <c r="F330" s="2384"/>
      <c r="G330" s="401"/>
      <c r="H330" s="1501"/>
      <c r="I330" s="652"/>
      <c r="J330" s="572"/>
      <c r="K330" s="1501"/>
      <c r="L330" s="215"/>
      <c r="M330" s="342"/>
      <c r="N330" s="335"/>
      <c r="O330" s="1625"/>
      <c r="P330" s="1625"/>
      <c r="AH330" s="1632">
        <v>0</v>
      </c>
    </row>
    <row s="1636" customFormat="1" customHeight="1" ht="45" hidden="1">
      <c r="A331" s="1781" t="s">
        <v>254</v>
      </c>
      <c r="B331" s="1781" t="s">
        <v>255</v>
      </c>
      <c r="C331" s="370"/>
      <c r="D331" s="2463"/>
      <c r="E331" s="2205"/>
      <c r="F331" s="2384" t="str">
        <f>INDEX(PT_DIFFERENTIATION_VTAR,MATCH(A331,PT_DIFFERENTIATION_VTAR_ID,0))</f>
        <v>Тарифы на теплоноситель, поставляемый теплоснабжающими организациями потребителям, другим теплоснабжающим организациям</v>
      </c>
      <c r="G331" s="2428" t="str">
        <f>INDEX(PT_DIFFERENTIATION_NTAR,MATCH(B331,PT_DIFFERENTIATION_NTAR_ID,0))</f>
        <v>Тарифы на теплоноситель, поставляемый группе потребителей "население". Муниципальный округ город Апатиты с подведомственной территорией Мурманской области, муниципальный округ город Кировск с подведомственной территорией Мурманской области</v>
      </c>
      <c r="H331" s="1863"/>
      <c r="I331" s="1740"/>
      <c r="J331" s="1774"/>
      <c r="K331" s="1779"/>
      <c r="L331" s="1863" t="s">
        <v>436</v>
      </c>
      <c r="M331" s="342"/>
      <c r="N331" s="335"/>
      <c r="O331" s="1625"/>
      <c r="P331" s="1625"/>
      <c r="AH331" s="1632">
        <v>0</v>
      </c>
    </row>
    <row s="1636" customFormat="1" customHeight="1" ht="18.75" hidden="1">
      <c r="A332" s="1781"/>
      <c r="B332" s="1781"/>
      <c r="C332" s="370" t="s">
        <v>1285</v>
      </c>
      <c r="D332" s="2463"/>
      <c r="E332" s="2205"/>
      <c r="F332" s="2384"/>
      <c r="G332" s="2428"/>
      <c r="H332" s="1501"/>
      <c r="I332" s="652" t="s">
        <v>1284</v>
      </c>
      <c r="J332" s="572"/>
      <c r="K332" s="1501"/>
      <c r="L332" s="215"/>
      <c r="M332" s="342"/>
      <c r="N332" s="335"/>
      <c r="O332" s="1625"/>
      <c r="P332" s="1625"/>
      <c r="AH332" s="1632">
        <v>0</v>
      </c>
    </row>
    <row s="1636" customFormat="1" customHeight="1" ht="18.75">
      <c r="A333" s="1824" t="s">
        <v>254</v>
      </c>
      <c r="B333" s="1824" t="s">
        <v>263</v>
      </c>
      <c r="C333" s="1688"/>
      <c r="D333" s="345"/>
      <c r="E333" s="1032"/>
      <c r="F333" s="1032"/>
      <c r="G333" s="2428" t="str">
        <f>INDEX(PT_DIFFERENTIATION_NTAR,MATCH(B333,PT_DIFFERENTIATION_NTAR_ID,0))</f>
        <v>Тарифы на теплоноситель, поставляемый потребителям. Муниципальный округ город Апатиты с подведомственной территорией Мурманской области, муниципальный округ город Кировск с подведомственной территорией Мурманской области</v>
      </c>
      <c r="H333" s="2272"/>
      <c r="I333" s="1740"/>
      <c r="J333" s="1774"/>
      <c r="K333" s="1779"/>
      <c r="L333" s="2272" t="s">
        <v>436</v>
      </c>
      <c r="M333" s="2319"/>
      <c r="N333" s="619"/>
      <c r="O333" s="1625"/>
      <c r="P333" s="1625"/>
      <c r="Q333" s="1636"/>
      <c r="R333" s="1636"/>
      <c r="S333" s="1636"/>
      <c r="T333" s="1636"/>
      <c r="U333" s="1636"/>
      <c r="V333" s="1636"/>
      <c r="W333" s="1636"/>
      <c r="X333" s="1636"/>
      <c r="Y333" s="1636"/>
      <c r="Z333" s="1636"/>
      <c r="AA333" s="1636"/>
      <c r="AB333" s="1636"/>
      <c r="AC333" s="1636"/>
      <c r="AD333" s="1636"/>
      <c r="AE333" s="1636"/>
      <c r="AF333" s="1636"/>
      <c r="AG333" s="1636"/>
      <c r="AH333" s="1636">
        <v>0</v>
      </c>
    </row>
    <row s="1636" customFormat="1" customHeight="1" ht="18.75">
      <c r="A334" s="1824"/>
      <c r="B334" s="1824"/>
      <c r="C334" s="1688" t="s">
        <v>1285</v>
      </c>
      <c r="D334" s="345"/>
      <c r="E334" s="1032"/>
      <c r="F334" s="1032"/>
      <c r="G334" s="2428"/>
      <c r="H334" s="5128"/>
      <c r="I334" s="5129" t="s">
        <v>1284</v>
      </c>
      <c r="J334" s="5130"/>
      <c r="K334" s="5131"/>
      <c r="L334" s="5132"/>
      <c r="M334" s="2319"/>
      <c r="N334" s="619"/>
      <c r="O334" s="1625"/>
      <c r="P334" s="1625"/>
      <c r="Q334" s="1636"/>
      <c r="R334" s="1636"/>
      <c r="S334" s="1636"/>
      <c r="T334" s="1636"/>
      <c r="U334" s="1636"/>
      <c r="V334" s="1636"/>
      <c r="W334" s="1636"/>
      <c r="X334" s="1636"/>
      <c r="Y334" s="1636"/>
      <c r="Z334" s="1636"/>
      <c r="AA334" s="1636"/>
      <c r="AB334" s="1636"/>
      <c r="AC334" s="1636"/>
      <c r="AD334" s="1636"/>
      <c r="AE334" s="1636"/>
      <c r="AF334" s="1636"/>
      <c r="AG334" s="1636"/>
      <c r="AH334" s="1636">
        <v>0</v>
      </c>
    </row>
    <row s="1636" customFormat="1" customHeight="1" ht="0.75" hidden="1">
      <c r="A335" s="1781"/>
      <c r="B335" s="1781"/>
      <c r="C335" s="370" t="s">
        <v>1292</v>
      </c>
      <c r="D335" s="2463"/>
      <c r="E335" s="2205"/>
      <c r="F335" s="2384"/>
      <c r="G335" s="401"/>
      <c r="H335" s="1501"/>
      <c r="I335" s="652"/>
      <c r="J335" s="572"/>
      <c r="K335" s="1501"/>
      <c r="L335" s="215"/>
      <c r="M335" s="342"/>
      <c r="N335" s="335"/>
      <c r="O335" s="1625"/>
      <c r="P335" s="1625"/>
      <c r="AH335" s="1632">
        <v>0</v>
      </c>
    </row>
    <row s="1636" customFormat="1" customHeight="1" ht="45" hidden="1">
      <c r="A336" s="1781" t="s">
        <v>272</v>
      </c>
      <c r="B336" s="1781" t="s">
        <v>273</v>
      </c>
      <c r="C336" s="370"/>
      <c r="D336" s="2463"/>
      <c r="E336" s="2205"/>
      <c r="F336" s="2384" t="str">
        <f>INDEX(PT_DIFFERENTIATION_VTAR,MATCH(A336,PT_DIFFERENTIATION_VTAR_ID,0))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336" s="2428" t="str">
        <f>INDEX(PT_DIFFERENTIATION_NTAR,MATCH(B336,PT_DIFFERENTIATION_NTAR_ID,0))</f>
        <v>Тарифы на горячую воду в открытых системах теплоснабжения (горячее водоснабжение), поставляемую группе потребителей "население". Муниципальный округ город Апатиты с подведомственной территорией Мурманской области.</v>
      </c>
      <c r="H336" s="1863"/>
      <c r="I336" s="1740"/>
      <c r="J336" s="1774"/>
      <c r="K336" s="1779"/>
      <c r="L336" s="1863" t="s">
        <v>436</v>
      </c>
      <c r="M336" s="342"/>
      <c r="N336" s="335"/>
      <c r="O336" s="1625"/>
      <c r="P336" s="1625"/>
      <c r="AH336" s="1632">
        <v>0</v>
      </c>
    </row>
    <row s="1636" customFormat="1" customHeight="1" ht="18.75" hidden="1">
      <c r="A337" s="1781"/>
      <c r="B337" s="1781"/>
      <c r="C337" s="370" t="s">
        <v>1285</v>
      </c>
      <c r="D337" s="2463"/>
      <c r="E337" s="2205"/>
      <c r="F337" s="2384"/>
      <c r="G337" s="2428"/>
      <c r="H337" s="1501"/>
      <c r="I337" s="652" t="s">
        <v>1284</v>
      </c>
      <c r="J337" s="572"/>
      <c r="K337" s="1501"/>
      <c r="L337" s="215"/>
      <c r="M337" s="342"/>
      <c r="N337" s="335"/>
      <c r="O337" s="1625"/>
      <c r="P337" s="1625"/>
      <c r="AH337" s="1632">
        <v>0</v>
      </c>
    </row>
    <row s="1636" customFormat="1" customHeight="1" ht="18.75">
      <c r="A338" s="1824" t="s">
        <v>272</v>
      </c>
      <c r="B338" s="1824" t="s">
        <v>278</v>
      </c>
      <c r="C338" s="1688"/>
      <c r="D338" s="345"/>
      <c r="E338" s="1032"/>
      <c r="F338" s="1032"/>
      <c r="G338" s="2428" t="str">
        <f>INDEX(PT_DIFFERENTIATION_NTAR,MATCH(B338,PT_DIFFERENTIATION_NTAR_ID,0))</f>
        <v>Тарифы на горячую воду в открытых системах теплоснабжения (горячее водоснабжение), поставляемую группе потребителей "население". Муниципальный округ город Кировск с подведомственной территорией Мурманской области.</v>
      </c>
      <c r="H338" s="2272"/>
      <c r="I338" s="1740"/>
      <c r="J338" s="1774"/>
      <c r="K338" s="1779"/>
      <c r="L338" s="2272" t="s">
        <v>436</v>
      </c>
      <c r="M338" s="2319"/>
      <c r="N338" s="619"/>
      <c r="O338" s="1625"/>
      <c r="P338" s="1625"/>
      <c r="Q338" s="1636"/>
      <c r="R338" s="1636"/>
      <c r="S338" s="1636"/>
      <c r="T338" s="1636"/>
      <c r="U338" s="1636"/>
      <c r="V338" s="1636"/>
      <c r="W338" s="1636"/>
      <c r="X338" s="1636"/>
      <c r="Y338" s="1636"/>
      <c r="Z338" s="1636"/>
      <c r="AA338" s="1636"/>
      <c r="AB338" s="1636"/>
      <c r="AC338" s="1636"/>
      <c r="AD338" s="1636"/>
      <c r="AE338" s="1636"/>
      <c r="AF338" s="1636"/>
      <c r="AG338" s="1636"/>
      <c r="AH338" s="1636">
        <v>0</v>
      </c>
    </row>
    <row s="1636" customFormat="1" customHeight="1" ht="18.75">
      <c r="A339" s="1824"/>
      <c r="B339" s="1824"/>
      <c r="C339" s="1688" t="s">
        <v>1285</v>
      </c>
      <c r="D339" s="345"/>
      <c r="E339" s="1032"/>
      <c r="F339" s="1032"/>
      <c r="G339" s="2428"/>
      <c r="H339" s="5133"/>
      <c r="I339" s="5134" t="s">
        <v>1284</v>
      </c>
      <c r="J339" s="5135"/>
      <c r="K339" s="5136"/>
      <c r="L339" s="5137"/>
      <c r="M339" s="2319"/>
      <c r="N339" s="619"/>
      <c r="O339" s="1625"/>
      <c r="P339" s="1625"/>
      <c r="Q339" s="1636"/>
      <c r="R339" s="1636"/>
      <c r="S339" s="1636"/>
      <c r="T339" s="1636"/>
      <c r="U339" s="1636"/>
      <c r="V339" s="1636"/>
      <c r="W339" s="1636"/>
      <c r="X339" s="1636"/>
      <c r="Y339" s="1636"/>
      <c r="Z339" s="1636"/>
      <c r="AA339" s="1636"/>
      <c r="AB339" s="1636"/>
      <c r="AC339" s="1636"/>
      <c r="AD339" s="1636"/>
      <c r="AE339" s="1636"/>
      <c r="AF339" s="1636"/>
      <c r="AG339" s="1636"/>
      <c r="AH339" s="1636">
        <v>0</v>
      </c>
    </row>
    <row s="1636" customFormat="1" customHeight="1" ht="18.75">
      <c r="A340" s="1824" t="s">
        <v>272</v>
      </c>
      <c r="B340" s="1824" t="s">
        <v>283</v>
      </c>
      <c r="C340" s="1688"/>
      <c r="D340" s="345"/>
      <c r="E340" s="1032"/>
      <c r="F340" s="1032"/>
      <c r="G340" s="2428" t="str">
        <f>INDEX(PT_DIFFERENTIATION_NTAR,MATCH(B340,PT_DIFFERENTIATION_NTAR_ID,0))</f>
        <v>Тарифы на горячую воду в открытых системах теплоснабжения (горячее водоснабжение), поставляемую потребителям. Муниципальный округ город Апатиты с подведомственной территорией Мурманской области. Для потребителей на коллекторах источника тепловой энергии Апатитская ТЭЦ</v>
      </c>
      <c r="H340" s="2272"/>
      <c r="I340" s="1740"/>
      <c r="J340" s="1774"/>
      <c r="K340" s="1779"/>
      <c r="L340" s="2272" t="s">
        <v>436</v>
      </c>
      <c r="M340" s="2319"/>
      <c r="N340" s="619"/>
      <c r="O340" s="1625"/>
      <c r="P340" s="1625"/>
      <c r="Q340" s="1636"/>
      <c r="R340" s="1636"/>
      <c r="S340" s="1636"/>
      <c r="T340" s="1636"/>
      <c r="U340" s="1636"/>
      <c r="V340" s="1636"/>
      <c r="W340" s="1636"/>
      <c r="X340" s="1636"/>
      <c r="Y340" s="1636"/>
      <c r="Z340" s="1636"/>
      <c r="AA340" s="1636"/>
      <c r="AB340" s="1636"/>
      <c r="AC340" s="1636"/>
      <c r="AD340" s="1636"/>
      <c r="AE340" s="1636"/>
      <c r="AF340" s="1636"/>
      <c r="AG340" s="1636"/>
      <c r="AH340" s="1636">
        <v>0</v>
      </c>
    </row>
    <row s="1636" customFormat="1" customHeight="1" ht="18.75">
      <c r="A341" s="1824"/>
      <c r="B341" s="1824"/>
      <c r="C341" s="1688" t="s">
        <v>1285</v>
      </c>
      <c r="D341" s="345"/>
      <c r="E341" s="1032"/>
      <c r="F341" s="1032"/>
      <c r="G341" s="2428"/>
      <c r="H341" s="5138"/>
      <c r="I341" s="5139" t="s">
        <v>1284</v>
      </c>
      <c r="J341" s="5140"/>
      <c r="K341" s="5141"/>
      <c r="L341" s="5142"/>
      <c r="M341" s="2319"/>
      <c r="N341" s="619"/>
      <c r="O341" s="1625"/>
      <c r="P341" s="1625"/>
      <c r="Q341" s="1636"/>
      <c r="R341" s="1636"/>
      <c r="S341" s="1636"/>
      <c r="T341" s="1636"/>
      <c r="U341" s="1636"/>
      <c r="V341" s="1636"/>
      <c r="W341" s="1636"/>
      <c r="X341" s="1636"/>
      <c r="Y341" s="1636"/>
      <c r="Z341" s="1636"/>
      <c r="AA341" s="1636"/>
      <c r="AB341" s="1636"/>
      <c r="AC341" s="1636"/>
      <c r="AD341" s="1636"/>
      <c r="AE341" s="1636"/>
      <c r="AF341" s="1636"/>
      <c r="AG341" s="1636"/>
      <c r="AH341" s="1636">
        <v>0</v>
      </c>
    </row>
    <row s="1636" customFormat="1" customHeight="1" ht="18.75">
      <c r="A342" s="1824" t="s">
        <v>272</v>
      </c>
      <c r="B342" s="1824" t="s">
        <v>288</v>
      </c>
      <c r="C342" s="1688"/>
      <c r="D342" s="345"/>
      <c r="E342" s="1032"/>
      <c r="F342" s="1032"/>
      <c r="G342" s="2428" t="str">
        <f>INDEX(PT_DIFFERENTIATION_NTAR,MATCH(B342,PT_DIFFERENTIATION_NTAR_ID,0))</f>
        <v>Тарифы на горячую воду в открытых системах теплоснабжения (горячее водоснабжение), поставляемую потребителям. Муниципальный округ город Апатиты с подведомственной территорией Мурманской области. Для потребителей, подключенных к тепловым сетям ПАО "ТГК-1"</v>
      </c>
      <c r="H342" s="2272"/>
      <c r="I342" s="1740"/>
      <c r="J342" s="1774"/>
      <c r="K342" s="1779"/>
      <c r="L342" s="2272" t="s">
        <v>436</v>
      </c>
      <c r="M342" s="2319"/>
      <c r="N342" s="619"/>
      <c r="O342" s="1625"/>
      <c r="P342" s="1625"/>
      <c r="Q342" s="1636"/>
      <c r="R342" s="1636"/>
      <c r="S342" s="1636"/>
      <c r="T342" s="1636"/>
      <c r="U342" s="1636"/>
      <c r="V342" s="1636"/>
      <c r="W342" s="1636"/>
      <c r="X342" s="1636"/>
      <c r="Y342" s="1636"/>
      <c r="Z342" s="1636"/>
      <c r="AA342" s="1636"/>
      <c r="AB342" s="1636"/>
      <c r="AC342" s="1636"/>
      <c r="AD342" s="1636"/>
      <c r="AE342" s="1636"/>
      <c r="AF342" s="1636"/>
      <c r="AG342" s="1636"/>
      <c r="AH342" s="1636">
        <v>0</v>
      </c>
    </row>
    <row s="1636" customFormat="1" customHeight="1" ht="18.75">
      <c r="A343" s="1824"/>
      <c r="B343" s="1824"/>
      <c r="C343" s="1688" t="s">
        <v>1285</v>
      </c>
      <c r="D343" s="345"/>
      <c r="E343" s="1032"/>
      <c r="F343" s="1032"/>
      <c r="G343" s="2428"/>
      <c r="H343" s="5143"/>
      <c r="I343" s="5144" t="s">
        <v>1284</v>
      </c>
      <c r="J343" s="5145"/>
      <c r="K343" s="5146"/>
      <c r="L343" s="5147"/>
      <c r="M343" s="2319"/>
      <c r="N343" s="619"/>
      <c r="O343" s="1625"/>
      <c r="P343" s="1625"/>
      <c r="Q343" s="1636"/>
      <c r="R343" s="1636"/>
      <c r="S343" s="1636"/>
      <c r="T343" s="1636"/>
      <c r="U343" s="1636"/>
      <c r="V343" s="1636"/>
      <c r="W343" s="1636"/>
      <c r="X343" s="1636"/>
      <c r="Y343" s="1636"/>
      <c r="Z343" s="1636"/>
      <c r="AA343" s="1636"/>
      <c r="AB343" s="1636"/>
      <c r="AC343" s="1636"/>
      <c r="AD343" s="1636"/>
      <c r="AE343" s="1636"/>
      <c r="AF343" s="1636"/>
      <c r="AG343" s="1636"/>
      <c r="AH343" s="1636">
        <v>0</v>
      </c>
    </row>
    <row s="1636" customFormat="1" customHeight="1" ht="18.75">
      <c r="A344" s="1824" t="s">
        <v>272</v>
      </c>
      <c r="B344" s="1824" t="s">
        <v>293</v>
      </c>
      <c r="C344" s="1688"/>
      <c r="D344" s="345"/>
      <c r="E344" s="1032"/>
      <c r="F344" s="1032"/>
      <c r="G344" s="2428" t="str">
        <f>INDEX(PT_DIFFERENTIATION_NTAR,MATCH(B344,PT_DIFFERENTIATION_NTAR_ID,0))</f>
        <v>Тарифы на горячую воду в открытых системах теплоснабжения (горячее водоснабжение), поставляемую потребителям. Муниципальный округ город Апатиты с подведомственной территорией Мурманской области. Для потребителей, подключенных к тепловым сетям АО "Апатитыэнерго"</v>
      </c>
      <c r="H344" s="2272"/>
      <c r="I344" s="1740"/>
      <c r="J344" s="1774"/>
      <c r="K344" s="1779"/>
      <c r="L344" s="2272" t="s">
        <v>436</v>
      </c>
      <c r="M344" s="2319"/>
      <c r="N344" s="619"/>
      <c r="O344" s="1625"/>
      <c r="P344" s="1625"/>
      <c r="Q344" s="1636"/>
      <c r="R344" s="1636"/>
      <c r="S344" s="1636"/>
      <c r="T344" s="1636"/>
      <c r="U344" s="1636"/>
      <c r="V344" s="1636"/>
      <c r="W344" s="1636"/>
      <c r="X344" s="1636"/>
      <c r="Y344" s="1636"/>
      <c r="Z344" s="1636"/>
      <c r="AA344" s="1636"/>
      <c r="AB344" s="1636"/>
      <c r="AC344" s="1636"/>
      <c r="AD344" s="1636"/>
      <c r="AE344" s="1636"/>
      <c r="AF344" s="1636"/>
      <c r="AG344" s="1636"/>
      <c r="AH344" s="1636">
        <v>0</v>
      </c>
    </row>
    <row s="1636" customFormat="1" customHeight="1" ht="18.75">
      <c r="A345" s="1824"/>
      <c r="B345" s="1824"/>
      <c r="C345" s="1688" t="s">
        <v>1285</v>
      </c>
      <c r="D345" s="345"/>
      <c r="E345" s="1032"/>
      <c r="F345" s="1032"/>
      <c r="G345" s="2428"/>
      <c r="H345" s="5148"/>
      <c r="I345" s="5149" t="s">
        <v>1284</v>
      </c>
      <c r="J345" s="5150"/>
      <c r="K345" s="5151"/>
      <c r="L345" s="5152"/>
      <c r="M345" s="2319"/>
      <c r="N345" s="619"/>
      <c r="O345" s="1625"/>
      <c r="P345" s="1625"/>
      <c r="Q345" s="1636"/>
      <c r="R345" s="1636"/>
      <c r="S345" s="1636"/>
      <c r="T345" s="1636"/>
      <c r="U345" s="1636"/>
      <c r="V345" s="1636"/>
      <c r="W345" s="1636"/>
      <c r="X345" s="1636"/>
      <c r="Y345" s="1636"/>
      <c r="Z345" s="1636"/>
      <c r="AA345" s="1636"/>
      <c r="AB345" s="1636"/>
      <c r="AC345" s="1636"/>
      <c r="AD345" s="1636"/>
      <c r="AE345" s="1636"/>
      <c r="AF345" s="1636"/>
      <c r="AG345" s="1636"/>
      <c r="AH345" s="1636">
        <v>0</v>
      </c>
    </row>
    <row s="1636" customFormat="1" customHeight="1" ht="18.75">
      <c r="A346" s="1824" t="s">
        <v>272</v>
      </c>
      <c r="B346" s="1824" t="s">
        <v>298</v>
      </c>
      <c r="C346" s="1688"/>
      <c r="D346" s="345"/>
      <c r="E346" s="1032"/>
      <c r="F346" s="1032"/>
      <c r="G346" s="2428" t="str">
        <f>INDEX(PT_DIFFERENTIATION_NTAR,MATCH(B346,PT_DIFFERENTIATION_NTAR_ID,0))</f>
        <v>Тарифы на горячую воду в открытых системах теплоснабжения (горячее водоснабжение), поставляемую потребителям. Муниципальный округ город Кировск с подведомственной территорией Мурманской области. Для потребителей в случае отсутствия дифференциации тарифов по схеме подключения</v>
      </c>
      <c r="H346" s="2272"/>
      <c r="I346" s="1740"/>
      <c r="J346" s="1774"/>
      <c r="K346" s="1779"/>
      <c r="L346" s="2272" t="s">
        <v>436</v>
      </c>
      <c r="M346" s="2319"/>
      <c r="N346" s="619"/>
      <c r="O346" s="1625"/>
      <c r="P346" s="1625"/>
      <c r="Q346" s="1636"/>
      <c r="R346" s="1636"/>
      <c r="S346" s="1636"/>
      <c r="T346" s="1636"/>
      <c r="U346" s="1636"/>
      <c r="V346" s="1636"/>
      <c r="W346" s="1636"/>
      <c r="X346" s="1636"/>
      <c r="Y346" s="1636"/>
      <c r="Z346" s="1636"/>
      <c r="AA346" s="1636"/>
      <c r="AB346" s="1636"/>
      <c r="AC346" s="1636"/>
      <c r="AD346" s="1636"/>
      <c r="AE346" s="1636"/>
      <c r="AF346" s="1636"/>
      <c r="AG346" s="1636"/>
      <c r="AH346" s="1636">
        <v>0</v>
      </c>
    </row>
    <row s="1636" customFormat="1" customHeight="1" ht="18.75">
      <c r="A347" s="1824"/>
      <c r="B347" s="1824"/>
      <c r="C347" s="1688" t="s">
        <v>1285</v>
      </c>
      <c r="D347" s="345"/>
      <c r="E347" s="1032"/>
      <c r="F347" s="1032"/>
      <c r="G347" s="2428"/>
      <c r="H347" s="5153"/>
      <c r="I347" s="5154" t="s">
        <v>1284</v>
      </c>
      <c r="J347" s="5155"/>
      <c r="K347" s="5156"/>
      <c r="L347" s="5157"/>
      <c r="M347" s="2319"/>
      <c r="N347" s="619"/>
      <c r="O347" s="1625"/>
      <c r="P347" s="1625"/>
      <c r="Q347" s="1636"/>
      <c r="R347" s="1636"/>
      <c r="S347" s="1636"/>
      <c r="T347" s="1636"/>
      <c r="U347" s="1636"/>
      <c r="V347" s="1636"/>
      <c r="W347" s="1636"/>
      <c r="X347" s="1636"/>
      <c r="Y347" s="1636"/>
      <c r="Z347" s="1636"/>
      <c r="AA347" s="1636"/>
      <c r="AB347" s="1636"/>
      <c r="AC347" s="1636"/>
      <c r="AD347" s="1636"/>
      <c r="AE347" s="1636"/>
      <c r="AF347" s="1636"/>
      <c r="AG347" s="1636"/>
      <c r="AH347" s="1636">
        <v>0</v>
      </c>
    </row>
    <row s="1636" customFormat="1" customHeight="1" ht="0.75" hidden="1">
      <c r="A348" s="1781"/>
      <c r="B348" s="1781"/>
      <c r="C348" s="370" t="s">
        <v>1292</v>
      </c>
      <c r="D348" s="2463"/>
      <c r="E348" s="2205"/>
      <c r="F348" s="2384"/>
      <c r="G348" s="401"/>
      <c r="H348" s="1501"/>
      <c r="I348" s="652"/>
      <c r="J348" s="572"/>
      <c r="K348" s="1501"/>
      <c r="L348" s="215"/>
      <c r="M348" s="342"/>
      <c r="N348" s="335"/>
      <c r="O348" s="1625"/>
      <c r="P348" s="1625"/>
      <c r="AH348" s="1632">
        <v>0</v>
      </c>
    </row>
    <row s="1636" customFormat="1" customHeight="1" ht="18.75" hidden="1">
      <c r="A349" s="1781" t="s">
        <v>303</v>
      </c>
      <c r="B349" s="1781" t="s">
        <v>304</v>
      </c>
      <c r="C349" s="370"/>
      <c r="D349" s="2463"/>
      <c r="E349" s="2205"/>
      <c r="F349" s="2384" t="str">
        <f>INDEX(PT_DIFFERENTIATION_VTAR,MATCH(A349,PT_DIFFERENTIATION_VTAR_ID,0))</f>
        <v>Тарифы на услуги по передаче тепловой энергии</v>
      </c>
      <c r="G349" s="2428" t="str">
        <f>INDEX(PT_DIFFERENTIATION_NTAR,MATCH(B349,PT_DIFFERENTIATION_NTAR_ID,0))</f>
        <v/>
      </c>
      <c r="H349" s="1863"/>
      <c r="I349" s="1740"/>
      <c r="J349" s="1774"/>
      <c r="K349" s="1779"/>
      <c r="L349" s="1863" t="s">
        <v>436</v>
      </c>
      <c r="M349" s="342"/>
      <c r="N349" s="335"/>
      <c r="O349" s="1625"/>
      <c r="P349" s="1625"/>
      <c r="AH349" s="1632">
        <v>0</v>
      </c>
    </row>
    <row s="1636" customFormat="1" customHeight="1" ht="18.75" hidden="1">
      <c r="A350" s="1781"/>
      <c r="B350" s="1781"/>
      <c r="C350" s="370" t="s">
        <v>1285</v>
      </c>
      <c r="D350" s="2463"/>
      <c r="E350" s="2205"/>
      <c r="F350" s="2384"/>
      <c r="G350" s="2428"/>
      <c r="H350" s="1501"/>
      <c r="I350" s="652" t="s">
        <v>1284</v>
      </c>
      <c r="J350" s="572"/>
      <c r="K350" s="1501"/>
      <c r="L350" s="215"/>
      <c r="M350" s="342"/>
      <c r="N350" s="335"/>
      <c r="O350" s="1625"/>
      <c r="P350" s="1625"/>
      <c r="AH350" s="1632">
        <v>0</v>
      </c>
    </row>
    <row s="1636" customFormat="1" customHeight="1" ht="0.75" hidden="1">
      <c r="A351" s="1781"/>
      <c r="B351" s="1781"/>
      <c r="C351" s="370" t="s">
        <v>1292</v>
      </c>
      <c r="D351" s="2463"/>
      <c r="E351" s="2205"/>
      <c r="F351" s="2384"/>
      <c r="G351" s="401"/>
      <c r="H351" s="1501"/>
      <c r="I351" s="652"/>
      <c r="J351" s="572"/>
      <c r="K351" s="1501"/>
      <c r="L351" s="215"/>
      <c r="M351" s="342"/>
      <c r="N351" s="335"/>
      <c r="O351" s="1625"/>
      <c r="P351" s="1625"/>
      <c r="AH351" s="1632">
        <v>0</v>
      </c>
    </row>
    <row s="1636" customFormat="1" customHeight="1" ht="18.75" hidden="1">
      <c r="A352" s="1781" t="s">
        <v>309</v>
      </c>
      <c r="B352" s="1781" t="s">
        <v>310</v>
      </c>
      <c r="C352" s="370"/>
      <c r="D352" s="2463"/>
      <c r="E352" s="2205"/>
      <c r="F352" s="2384" t="str">
        <f>INDEX(PT_DIFFERENTIATION_VTAR,MATCH(A352,PT_DIFFERENTIATION_VTAR_ID,0))</f>
        <v>Тарифы на услуги по передаче теплоносителя</v>
      </c>
      <c r="G352" s="2428" t="str">
        <f>INDEX(PT_DIFFERENTIATION_NTAR,MATCH(B352,PT_DIFFERENTIATION_NTAR_ID,0))</f>
        <v/>
      </c>
      <c r="H352" s="1863"/>
      <c r="I352" s="1740"/>
      <c r="J352" s="1774"/>
      <c r="K352" s="1779"/>
      <c r="L352" s="1863" t="s">
        <v>436</v>
      </c>
      <c r="M352" s="342"/>
      <c r="N352" s="335"/>
      <c r="O352" s="1625"/>
      <c r="P352" s="1625"/>
      <c r="AH352" s="1632">
        <v>0</v>
      </c>
    </row>
    <row s="1636" customFormat="1" customHeight="1" ht="18.75" hidden="1">
      <c r="A353" s="1781"/>
      <c r="B353" s="1781"/>
      <c r="C353" s="370" t="s">
        <v>1285</v>
      </c>
      <c r="D353" s="2463"/>
      <c r="E353" s="2205"/>
      <c r="F353" s="2384"/>
      <c r="G353" s="2428"/>
      <c r="H353" s="1501"/>
      <c r="I353" s="652" t="s">
        <v>1284</v>
      </c>
      <c r="J353" s="572"/>
      <c r="K353" s="1501"/>
      <c r="L353" s="215"/>
      <c r="M353" s="342"/>
      <c r="N353" s="335"/>
      <c r="O353" s="1625"/>
      <c r="P353" s="1625"/>
      <c r="AH353" s="1632">
        <v>0</v>
      </c>
    </row>
    <row s="1636" customFormat="1" customHeight="1" ht="0.75" hidden="1">
      <c r="A354" s="1781"/>
      <c r="B354" s="1781"/>
      <c r="C354" s="370" t="s">
        <v>1292</v>
      </c>
      <c r="D354" s="2463"/>
      <c r="E354" s="2205"/>
      <c r="F354" s="2384"/>
      <c r="G354" s="401"/>
      <c r="H354" s="1501"/>
      <c r="I354" s="652"/>
      <c r="J354" s="572"/>
      <c r="K354" s="1501"/>
      <c r="L354" s="215"/>
      <c r="M354" s="342"/>
      <c r="N354" s="335"/>
      <c r="O354" s="1625"/>
      <c r="P354" s="1625"/>
      <c r="AH354" s="1632">
        <v>0</v>
      </c>
    </row>
    <row s="1636" customFormat="1" customHeight="1" ht="18.75" hidden="1">
      <c r="A355" s="1781" t="s">
        <v>317</v>
      </c>
      <c r="B355" s="1781" t="s">
        <v>318</v>
      </c>
      <c r="C355" s="370"/>
      <c r="D355" s="2463"/>
      <c r="E355" s="2205"/>
      <c r="F355" s="2384" t="str">
        <f>INDEX(PT_DIFFERENTIATION_VTAR,MATCH(A355,PT_DIFFERENTIATION_VTAR_ID,0))</f>
        <v>Плата за услуги по поддержанию резервной тепловой мощности при отсутствии потребления тепловой энергии</v>
      </c>
      <c r="G355" s="2428" t="str">
        <f>INDEX(PT_DIFFERENTIATION_NTAR,MATCH(B355,PT_DIFFERENTIATION_NTAR_ID,0))</f>
        <v>Плата за услуги по поддержанию резервной тепловой мощности. </v>
      </c>
      <c r="H355" s="1863"/>
      <c r="I355" s="1740"/>
      <c r="J355" s="1774"/>
      <c r="K355" s="1779"/>
      <c r="L355" s="1863" t="s">
        <v>436</v>
      </c>
      <c r="M355" s="342"/>
      <c r="N355" s="335"/>
      <c r="O355" s="1625"/>
      <c r="P355" s="1625"/>
      <c r="AH355" s="1632">
        <v>0</v>
      </c>
    </row>
    <row s="1636" customFormat="1" customHeight="1" ht="18.75" hidden="1">
      <c r="A356" s="1781"/>
      <c r="B356" s="1781"/>
      <c r="C356" s="370" t="s">
        <v>1285</v>
      </c>
      <c r="D356" s="2463"/>
      <c r="E356" s="2205"/>
      <c r="F356" s="2384"/>
      <c r="G356" s="2428"/>
      <c r="H356" s="1501"/>
      <c r="I356" s="652" t="s">
        <v>1284</v>
      </c>
      <c r="J356" s="572"/>
      <c r="K356" s="1501"/>
      <c r="L356" s="215"/>
      <c r="M356" s="342"/>
      <c r="N356" s="335"/>
      <c r="O356" s="1625"/>
      <c r="P356" s="1625"/>
      <c r="AH356" s="1632">
        <v>0</v>
      </c>
    </row>
    <row s="1636" customFormat="1" customHeight="1" ht="0.75" hidden="1">
      <c r="A357" s="1781"/>
      <c r="B357" s="1781"/>
      <c r="C357" s="370" t="s">
        <v>1292</v>
      </c>
      <c r="D357" s="2463"/>
      <c r="E357" s="2205"/>
      <c r="F357" s="2384"/>
      <c r="G357" s="401"/>
      <c r="H357" s="1501"/>
      <c r="I357" s="652"/>
      <c r="J357" s="572"/>
      <c r="K357" s="1501"/>
      <c r="L357" s="215"/>
      <c r="M357" s="342"/>
      <c r="N357" s="335"/>
      <c r="O357" s="1625"/>
      <c r="P357" s="1625"/>
      <c r="AH357" s="1632">
        <v>0</v>
      </c>
    </row>
    <row s="1636" customFormat="1" customHeight="1" ht="18.75" hidden="1">
      <c r="A358" s="1781" t="s">
        <v>329</v>
      </c>
      <c r="B358" s="1781" t="s">
        <v>330</v>
      </c>
      <c r="C358" s="370"/>
      <c r="D358" s="2463"/>
      <c r="E358" s="2205"/>
      <c r="F358" s="2384" t="str">
        <f>INDEX(PT_DIFFERENTIATION_VTAR,MATCH(A358,PT_DIFFERENTIATION_VTAR_ID,0))</f>
        <v>Плата за подключение (технологическое присоединение) к системе теплоснабжения</v>
      </c>
      <c r="G358" s="2428" t="str">
        <f>INDEX(PT_DIFFERENTIATION_NTAR,MATCH(B358,PT_DIFFERENTIATION_NTAR_ID,0))</f>
        <v/>
      </c>
      <c r="H358" s="1863"/>
      <c r="I358" s="1740"/>
      <c r="J358" s="1774"/>
      <c r="K358" s="1779"/>
      <c r="L358" s="1863" t="s">
        <v>436</v>
      </c>
      <c r="M358" s="342"/>
      <c r="N358" s="335"/>
      <c r="O358" s="1625"/>
      <c r="P358" s="1625"/>
      <c r="AH358" s="1632">
        <v>0</v>
      </c>
    </row>
    <row s="1636" customFormat="1" customHeight="1" ht="18.75" hidden="1">
      <c r="A359" s="1781"/>
      <c r="B359" s="1781"/>
      <c r="C359" s="370" t="s">
        <v>1285</v>
      </c>
      <c r="D359" s="2463"/>
      <c r="E359" s="2205"/>
      <c r="F359" s="2384"/>
      <c r="G359" s="2428"/>
      <c r="H359" s="1501"/>
      <c r="I359" s="652" t="s">
        <v>1284</v>
      </c>
      <c r="J359" s="572"/>
      <c r="K359" s="1501"/>
      <c r="L359" s="215"/>
      <c r="M359" s="342"/>
      <c r="N359" s="335"/>
      <c r="O359" s="1625"/>
      <c r="P359" s="1625"/>
      <c r="AH359" s="1632">
        <v>0</v>
      </c>
    </row>
    <row s="1636" customFormat="1" customHeight="1" ht="0.75" hidden="1">
      <c r="A360" s="1781"/>
      <c r="B360" s="1781"/>
      <c r="C360" s="370" t="s">
        <v>1292</v>
      </c>
      <c r="D360" s="2463"/>
      <c r="E360" s="2205"/>
      <c r="F360" s="2384"/>
      <c r="G360" s="401"/>
      <c r="H360" s="1501"/>
      <c r="I360" s="652"/>
      <c r="J360" s="572"/>
      <c r="K360" s="1501"/>
      <c r="L360" s="215"/>
      <c r="M360" s="342"/>
      <c r="N360" s="335"/>
      <c r="O360" s="1625"/>
      <c r="P360" s="1625"/>
      <c r="AH360" s="1632">
        <v>0</v>
      </c>
    </row>
    <row s="1636" customFormat="1" customHeight="1" ht="18.75" hidden="1">
      <c r="A361" s="1781" t="s">
        <v>335</v>
      </c>
      <c r="B361" s="1781" t="s">
        <v>336</v>
      </c>
      <c r="C361" s="370"/>
      <c r="D361" s="2463"/>
      <c r="E361" s="2205"/>
      <c r="F361" s="2384" t="str">
        <f>INDEX(PT_DIFFERENTIATION_VTAR,MATCH(A361,PT_DIFFERENTIATION_VTAR_ID,0))</f>
        <v>Плата за подключение (технологическое присоединение) к системе теплоснабжения (индивидуальная)</v>
      </c>
      <c r="G361" s="2428" t="str">
        <f>INDEX(PT_DIFFERENTIATION_NTAR,MATCH(B361,PT_DIFFERENTIATION_NTAR_ID,0))</f>
        <v/>
      </c>
      <c r="H361" s="1990"/>
      <c r="I361" s="1740"/>
      <c r="J361" s="1774"/>
      <c r="K361" s="1779"/>
      <c r="L361" s="1990" t="s">
        <v>436</v>
      </c>
      <c r="M361" s="342"/>
      <c r="N361" s="335"/>
      <c r="O361" s="1625"/>
      <c r="P361" s="1625"/>
      <c r="AH361" s="1632">
        <v>0</v>
      </c>
    </row>
    <row s="1636" customFormat="1" customHeight="1" ht="18.75" hidden="1">
      <c r="A362" s="1781"/>
      <c r="B362" s="1781"/>
      <c r="C362" s="370" t="s">
        <v>1285</v>
      </c>
      <c r="D362" s="2463"/>
      <c r="E362" s="2205"/>
      <c r="F362" s="2384"/>
      <c r="G362" s="2428"/>
      <c r="H362" s="1501"/>
      <c r="I362" s="652" t="s">
        <v>1284</v>
      </c>
      <c r="J362" s="572"/>
      <c r="K362" s="1501"/>
      <c r="L362" s="215"/>
      <c r="M362" s="342"/>
      <c r="N362" s="335"/>
      <c r="O362" s="1625"/>
      <c r="P362" s="1625"/>
      <c r="AH362" s="1632">
        <v>0</v>
      </c>
    </row>
    <row s="1636" customFormat="1" customHeight="1" ht="0.75" hidden="1">
      <c r="A363" s="1781"/>
      <c r="B363" s="1781"/>
      <c r="C363" s="370" t="s">
        <v>1292</v>
      </c>
      <c r="D363" s="2463"/>
      <c r="E363" s="2205"/>
      <c r="F363" s="2384"/>
      <c r="G363" s="401"/>
      <c r="H363" s="1501"/>
      <c r="I363" s="652"/>
      <c r="J363" s="572"/>
      <c r="K363" s="1501"/>
      <c r="L363" s="215"/>
      <c r="M363" s="342"/>
      <c r="N363" s="335"/>
      <c r="O363" s="1625"/>
      <c r="P363" s="1625"/>
      <c r="AH363" s="1632">
        <v>0</v>
      </c>
    </row>
    <row s="1636" customFormat="1" customHeight="1" ht="18.75" hidden="1">
      <c r="A364" s="1781" t="s">
        <v>355</v>
      </c>
      <c r="B364" s="1781" t="s">
        <v>356</v>
      </c>
      <c r="C364" s="370"/>
      <c r="D364" s="2463"/>
      <c r="E364" s="2205"/>
      <c r="F364" s="2384" t="str">
        <f>INDEX(PT_DIFFERENTIATION_VTAR,MATCH(A364,PT_DIFFERENTIATION_VTAR_ID,0))</f>
        <v>Тариф на питьевую воду (питьевое водоснабжение)</v>
      </c>
      <c r="G364" s="2428" t="str">
        <f>INDEX(PT_DIFFERENTIATION_NTAR,MATCH(B364,PT_DIFFERENTIATION_NTAR_ID,0))</f>
        <v/>
      </c>
      <c r="H364" s="1863"/>
      <c r="I364" s="1740"/>
      <c r="J364" s="1774"/>
      <c r="K364" s="1779"/>
      <c r="L364" s="1863" t="s">
        <v>436</v>
      </c>
      <c r="M364" s="342"/>
      <c r="N364" s="335"/>
      <c r="O364" s="1625"/>
      <c r="P364" s="1625"/>
      <c r="AH364" s="1632">
        <v>0</v>
      </c>
    </row>
    <row s="1636" customFormat="1" customHeight="1" ht="18.75" hidden="1">
      <c r="A365" s="1781"/>
      <c r="B365" s="1781"/>
      <c r="C365" s="370" t="s">
        <v>1285</v>
      </c>
      <c r="D365" s="2463"/>
      <c r="E365" s="2205"/>
      <c r="F365" s="2384"/>
      <c r="G365" s="2428"/>
      <c r="H365" s="1501"/>
      <c r="I365" s="652" t="s">
        <v>1284</v>
      </c>
      <c r="J365" s="572"/>
      <c r="K365" s="1501"/>
      <c r="L365" s="215"/>
      <c r="M365" s="342"/>
      <c r="N365" s="335"/>
      <c r="O365" s="1625"/>
      <c r="P365" s="1625"/>
      <c r="AH365" s="1632">
        <v>0</v>
      </c>
    </row>
    <row s="1636" customFormat="1" customHeight="1" ht="0.75" hidden="1">
      <c r="A366" s="1781"/>
      <c r="B366" s="1781"/>
      <c r="C366" s="370" t="s">
        <v>1292</v>
      </c>
      <c r="D366" s="2463"/>
      <c r="E366" s="2205"/>
      <c r="F366" s="2384"/>
      <c r="G366" s="401"/>
      <c r="H366" s="1501"/>
      <c r="I366" s="652"/>
      <c r="J366" s="572"/>
      <c r="K366" s="1501"/>
      <c r="L366" s="215"/>
      <c r="M366" s="342"/>
      <c r="N366" s="335"/>
      <c r="O366" s="1625"/>
      <c r="P366" s="1625"/>
      <c r="AH366" s="1632">
        <v>0</v>
      </c>
    </row>
    <row s="1636" customFormat="1" customHeight="1" ht="18.75" hidden="1">
      <c r="A367" s="1781" t="s">
        <v>360</v>
      </c>
      <c r="B367" s="1781" t="s">
        <v>361</v>
      </c>
      <c r="C367" s="370"/>
      <c r="D367" s="2463"/>
      <c r="E367" s="2205"/>
      <c r="F367" s="2384" t="str">
        <f>INDEX(PT_DIFFERENTIATION_VTAR,MATCH(A367,PT_DIFFERENTIATION_VTAR_ID,0))</f>
        <v>Тариф на техническую воду</v>
      </c>
      <c r="G367" s="2428" t="str">
        <f>INDEX(PT_DIFFERENTIATION_NTAR,MATCH(B367,PT_DIFFERENTIATION_NTAR_ID,0))</f>
        <v/>
      </c>
      <c r="H367" s="1863"/>
      <c r="I367" s="1740"/>
      <c r="J367" s="1774"/>
      <c r="K367" s="1779"/>
      <c r="L367" s="1863" t="s">
        <v>436</v>
      </c>
      <c r="M367" s="342"/>
      <c r="N367" s="335"/>
      <c r="O367" s="1625"/>
      <c r="P367" s="1625"/>
      <c r="AH367" s="1632">
        <v>0</v>
      </c>
    </row>
    <row s="1636" customFormat="1" customHeight="1" ht="18.75" hidden="1">
      <c r="A368" s="1781"/>
      <c r="B368" s="1781"/>
      <c r="C368" s="370" t="s">
        <v>1285</v>
      </c>
      <c r="D368" s="2463"/>
      <c r="E368" s="2205"/>
      <c r="F368" s="2384"/>
      <c r="G368" s="2428"/>
      <c r="H368" s="1501"/>
      <c r="I368" s="652" t="s">
        <v>1284</v>
      </c>
      <c r="J368" s="572"/>
      <c r="K368" s="1501"/>
      <c r="L368" s="215"/>
      <c r="M368" s="342"/>
      <c r="N368" s="335"/>
      <c r="O368" s="1625"/>
      <c r="P368" s="1625"/>
      <c r="AH368" s="1632">
        <v>0</v>
      </c>
    </row>
    <row s="1636" customFormat="1" customHeight="1" ht="0.75" hidden="1">
      <c r="A369" s="1781"/>
      <c r="B369" s="1781"/>
      <c r="C369" s="370" t="s">
        <v>1292</v>
      </c>
      <c r="D369" s="2463"/>
      <c r="E369" s="2205"/>
      <c r="F369" s="2384"/>
      <c r="G369" s="401"/>
      <c r="H369" s="1501"/>
      <c r="I369" s="652"/>
      <c r="J369" s="572"/>
      <c r="K369" s="1501"/>
      <c r="L369" s="215"/>
      <c r="M369" s="342"/>
      <c r="N369" s="335"/>
      <c r="O369" s="1625"/>
      <c r="P369" s="1625"/>
      <c r="AH369" s="1632">
        <v>0</v>
      </c>
    </row>
    <row s="1636" customFormat="1" customHeight="1" ht="18.75" hidden="1">
      <c r="A370" s="1781" t="s">
        <v>365</v>
      </c>
      <c r="B370" s="1781" t="s">
        <v>366</v>
      </c>
      <c r="C370" s="370"/>
      <c r="D370" s="2463"/>
      <c r="E370" s="2205"/>
      <c r="F370" s="2384" t="str">
        <f>INDEX(PT_DIFFERENTIATION_VTAR,MATCH(A370,PT_DIFFERENTIATION_VTAR_ID,0))</f>
        <v>Тариф на транспортировку воды</v>
      </c>
      <c r="G370" s="2428" t="str">
        <f>INDEX(PT_DIFFERENTIATION_NTAR,MATCH(B370,PT_DIFFERENTIATION_NTAR_ID,0))</f>
        <v/>
      </c>
      <c r="H370" s="1863"/>
      <c r="I370" s="1740"/>
      <c r="J370" s="1774"/>
      <c r="K370" s="1779"/>
      <c r="L370" s="1863" t="s">
        <v>436</v>
      </c>
      <c r="M370" s="342"/>
      <c r="N370" s="335"/>
      <c r="O370" s="1625"/>
      <c r="P370" s="1625"/>
      <c r="AH370" s="1632">
        <v>0</v>
      </c>
    </row>
    <row s="1636" customFormat="1" customHeight="1" ht="18.75" hidden="1">
      <c r="A371" s="1781"/>
      <c r="B371" s="1781"/>
      <c r="C371" s="370" t="s">
        <v>1285</v>
      </c>
      <c r="D371" s="2463"/>
      <c r="E371" s="2205"/>
      <c r="F371" s="2384"/>
      <c r="G371" s="2428"/>
      <c r="H371" s="1501"/>
      <c r="I371" s="652" t="s">
        <v>1284</v>
      </c>
      <c r="J371" s="572"/>
      <c r="K371" s="1501"/>
      <c r="L371" s="215"/>
      <c r="M371" s="342"/>
      <c r="N371" s="335"/>
      <c r="O371" s="1625"/>
      <c r="P371" s="1625"/>
      <c r="AH371" s="1632">
        <v>0</v>
      </c>
    </row>
    <row s="1636" customFormat="1" customHeight="1" ht="0.75" hidden="1">
      <c r="A372" s="1781"/>
      <c r="B372" s="1781"/>
      <c r="C372" s="370" t="s">
        <v>1292</v>
      </c>
      <c r="D372" s="2463"/>
      <c r="E372" s="2205"/>
      <c r="F372" s="2384"/>
      <c r="G372" s="401"/>
      <c r="H372" s="1501"/>
      <c r="I372" s="652"/>
      <c r="J372" s="572"/>
      <c r="K372" s="1501"/>
      <c r="L372" s="215"/>
      <c r="M372" s="342"/>
      <c r="N372" s="335"/>
      <c r="O372" s="1625"/>
      <c r="P372" s="1625"/>
      <c r="AH372" s="1632">
        <v>0</v>
      </c>
    </row>
    <row s="1636" customFormat="1" customHeight="1" ht="18.75" hidden="1">
      <c r="A373" s="1781" t="s">
        <v>370</v>
      </c>
      <c r="B373" s="1781" t="s">
        <v>371</v>
      </c>
      <c r="C373" s="370"/>
      <c r="D373" s="2463"/>
      <c r="E373" s="2205"/>
      <c r="F373" s="2384" t="str">
        <f>INDEX(PT_DIFFERENTIATION_VTAR,MATCH(A373,PT_DIFFERENTIATION_VTAR_ID,0))</f>
        <v>Тариф на подвоз воды</v>
      </c>
      <c r="G373" s="2428" t="str">
        <f>INDEX(PT_DIFFERENTIATION_NTAR,MATCH(B373,PT_DIFFERENTIATION_NTAR_ID,0))</f>
        <v/>
      </c>
      <c r="H373" s="1863"/>
      <c r="I373" s="1740"/>
      <c r="J373" s="1774"/>
      <c r="K373" s="1779"/>
      <c r="L373" s="1863" t="s">
        <v>436</v>
      </c>
      <c r="M373" s="342"/>
      <c r="N373" s="335"/>
      <c r="O373" s="1625"/>
      <c r="P373" s="1625"/>
      <c r="AH373" s="1632">
        <v>0</v>
      </c>
    </row>
    <row s="1636" customFormat="1" customHeight="1" ht="18.75" hidden="1">
      <c r="A374" s="1781"/>
      <c r="B374" s="1781"/>
      <c r="C374" s="370" t="s">
        <v>1285</v>
      </c>
      <c r="D374" s="2463"/>
      <c r="E374" s="2205"/>
      <c r="F374" s="2384"/>
      <c r="G374" s="2428"/>
      <c r="H374" s="1501"/>
      <c r="I374" s="652" t="s">
        <v>1284</v>
      </c>
      <c r="J374" s="572"/>
      <c r="K374" s="1501"/>
      <c r="L374" s="215"/>
      <c r="M374" s="342"/>
      <c r="N374" s="335"/>
      <c r="O374" s="1625"/>
      <c r="P374" s="1625"/>
      <c r="AH374" s="1632">
        <v>0</v>
      </c>
    </row>
    <row s="1636" customFormat="1" customHeight="1" ht="0.75" hidden="1">
      <c r="A375" s="1781"/>
      <c r="B375" s="1781"/>
      <c r="C375" s="370" t="s">
        <v>1292</v>
      </c>
      <c r="D375" s="2463"/>
      <c r="E375" s="2205"/>
      <c r="F375" s="2384"/>
      <c r="G375" s="401"/>
      <c r="H375" s="1501"/>
      <c r="I375" s="652"/>
      <c r="J375" s="572"/>
      <c r="K375" s="1501"/>
      <c r="L375" s="215"/>
      <c r="M375" s="342"/>
      <c r="N375" s="335"/>
      <c r="O375" s="1625"/>
      <c r="P375" s="1625"/>
      <c r="AH375" s="1632">
        <v>0</v>
      </c>
    </row>
    <row s="1636" customFormat="1" customHeight="1" ht="18.75" hidden="1">
      <c r="A376" s="1781" t="s">
        <v>375</v>
      </c>
      <c r="B376" s="1781" t="s">
        <v>376</v>
      </c>
      <c r="C376" s="370"/>
      <c r="D376" s="2463"/>
      <c r="E376" s="2205"/>
      <c r="F376" s="2384" t="str">
        <f>INDEX(PT_DIFFERENTIATION_VTAR,MATCH(A376,PT_DIFFERENTIATION_VTAR_ID,0))</f>
        <v>Тариф на подключение (технологическое присоединение) к централизованной системе холодного водоснабжения</v>
      </c>
      <c r="G376" s="2428" t="str">
        <f>INDEX(PT_DIFFERENTIATION_NTAR,MATCH(B376,PT_DIFFERENTIATION_NTAR_ID,0))</f>
        <v/>
      </c>
      <c r="H376" s="1863"/>
      <c r="I376" s="1740"/>
      <c r="J376" s="1774"/>
      <c r="K376" s="1779"/>
      <c r="L376" s="1863" t="s">
        <v>436</v>
      </c>
      <c r="M376" s="342"/>
      <c r="N376" s="335"/>
      <c r="O376" s="1625"/>
      <c r="P376" s="1625"/>
      <c r="AH376" s="1632">
        <v>0</v>
      </c>
    </row>
    <row s="1636" customFormat="1" customHeight="1" ht="18.75" hidden="1">
      <c r="A377" s="1781"/>
      <c r="B377" s="1781"/>
      <c r="C377" s="370" t="s">
        <v>1285</v>
      </c>
      <c r="D377" s="2463"/>
      <c r="E377" s="2205"/>
      <c r="F377" s="2384"/>
      <c r="G377" s="2428"/>
      <c r="H377" s="1501"/>
      <c r="I377" s="652" t="s">
        <v>1284</v>
      </c>
      <c r="J377" s="572"/>
      <c r="K377" s="1501"/>
      <c r="L377" s="215"/>
      <c r="M377" s="342"/>
      <c r="N377" s="335"/>
      <c r="O377" s="1625"/>
      <c r="P377" s="1625"/>
      <c r="AH377" s="1632">
        <v>0</v>
      </c>
    </row>
    <row s="1636" customFormat="1" customHeight="1" ht="0.75" hidden="1">
      <c r="A378" s="1781"/>
      <c r="B378" s="1781"/>
      <c r="C378" s="370" t="s">
        <v>1292</v>
      </c>
      <c r="D378" s="2463"/>
      <c r="E378" s="2205"/>
      <c r="F378" s="2384"/>
      <c r="G378" s="401"/>
      <c r="H378" s="1501"/>
      <c r="I378" s="652"/>
      <c r="J378" s="572"/>
      <c r="K378" s="1501"/>
      <c r="L378" s="215"/>
      <c r="M378" s="342"/>
      <c r="N378" s="335"/>
      <c r="O378" s="1625"/>
      <c r="P378" s="1625"/>
      <c r="AH378" s="1632">
        <v>0</v>
      </c>
    </row>
    <row s="1636" customFormat="1" customHeight="1" ht="18.75" hidden="1">
      <c r="A379" s="1781" t="s">
        <v>380</v>
      </c>
      <c r="B379" s="1781" t="s">
        <v>381</v>
      </c>
      <c r="C379" s="370"/>
      <c r="D379" s="2463"/>
      <c r="E379" s="2205"/>
      <c r="F379" s="2384" t="str">
        <f>INDEX(PT_DIFFERENTIATION_VTAR,MATCH(A379,PT_DIFFERENTIATION_VTAR_ID,0))</f>
        <v>Тариф на горячую воду (горячее водоснабжение)</v>
      </c>
      <c r="G379" s="2428" t="str">
        <f>INDEX(PT_DIFFERENTIATION_NTAR,MATCH(B379,PT_DIFFERENTIATION_NTAR_ID,0))</f>
        <v/>
      </c>
      <c r="H379" s="1863"/>
      <c r="I379" s="1740"/>
      <c r="J379" s="1774"/>
      <c r="K379" s="1779"/>
      <c r="L379" s="1863" t="s">
        <v>436</v>
      </c>
      <c r="M379" s="342"/>
      <c r="N379" s="335"/>
      <c r="O379" s="1625"/>
      <c r="P379" s="1625"/>
      <c r="AH379" s="1632">
        <v>0</v>
      </c>
    </row>
    <row s="1636" customFormat="1" customHeight="1" ht="18.75" hidden="1">
      <c r="A380" s="1781"/>
      <c r="B380" s="1781"/>
      <c r="C380" s="370" t="s">
        <v>1285</v>
      </c>
      <c r="D380" s="2463"/>
      <c r="E380" s="2205"/>
      <c r="F380" s="2384"/>
      <c r="G380" s="2428"/>
      <c r="H380" s="1501"/>
      <c r="I380" s="652" t="s">
        <v>1284</v>
      </c>
      <c r="J380" s="572"/>
      <c r="K380" s="1501"/>
      <c r="L380" s="215"/>
      <c r="M380" s="342"/>
      <c r="N380" s="335"/>
      <c r="O380" s="1625"/>
      <c r="P380" s="1625"/>
      <c r="AH380" s="1632">
        <v>0</v>
      </c>
    </row>
    <row s="1636" customFormat="1" customHeight="1" ht="0.75" hidden="1">
      <c r="A381" s="1781"/>
      <c r="B381" s="1781"/>
      <c r="C381" s="370" t="s">
        <v>1292</v>
      </c>
      <c r="D381" s="2463"/>
      <c r="E381" s="2205"/>
      <c r="F381" s="2384"/>
      <c r="G381" s="401"/>
      <c r="H381" s="1501"/>
      <c r="I381" s="652"/>
      <c r="J381" s="572"/>
      <c r="K381" s="1501"/>
      <c r="L381" s="215"/>
      <c r="M381" s="342"/>
      <c r="N381" s="335"/>
      <c r="O381" s="1625"/>
      <c r="P381" s="1625"/>
      <c r="AH381" s="1632">
        <v>0</v>
      </c>
    </row>
    <row s="1636" customFormat="1" customHeight="1" ht="18.75" hidden="1">
      <c r="A382" s="1781" t="s">
        <v>385</v>
      </c>
      <c r="B382" s="1781" t="s">
        <v>386</v>
      </c>
      <c r="C382" s="370"/>
      <c r="D382" s="2463"/>
      <c r="E382" s="2205"/>
      <c r="F382" s="2384" t="str">
        <f>INDEX(PT_DIFFERENTIATION_VTAR,MATCH(A382,PT_DIFFERENTIATION_VTAR_ID,0))</f>
        <v>Тариф на транспортировку горячей воды</v>
      </c>
      <c r="G382" s="2428" t="str">
        <f>INDEX(PT_DIFFERENTIATION_NTAR,MATCH(B382,PT_DIFFERENTIATION_NTAR_ID,0))</f>
        <v/>
      </c>
      <c r="H382" s="1863"/>
      <c r="I382" s="1740"/>
      <c r="J382" s="1774"/>
      <c r="K382" s="1779"/>
      <c r="L382" s="1863" t="s">
        <v>436</v>
      </c>
      <c r="M382" s="342"/>
      <c r="N382" s="335"/>
      <c r="O382" s="1625"/>
      <c r="P382" s="1625"/>
      <c r="AH382" s="1632">
        <v>0</v>
      </c>
    </row>
    <row s="1636" customFormat="1" customHeight="1" ht="18.75" hidden="1">
      <c r="A383" s="1781"/>
      <c r="B383" s="1781"/>
      <c r="C383" s="370" t="s">
        <v>1285</v>
      </c>
      <c r="D383" s="2463"/>
      <c r="E383" s="2205"/>
      <c r="F383" s="2384"/>
      <c r="G383" s="2428"/>
      <c r="H383" s="1501"/>
      <c r="I383" s="652" t="s">
        <v>1284</v>
      </c>
      <c r="J383" s="572"/>
      <c r="K383" s="1501"/>
      <c r="L383" s="215"/>
      <c r="M383" s="342"/>
      <c r="N383" s="335"/>
      <c r="O383" s="1625"/>
      <c r="P383" s="1625"/>
      <c r="AH383" s="1632">
        <v>0</v>
      </c>
    </row>
    <row s="1636" customFormat="1" customHeight="1" ht="0.75" hidden="1">
      <c r="A384" s="1781"/>
      <c r="B384" s="1781"/>
      <c r="C384" s="370" t="s">
        <v>1292</v>
      </c>
      <c r="D384" s="2463"/>
      <c r="E384" s="2205"/>
      <c r="F384" s="2384"/>
      <c r="G384" s="401"/>
      <c r="H384" s="1501"/>
      <c r="I384" s="652"/>
      <c r="J384" s="572"/>
      <c r="K384" s="1501"/>
      <c r="L384" s="215"/>
      <c r="M384" s="342"/>
      <c r="N384" s="335"/>
      <c r="O384" s="1625"/>
      <c r="P384" s="1625"/>
      <c r="AH384" s="1632">
        <v>0</v>
      </c>
    </row>
    <row s="1636" customFormat="1" customHeight="1" ht="18.75" hidden="1">
      <c r="A385" s="1781" t="s">
        <v>390</v>
      </c>
      <c r="B385" s="1781" t="s">
        <v>391</v>
      </c>
      <c r="C385" s="370"/>
      <c r="D385" s="2463"/>
      <c r="E385" s="2205"/>
      <c r="F385" s="2384" t="str">
        <f>INDEX(PT_DIFFERENTIATION_VTAR,MATCH(A385,PT_DIFFERENTIATION_VTAR_ID,0))</f>
        <v>Тариф на подключение (технологическое присоединение) к централизованной системе горячего водоснабжения</v>
      </c>
      <c r="G385" s="2428" t="str">
        <f>INDEX(PT_DIFFERENTIATION_NTAR,MATCH(B385,PT_DIFFERENTIATION_NTAR_ID,0))</f>
        <v/>
      </c>
      <c r="H385" s="1863"/>
      <c r="I385" s="1740"/>
      <c r="J385" s="1774"/>
      <c r="K385" s="1779"/>
      <c r="L385" s="1863" t="s">
        <v>436</v>
      </c>
      <c r="M385" s="342"/>
      <c r="N385" s="335"/>
      <c r="O385" s="1625"/>
      <c r="P385" s="1625"/>
      <c r="AH385" s="1632">
        <v>0</v>
      </c>
    </row>
    <row s="1636" customFormat="1" customHeight="1" ht="18.75" hidden="1">
      <c r="A386" s="1781"/>
      <c r="B386" s="1781"/>
      <c r="C386" s="370" t="s">
        <v>1285</v>
      </c>
      <c r="D386" s="2463"/>
      <c r="E386" s="2205"/>
      <c r="F386" s="2384"/>
      <c r="G386" s="2428"/>
      <c r="H386" s="1501"/>
      <c r="I386" s="652" t="s">
        <v>1284</v>
      </c>
      <c r="J386" s="572"/>
      <c r="K386" s="1501"/>
      <c r="L386" s="215"/>
      <c r="M386" s="342"/>
      <c r="N386" s="335"/>
      <c r="O386" s="1625"/>
      <c r="P386" s="1625"/>
      <c r="AH386" s="1632">
        <v>0</v>
      </c>
    </row>
    <row s="1636" customFormat="1" customHeight="1" ht="0.75" hidden="1">
      <c r="A387" s="1781"/>
      <c r="B387" s="1781"/>
      <c r="C387" s="370" t="s">
        <v>1292</v>
      </c>
      <c r="D387" s="2463"/>
      <c r="E387" s="2205"/>
      <c r="F387" s="2384"/>
      <c r="G387" s="401"/>
      <c r="H387" s="1501"/>
      <c r="I387" s="652"/>
      <c r="J387" s="572"/>
      <c r="K387" s="1501"/>
      <c r="L387" s="215"/>
      <c r="M387" s="342"/>
      <c r="N387" s="335"/>
      <c r="O387" s="1625"/>
      <c r="P387" s="1625"/>
      <c r="AH387" s="1632">
        <v>0</v>
      </c>
    </row>
    <row s="1636" customFormat="1" customHeight="1" ht="18.75" hidden="1">
      <c r="A388" s="1781" t="s">
        <v>395</v>
      </c>
      <c r="B388" s="1781" t="s">
        <v>396</v>
      </c>
      <c r="C388" s="370"/>
      <c r="D388" s="2463"/>
      <c r="E388" s="2205"/>
      <c r="F388" s="2384" t="str">
        <f>INDEX(PT_DIFFERENTIATION_VTAR,MATCH(A388,PT_DIFFERENTIATION_VTAR_ID,0))</f>
        <v>Тариф на водоотведение</v>
      </c>
      <c r="G388" s="2428" t="str">
        <f>INDEX(PT_DIFFERENTIATION_NTAR,MATCH(B388,PT_DIFFERENTIATION_NTAR_ID,0))</f>
        <v/>
      </c>
      <c r="H388" s="1863"/>
      <c r="I388" s="1740"/>
      <c r="J388" s="1774"/>
      <c r="K388" s="1779"/>
      <c r="L388" s="1863" t="s">
        <v>436</v>
      </c>
      <c r="M388" s="342"/>
      <c r="N388" s="335"/>
      <c r="O388" s="1625"/>
      <c r="P388" s="1625"/>
      <c r="AH388" s="1632">
        <v>0</v>
      </c>
    </row>
    <row s="1636" customFormat="1" customHeight="1" ht="18.75" hidden="1">
      <c r="A389" s="1781"/>
      <c r="B389" s="1781"/>
      <c r="C389" s="370" t="s">
        <v>1285</v>
      </c>
      <c r="D389" s="2463"/>
      <c r="E389" s="2205"/>
      <c r="F389" s="2384"/>
      <c r="G389" s="2428"/>
      <c r="H389" s="1501"/>
      <c r="I389" s="652" t="s">
        <v>1284</v>
      </c>
      <c r="J389" s="572"/>
      <c r="K389" s="1501"/>
      <c r="L389" s="215"/>
      <c r="M389" s="342"/>
      <c r="N389" s="335"/>
      <c r="O389" s="1625"/>
      <c r="P389" s="1625"/>
      <c r="AH389" s="1632">
        <v>0</v>
      </c>
    </row>
    <row s="1636" customFormat="1" customHeight="1" ht="0.75" hidden="1">
      <c r="A390" s="1781"/>
      <c r="B390" s="1781"/>
      <c r="C390" s="370" t="s">
        <v>1292</v>
      </c>
      <c r="D390" s="2463"/>
      <c r="E390" s="2205"/>
      <c r="F390" s="2384"/>
      <c r="G390" s="401"/>
      <c r="H390" s="1501"/>
      <c r="I390" s="652"/>
      <c r="J390" s="572"/>
      <c r="K390" s="1501"/>
      <c r="L390" s="215"/>
      <c r="M390" s="342"/>
      <c r="N390" s="335"/>
      <c r="O390" s="1625"/>
      <c r="P390" s="1625"/>
      <c r="AH390" s="1632">
        <v>0</v>
      </c>
    </row>
    <row s="1636" customFormat="1" customHeight="1" ht="18.75" hidden="1">
      <c r="A391" s="1781" t="s">
        <v>400</v>
      </c>
      <c r="B391" s="1781" t="s">
        <v>401</v>
      </c>
      <c r="C391" s="370"/>
      <c r="D391" s="2463"/>
      <c r="E391" s="2205"/>
      <c r="F391" s="2384" t="str">
        <f>INDEX(PT_DIFFERENTIATION_VTAR,MATCH(A391,PT_DIFFERENTIATION_VTAR_ID,0))</f>
        <v>Тариф на транспортировку сточных вод</v>
      </c>
      <c r="G391" s="2428" t="str">
        <f>INDEX(PT_DIFFERENTIATION_NTAR,MATCH(B391,PT_DIFFERENTIATION_NTAR_ID,0))</f>
        <v/>
      </c>
      <c r="H391" s="1863"/>
      <c r="I391" s="1740"/>
      <c r="J391" s="1774"/>
      <c r="K391" s="1779"/>
      <c r="L391" s="1863" t="s">
        <v>436</v>
      </c>
      <c r="M391" s="342"/>
      <c r="N391" s="335"/>
      <c r="O391" s="1625"/>
      <c r="P391" s="1625"/>
      <c r="AH391" s="1632">
        <v>0</v>
      </c>
    </row>
    <row s="1636" customFormat="1" customHeight="1" ht="18.75" hidden="1">
      <c r="A392" s="1781"/>
      <c r="B392" s="1781"/>
      <c r="C392" s="370" t="s">
        <v>1285</v>
      </c>
      <c r="D392" s="2463"/>
      <c r="E392" s="2205"/>
      <c r="F392" s="2384"/>
      <c r="G392" s="2428"/>
      <c r="H392" s="1501"/>
      <c r="I392" s="652" t="s">
        <v>1284</v>
      </c>
      <c r="J392" s="572"/>
      <c r="K392" s="1501"/>
      <c r="L392" s="215"/>
      <c r="M392" s="342"/>
      <c r="N392" s="335"/>
      <c r="O392" s="1625"/>
      <c r="P392" s="1625"/>
      <c r="AH392" s="1632">
        <v>0</v>
      </c>
    </row>
    <row s="1636" customFormat="1" customHeight="1" ht="0.75" hidden="1">
      <c r="A393" s="1781"/>
      <c r="B393" s="1781"/>
      <c r="C393" s="370" t="s">
        <v>1292</v>
      </c>
      <c r="D393" s="2463"/>
      <c r="E393" s="2205"/>
      <c r="F393" s="2384"/>
      <c r="G393" s="401"/>
      <c r="H393" s="1501"/>
      <c r="I393" s="652"/>
      <c r="J393" s="572"/>
      <c r="K393" s="1501"/>
      <c r="L393" s="215"/>
      <c r="M393" s="342"/>
      <c r="N393" s="335"/>
      <c r="O393" s="1625"/>
      <c r="P393" s="1625"/>
      <c r="AH393" s="1632">
        <v>0</v>
      </c>
    </row>
    <row s="1636" customFormat="1" customHeight="1" ht="18.75" hidden="1">
      <c r="A394" s="1781" t="s">
        <v>405</v>
      </c>
      <c r="B394" s="1781" t="s">
        <v>406</v>
      </c>
      <c r="C394" s="370"/>
      <c r="D394" s="2463"/>
      <c r="E394" s="2205"/>
      <c r="F394" s="2384" t="str">
        <f>INDEX(PT_DIFFERENTIATION_VTAR,MATCH(A394,PT_DIFFERENTIATION_VTAR_ID,0))</f>
        <v>Тариф на подключение (технологическое присоединение) к централизованной системе водоотведения</v>
      </c>
      <c r="G394" s="2428" t="str">
        <f>INDEX(PT_DIFFERENTIATION_NTAR,MATCH(B394,PT_DIFFERENTIATION_NTAR_ID,0))</f>
        <v/>
      </c>
      <c r="H394" s="1863"/>
      <c r="I394" s="1740"/>
      <c r="J394" s="1774"/>
      <c r="K394" s="1779"/>
      <c r="L394" s="1863" t="s">
        <v>436</v>
      </c>
      <c r="M394" s="342"/>
      <c r="N394" s="335"/>
      <c r="O394" s="1625"/>
      <c r="P394" s="1625"/>
      <c r="AH394" s="1632">
        <v>0</v>
      </c>
    </row>
    <row s="1636" customFormat="1" customHeight="1" ht="18.75" hidden="1">
      <c r="A395" s="1781"/>
      <c r="B395" s="1781"/>
      <c r="C395" s="370" t="s">
        <v>1285</v>
      </c>
      <c r="D395" s="2463"/>
      <c r="E395" s="2205"/>
      <c r="F395" s="2384"/>
      <c r="G395" s="2428"/>
      <c r="H395" s="1501"/>
      <c r="I395" s="652" t="s">
        <v>1284</v>
      </c>
      <c r="J395" s="572"/>
      <c r="K395" s="1501"/>
      <c r="L395" s="215"/>
      <c r="M395" s="342"/>
      <c r="N395" s="335"/>
      <c r="O395" s="1625"/>
      <c r="P395" s="1625"/>
      <c r="AH395" s="1632">
        <v>0</v>
      </c>
    </row>
    <row s="1636" customFormat="1" customHeight="1" ht="1.05">
      <c r="A396" s="1781"/>
      <c r="B396" s="1781"/>
      <c r="C396" s="370" t="s">
        <v>1292</v>
      </c>
      <c r="D396" s="2463"/>
      <c r="E396" s="2205"/>
      <c r="F396" s="2384"/>
      <c r="G396" s="401"/>
      <c r="H396" s="1501"/>
      <c r="I396" s="652"/>
      <c r="J396" s="572"/>
      <c r="K396" s="1501"/>
      <c r="L396" s="215"/>
      <c r="M396" s="342"/>
      <c r="N396" s="335"/>
      <c r="O396" s="1625"/>
      <c r="P396" s="1625"/>
      <c r="AH396" s="1632">
        <v>1</v>
      </c>
    </row>
    <row customHeight="1" ht="27.299999999999997">
      <c r="A397" s="1781"/>
      <c r="B397" s="1781"/>
      <c r="D397" s="377"/>
      <c r="E397" s="148" t="s">
        <v>96</v>
      </c>
      <c r="F397" s="2461" t="str">
        <f>"Размер экономически обоснованных расходов, не учтенных при установлении "&amp;IF(TEMPLATE_SPHERE="HEAT","регулируемых цен (тарифов)","тарифов")&amp;" в предыдущий период регулирования (при их наличии), "&amp;IF(TEMPLATE_SPHERE="HEAT","определенном в соответствии с законодательством в сфере теплоснабжения","определенных в соответствии с Основами ценообразования в сфере водоснабжения и водоотведения")</f>
        <v>Размер экономически обоснованных расходов, не учтенных при установлении регулируемых цен (тарифов) в предыдущий период регулирования (при их наличии), определенном в соответствии с законодательством в сфере теплоснабжения</v>
      </c>
      <c r="G397" s="2461"/>
      <c r="H397" s="2461"/>
      <c r="I397" s="2461"/>
      <c r="J397" s="2461"/>
      <c r="K397" s="2461"/>
      <c r="L397" s="2461"/>
      <c r="M397" s="298"/>
      <c r="N397" s="335"/>
      <c r="AH397" s="375">
        <v>26</v>
      </c>
    </row>
    <row s="1636" customFormat="1" customHeight="1" ht="60.75" hidden="1">
      <c r="A398" s="1781" t="s">
        <v>172</v>
      </c>
      <c r="B398" s="1781" t="s">
        <v>173</v>
      </c>
      <c r="C398" s="370"/>
      <c r="D398" s="2463"/>
      <c r="E398" s="2205"/>
      <c r="F398" s="2384" t="str">
        <f>INDEX(PT_DIFFERENTIATION_VTAR,MATCH(A398,PT_DIFFERENTIATION_VTAR_ID,0))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398" s="2428" t="str">
        <f>INDEX(PT_DIFFERENTIATION_NTAR,MATCH(B398,PT_DIFFERENTIATION_NTAR_ID,0))</f>
        <v>Тарифы на тепловую энергию (мощность) на коллекторах источника тепловой энергии. Для потребителей, в случае отсутствия дифференциации тарифов по схеме подключения. Муниципальный округ город Апатиты с подведомственной территорией Мурманской области, муниципальный округ город Кировск с подведомственной территорией Мурманской области</v>
      </c>
      <c r="H398" s="1863"/>
      <c r="I398" s="1740"/>
      <c r="J398" s="1774"/>
      <c r="K398" s="1779"/>
      <c r="L398" s="1863" t="s">
        <v>436</v>
      </c>
      <c r="M398" s="2170"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"&amp;"Величина экономически обоснованных расходов, не учтенных при регулировании тарифов в предыдущий период регулирования, указывается в колонке «Информация» в тыс. руб.
"&amp;"В случае отсутствия экономически обоснованных расходов, не учтенных при регулировании тарифов в предыдущий период регулирования, определенных в соответствии с законодательством в сфере водоснабжения и водоотведения, указывается значение «0».
"&amp;"В случае дифференциации экономически обоснованных расходов по видам тарифов и/или по срокам действия тарифов информация указывается в отдельных строках."</f>
        <v>Значение в колонке «Вид тарифа» выбирается из перечня видов тарифов в сфере теплоснабжения, предусмотренных законодательством в сфере теплоснабжения.
Даты начала и окончания срока действия тарифов указываются в виде «ДД.ММ.ГГГГ».
Величина экономически обоснованных расходов, не учтенных при регулировании тарифов в предыдущий период регулирования, указывается в колонке «Информация» в тыс. руб.
В случае отсутствия экономически обоснованных расходов, не учтенных при регулировании тарифов в предыдущий период регулирования, определенных в соответствии с законодательством в сфере водоснабжения и водоотведения, указывается значение «0».
В случае дифференциации экономически обоснованных расходов по видам тарифов и/или по срокам действия тарифов информация указывается в отдельных строках.</v>
      </c>
      <c r="N398" s="335"/>
      <c r="O398" s="1625"/>
      <c r="P398" s="1625"/>
      <c r="AH398" s="1632">
        <v>0</v>
      </c>
    </row>
    <row s="1636" customFormat="1" customHeight="1" ht="18.75" hidden="1">
      <c r="A399" s="1781"/>
      <c r="B399" s="1781"/>
      <c r="C399" s="370" t="s">
        <v>1285</v>
      </c>
      <c r="D399" s="2463"/>
      <c r="E399" s="2205"/>
      <c r="F399" s="2384"/>
      <c r="G399" s="2428"/>
      <c r="H399" s="1501"/>
      <c r="I399" s="652" t="s">
        <v>1284</v>
      </c>
      <c r="J399" s="572"/>
      <c r="K399" s="1501"/>
      <c r="L399" s="215"/>
      <c r="M399" s="2171"/>
      <c r="N399" s="335"/>
      <c r="O399" s="1625"/>
      <c r="P399" s="1625"/>
      <c r="AH399" s="1632">
        <v>0</v>
      </c>
    </row>
    <row s="1636" customFormat="1" customHeight="1" ht="18.75">
      <c r="A400" s="1824" t="s">
        <v>172</v>
      </c>
      <c r="B400" s="1824" t="s">
        <v>185</v>
      </c>
      <c r="C400" s="1688"/>
      <c r="D400" s="345"/>
      <c r="E400" s="1032"/>
      <c r="F400" s="1032"/>
      <c r="G400" s="2428" t="str">
        <f>INDEX(PT_DIFFERENTIATION_NTAR,MATCH(B400,PT_DIFFERENTIATION_NTAR_ID,0))</f>
        <v>Льготные тарифы на тепловую энергию, поставляемую группе потребителей "население". Для потребителей, в случае отсутствия дифференциации тарифов по схеме подключения. Муниципальный округ город Апатиты с подведомственной территорией Мурманской области</v>
      </c>
      <c r="H400" s="2272"/>
      <c r="I400" s="1740"/>
      <c r="J400" s="1774"/>
      <c r="K400" s="1779"/>
      <c r="L400" s="2272" t="s">
        <v>436</v>
      </c>
      <c r="M400" s="2319"/>
      <c r="N400" s="619"/>
      <c r="O400" s="1625"/>
      <c r="P400" s="1625"/>
      <c r="Q400" s="1636"/>
      <c r="R400" s="1636"/>
      <c r="S400" s="1636"/>
      <c r="T400" s="1636"/>
      <c r="U400" s="1636"/>
      <c r="V400" s="1636"/>
      <c r="W400" s="1636"/>
      <c r="X400" s="1636"/>
      <c r="Y400" s="1636"/>
      <c r="Z400" s="1636"/>
      <c r="AA400" s="1636"/>
      <c r="AB400" s="1636"/>
      <c r="AC400" s="1636"/>
      <c r="AD400" s="1636"/>
      <c r="AE400" s="1636"/>
      <c r="AF400" s="1636"/>
      <c r="AG400" s="1636"/>
      <c r="AH400" s="1636">
        <v>0</v>
      </c>
    </row>
    <row s="1636" customFormat="1" customHeight="1" ht="18.75">
      <c r="A401" s="1824"/>
      <c r="B401" s="1824"/>
      <c r="C401" s="1688" t="s">
        <v>1285</v>
      </c>
      <c r="D401" s="345"/>
      <c r="E401" s="1032"/>
      <c r="F401" s="1032"/>
      <c r="G401" s="2428"/>
      <c r="H401" s="5158"/>
      <c r="I401" s="5159" t="s">
        <v>1284</v>
      </c>
      <c r="J401" s="5160"/>
      <c r="K401" s="5161"/>
      <c r="L401" s="5162"/>
      <c r="M401" s="2319"/>
      <c r="N401" s="619"/>
      <c r="O401" s="1625"/>
      <c r="P401" s="1625"/>
      <c r="Q401" s="1636"/>
      <c r="R401" s="1636"/>
      <c r="S401" s="1636"/>
      <c r="T401" s="1636"/>
      <c r="U401" s="1636"/>
      <c r="V401" s="1636"/>
      <c r="W401" s="1636"/>
      <c r="X401" s="1636"/>
      <c r="Y401" s="1636"/>
      <c r="Z401" s="1636"/>
      <c r="AA401" s="1636"/>
      <c r="AB401" s="1636"/>
      <c r="AC401" s="1636"/>
      <c r="AD401" s="1636"/>
      <c r="AE401" s="1636"/>
      <c r="AF401" s="1636"/>
      <c r="AG401" s="1636"/>
      <c r="AH401" s="1636">
        <v>0</v>
      </c>
    </row>
    <row s="1636" customFormat="1" customHeight="1" ht="18.75">
      <c r="A402" s="1824" t="s">
        <v>172</v>
      </c>
      <c r="B402" s="1824" t="s">
        <v>193</v>
      </c>
      <c r="C402" s="1688"/>
      <c r="D402" s="345"/>
      <c r="E402" s="1032"/>
      <c r="F402" s="1032"/>
      <c r="G402" s="2428" t="str">
        <f>INDEX(PT_DIFFERENTIATION_NTAR,MATCH(B402,PT_DIFFERENTIATION_NTAR_ID,0))</f>
        <v>Льготные тарифы на тепловую энергию, поставляемую группе потребителей "потребители (кроме населения)". Для потребителей, подключенных к тепловым сетям ПАО "ТГК-1". Муниципальный округ город Апатиты с подведомственной территорией Мурманской области</v>
      </c>
      <c r="H402" s="2272"/>
      <c r="I402" s="1740"/>
      <c r="J402" s="1774"/>
      <c r="K402" s="1779"/>
      <c r="L402" s="2272" t="s">
        <v>436</v>
      </c>
      <c r="M402" s="2319"/>
      <c r="N402" s="619"/>
      <c r="O402" s="1625"/>
      <c r="P402" s="1625"/>
      <c r="Q402" s="1636"/>
      <c r="R402" s="1636"/>
      <c r="S402" s="1636"/>
      <c r="T402" s="1636"/>
      <c r="U402" s="1636"/>
      <c r="V402" s="1636"/>
      <c r="W402" s="1636"/>
      <c r="X402" s="1636"/>
      <c r="Y402" s="1636"/>
      <c r="Z402" s="1636"/>
      <c r="AA402" s="1636"/>
      <c r="AB402" s="1636"/>
      <c r="AC402" s="1636"/>
      <c r="AD402" s="1636"/>
      <c r="AE402" s="1636"/>
      <c r="AF402" s="1636"/>
      <c r="AG402" s="1636"/>
      <c r="AH402" s="1636">
        <v>0</v>
      </c>
    </row>
    <row s="1636" customFormat="1" customHeight="1" ht="18.75">
      <c r="A403" s="1824"/>
      <c r="B403" s="1824"/>
      <c r="C403" s="1688" t="s">
        <v>1285</v>
      </c>
      <c r="D403" s="345"/>
      <c r="E403" s="1032"/>
      <c r="F403" s="1032"/>
      <c r="G403" s="2428"/>
      <c r="H403" s="5163"/>
      <c r="I403" s="5164" t="s">
        <v>1284</v>
      </c>
      <c r="J403" s="5165"/>
      <c r="K403" s="5166"/>
      <c r="L403" s="5167"/>
      <c r="M403" s="2319"/>
      <c r="N403" s="619"/>
      <c r="O403" s="1625"/>
      <c r="P403" s="1625"/>
      <c r="Q403" s="1636"/>
      <c r="R403" s="1636"/>
      <c r="S403" s="1636"/>
      <c r="T403" s="1636"/>
      <c r="U403" s="1636"/>
      <c r="V403" s="1636"/>
      <c r="W403" s="1636"/>
      <c r="X403" s="1636"/>
      <c r="Y403" s="1636"/>
      <c r="Z403" s="1636"/>
      <c r="AA403" s="1636"/>
      <c r="AB403" s="1636"/>
      <c r="AC403" s="1636"/>
      <c r="AD403" s="1636"/>
      <c r="AE403" s="1636"/>
      <c r="AF403" s="1636"/>
      <c r="AG403" s="1636"/>
      <c r="AH403" s="1636">
        <v>0</v>
      </c>
    </row>
    <row s="1636" customFormat="1" customHeight="1" ht="18.75">
      <c r="A404" s="1824" t="s">
        <v>172</v>
      </c>
      <c r="B404" s="1824" t="s">
        <v>198</v>
      </c>
      <c r="C404" s="1688"/>
      <c r="D404" s="345"/>
      <c r="E404" s="1032"/>
      <c r="F404" s="1032"/>
      <c r="G404" s="2428" t="str">
        <f>INDEX(PT_DIFFERENTIATION_NTAR,MATCH(B404,PT_DIFFERENTIATION_NTAR_ID,0))</f>
        <v>Льготные тарифы на тепловую энергию, поставляемую группе потребителей "потребители (кроме населения)". Для потребителей, подключенных к тепловым сетям АО "Апатитыэнерго". Муниципальный округ город Апатиты с подведомственной территорией Мурманской области</v>
      </c>
      <c r="H404" s="2272"/>
      <c r="I404" s="1740"/>
      <c r="J404" s="1774"/>
      <c r="K404" s="1779"/>
      <c r="L404" s="2272" t="s">
        <v>436</v>
      </c>
      <c r="M404" s="2319"/>
      <c r="N404" s="619"/>
      <c r="O404" s="1625"/>
      <c r="P404" s="1625"/>
      <c r="Q404" s="1636"/>
      <c r="R404" s="1636"/>
      <c r="S404" s="1636"/>
      <c r="T404" s="1636"/>
      <c r="U404" s="1636"/>
      <c r="V404" s="1636"/>
      <c r="W404" s="1636"/>
      <c r="X404" s="1636"/>
      <c r="Y404" s="1636"/>
      <c r="Z404" s="1636"/>
      <c r="AA404" s="1636"/>
      <c r="AB404" s="1636"/>
      <c r="AC404" s="1636"/>
      <c r="AD404" s="1636"/>
      <c r="AE404" s="1636"/>
      <c r="AF404" s="1636"/>
      <c r="AG404" s="1636"/>
      <c r="AH404" s="1636">
        <v>0</v>
      </c>
    </row>
    <row s="1636" customFormat="1" customHeight="1" ht="18.75">
      <c r="A405" s="1824"/>
      <c r="B405" s="1824"/>
      <c r="C405" s="1688" t="s">
        <v>1285</v>
      </c>
      <c r="D405" s="345"/>
      <c r="E405" s="1032"/>
      <c r="F405" s="1032"/>
      <c r="G405" s="2428"/>
      <c r="H405" s="5168"/>
      <c r="I405" s="5169" t="s">
        <v>1284</v>
      </c>
      <c r="J405" s="5170"/>
      <c r="K405" s="5171"/>
      <c r="L405" s="5172"/>
      <c r="M405" s="2319"/>
      <c r="N405" s="619"/>
      <c r="O405" s="1625"/>
      <c r="P405" s="1625"/>
      <c r="Q405" s="1636"/>
      <c r="R405" s="1636"/>
      <c r="S405" s="1636"/>
      <c r="T405" s="1636"/>
      <c r="U405" s="1636"/>
      <c r="V405" s="1636"/>
      <c r="W405" s="1636"/>
      <c r="X405" s="1636"/>
      <c r="Y405" s="1636"/>
      <c r="Z405" s="1636"/>
      <c r="AA405" s="1636"/>
      <c r="AB405" s="1636"/>
      <c r="AC405" s="1636"/>
      <c r="AD405" s="1636"/>
      <c r="AE405" s="1636"/>
      <c r="AF405" s="1636"/>
      <c r="AG405" s="1636"/>
      <c r="AH405" s="1636">
        <v>0</v>
      </c>
    </row>
    <row s="1636" customFormat="1" customHeight="1" ht="18.75">
      <c r="A406" s="1824" t="s">
        <v>172</v>
      </c>
      <c r="B406" s="1824" t="s">
        <v>203</v>
      </c>
      <c r="C406" s="1688"/>
      <c r="D406" s="345"/>
      <c r="E406" s="1032"/>
      <c r="F406" s="1032"/>
      <c r="G406" s="2428" t="str">
        <f>INDEX(PT_DIFFERENTIATION_NTAR,MATCH(B406,PT_DIFFERENTIATION_NTAR_ID,0))</f>
        <v>Льготные тарифы на тепловую энергию, поставляемую группе потребителей "потребители (кроме населения)". Для потребителей в случае отсутствия дифференциации тарифов по схеме подключения. Муниципальный округ город Кировск с подведомственной территорией Мурманской области</v>
      </c>
      <c r="H406" s="2272"/>
      <c r="I406" s="1740"/>
      <c r="J406" s="1774"/>
      <c r="K406" s="1779"/>
      <c r="L406" s="2272" t="s">
        <v>436</v>
      </c>
      <c r="M406" s="2319"/>
      <c r="N406" s="619"/>
      <c r="O406" s="1625"/>
      <c r="P406" s="1625"/>
      <c r="Q406" s="1636"/>
      <c r="R406" s="1636"/>
      <c r="S406" s="1636"/>
      <c r="T406" s="1636"/>
      <c r="U406" s="1636"/>
      <c r="V406" s="1636"/>
      <c r="W406" s="1636"/>
      <c r="X406" s="1636"/>
      <c r="Y406" s="1636"/>
      <c r="Z406" s="1636"/>
      <c r="AA406" s="1636"/>
      <c r="AB406" s="1636"/>
      <c r="AC406" s="1636"/>
      <c r="AD406" s="1636"/>
      <c r="AE406" s="1636"/>
      <c r="AF406" s="1636"/>
      <c r="AG406" s="1636"/>
      <c r="AH406" s="1636">
        <v>0</v>
      </c>
    </row>
    <row s="1636" customFormat="1" customHeight="1" ht="18.75">
      <c r="A407" s="1824"/>
      <c r="B407" s="1824"/>
      <c r="C407" s="1688" t="s">
        <v>1285</v>
      </c>
      <c r="D407" s="345"/>
      <c r="E407" s="1032"/>
      <c r="F407" s="1032"/>
      <c r="G407" s="2428"/>
      <c r="H407" s="5173"/>
      <c r="I407" s="5174" t="s">
        <v>1284</v>
      </c>
      <c r="J407" s="5175"/>
      <c r="K407" s="5176"/>
      <c r="L407" s="5177"/>
      <c r="M407" s="2319"/>
      <c r="N407" s="619"/>
      <c r="O407" s="1625"/>
      <c r="P407" s="1625"/>
      <c r="Q407" s="1636"/>
      <c r="R407" s="1636"/>
      <c r="S407" s="1636"/>
      <c r="T407" s="1636"/>
      <c r="U407" s="1636"/>
      <c r="V407" s="1636"/>
      <c r="W407" s="1636"/>
      <c r="X407" s="1636"/>
      <c r="Y407" s="1636"/>
      <c r="Z407" s="1636"/>
      <c r="AA407" s="1636"/>
      <c r="AB407" s="1636"/>
      <c r="AC407" s="1636"/>
      <c r="AD407" s="1636"/>
      <c r="AE407" s="1636"/>
      <c r="AF407" s="1636"/>
      <c r="AG407" s="1636"/>
      <c r="AH407" s="1636">
        <v>0</v>
      </c>
    </row>
    <row s="1636" customFormat="1" customHeight="1" ht="18.75">
      <c r="A408" s="1824" t="s">
        <v>172</v>
      </c>
      <c r="B408" s="1824" t="s">
        <v>208</v>
      </c>
      <c r="C408" s="1688"/>
      <c r="D408" s="345"/>
      <c r="E408" s="1032"/>
      <c r="F408" s="1032"/>
      <c r="G408" s="2428" t="str">
        <f>INDEX(PT_DIFFERENTIATION_NTAR,MATCH(B408,PT_DIFFERENTIATION_NTAR_ID,0))</f>
        <v>Тарифы на тепловую энергию, поставляемую потребителям. Для потребителей, подключенных к тепловым сетям ПАО "ТГК-1". Муниципальный  округ город Апатиты с подведомственной территорией Мурманской области</v>
      </c>
      <c r="H408" s="2272"/>
      <c r="I408" s="1740"/>
      <c r="J408" s="1774"/>
      <c r="K408" s="1779"/>
      <c r="L408" s="2272" t="s">
        <v>436</v>
      </c>
      <c r="M408" s="2319"/>
      <c r="N408" s="619"/>
      <c r="O408" s="1625"/>
      <c r="P408" s="1625"/>
      <c r="Q408" s="1636"/>
      <c r="R408" s="1636"/>
      <c r="S408" s="1636"/>
      <c r="T408" s="1636"/>
      <c r="U408" s="1636"/>
      <c r="V408" s="1636"/>
      <c r="W408" s="1636"/>
      <c r="X408" s="1636"/>
      <c r="Y408" s="1636"/>
      <c r="Z408" s="1636"/>
      <c r="AA408" s="1636"/>
      <c r="AB408" s="1636"/>
      <c r="AC408" s="1636"/>
      <c r="AD408" s="1636"/>
      <c r="AE408" s="1636"/>
      <c r="AF408" s="1636"/>
      <c r="AG408" s="1636"/>
      <c r="AH408" s="1636">
        <v>0</v>
      </c>
    </row>
    <row s="1636" customFormat="1" customHeight="1" ht="18.75">
      <c r="A409" s="1824"/>
      <c r="B409" s="1824"/>
      <c r="C409" s="1688" t="s">
        <v>1285</v>
      </c>
      <c r="D409" s="345"/>
      <c r="E409" s="1032"/>
      <c r="F409" s="1032"/>
      <c r="G409" s="2428"/>
      <c r="H409" s="5178"/>
      <c r="I409" s="5179" t="s">
        <v>1284</v>
      </c>
      <c r="J409" s="5180"/>
      <c r="K409" s="5181"/>
      <c r="L409" s="5182"/>
      <c r="M409" s="2319"/>
      <c r="N409" s="619"/>
      <c r="O409" s="1625"/>
      <c r="P409" s="1625"/>
      <c r="Q409" s="1636"/>
      <c r="R409" s="1636"/>
      <c r="S409" s="1636"/>
      <c r="T409" s="1636"/>
      <c r="U409" s="1636"/>
      <c r="V409" s="1636"/>
      <c r="W409" s="1636"/>
      <c r="X409" s="1636"/>
      <c r="Y409" s="1636"/>
      <c r="Z409" s="1636"/>
      <c r="AA409" s="1636"/>
      <c r="AB409" s="1636"/>
      <c r="AC409" s="1636"/>
      <c r="AD409" s="1636"/>
      <c r="AE409" s="1636"/>
      <c r="AF409" s="1636"/>
      <c r="AG409" s="1636"/>
      <c r="AH409" s="1636">
        <v>0</v>
      </c>
    </row>
    <row s="1636" customFormat="1" customHeight="1" ht="18.75">
      <c r="A410" s="1824" t="s">
        <v>172</v>
      </c>
      <c r="B410" s="1824" t="s">
        <v>213</v>
      </c>
      <c r="C410" s="1688"/>
      <c r="D410" s="345"/>
      <c r="E410" s="1032"/>
      <c r="F410" s="1032"/>
      <c r="G410" s="2428" t="str">
        <f>INDEX(PT_DIFFERENTIATION_NTAR,MATCH(B410,PT_DIFFERENTIATION_NTAR_ID,0))</f>
        <v>Тарифы на тепловую энергию, поставляемую потребителям. Для потребителей, подключенных к тепловым сетям АО "Апатитыэнерго". Муниципальный округ город Апатиты с подведомственной территорией Мурманской области</v>
      </c>
      <c r="H410" s="2272"/>
      <c r="I410" s="1740"/>
      <c r="J410" s="1774"/>
      <c r="K410" s="1779"/>
      <c r="L410" s="2272" t="s">
        <v>436</v>
      </c>
      <c r="M410" s="2319"/>
      <c r="N410" s="619"/>
      <c r="O410" s="1625"/>
      <c r="P410" s="1625"/>
      <c r="Q410" s="1636"/>
      <c r="R410" s="1636"/>
      <c r="S410" s="1636"/>
      <c r="T410" s="1636"/>
      <c r="U410" s="1636"/>
      <c r="V410" s="1636"/>
      <c r="W410" s="1636"/>
      <c r="X410" s="1636"/>
      <c r="Y410" s="1636"/>
      <c r="Z410" s="1636"/>
      <c r="AA410" s="1636"/>
      <c r="AB410" s="1636"/>
      <c r="AC410" s="1636"/>
      <c r="AD410" s="1636"/>
      <c r="AE410" s="1636"/>
      <c r="AF410" s="1636"/>
      <c r="AG410" s="1636"/>
      <c r="AH410" s="1636">
        <v>0</v>
      </c>
    </row>
    <row s="1636" customFormat="1" customHeight="1" ht="18.75">
      <c r="A411" s="1824"/>
      <c r="B411" s="1824"/>
      <c r="C411" s="1688" t="s">
        <v>1285</v>
      </c>
      <c r="D411" s="345"/>
      <c r="E411" s="1032"/>
      <c r="F411" s="1032"/>
      <c r="G411" s="2428"/>
      <c r="H411" s="5183"/>
      <c r="I411" s="5184" t="s">
        <v>1284</v>
      </c>
      <c r="J411" s="5185"/>
      <c r="K411" s="5186"/>
      <c r="L411" s="5187"/>
      <c r="M411" s="2319"/>
      <c r="N411" s="619"/>
      <c r="O411" s="1625"/>
      <c r="P411" s="1625"/>
      <c r="Q411" s="1636"/>
      <c r="R411" s="1636"/>
      <c r="S411" s="1636"/>
      <c r="T411" s="1636"/>
      <c r="U411" s="1636"/>
      <c r="V411" s="1636"/>
      <c r="W411" s="1636"/>
      <c r="X411" s="1636"/>
      <c r="Y411" s="1636"/>
      <c r="Z411" s="1636"/>
      <c r="AA411" s="1636"/>
      <c r="AB411" s="1636"/>
      <c r="AC411" s="1636"/>
      <c r="AD411" s="1636"/>
      <c r="AE411" s="1636"/>
      <c r="AF411" s="1636"/>
      <c r="AG411" s="1636"/>
      <c r="AH411" s="1636">
        <v>0</v>
      </c>
    </row>
    <row s="1636" customFormat="1" customHeight="1" ht="18.75">
      <c r="A412" s="1824" t="s">
        <v>172</v>
      </c>
      <c r="B412" s="1824" t="s">
        <v>218</v>
      </c>
      <c r="C412" s="1688"/>
      <c r="D412" s="345"/>
      <c r="E412" s="1032"/>
      <c r="F412" s="1032"/>
      <c r="G412" s="2428" t="str">
        <f>INDEX(PT_DIFFERENTIATION_NTAR,MATCH(B412,PT_DIFFERENTIATION_NTAR_ID,0))</f>
        <v>Тарифы на тепловую энергию, поставляемую потребителям. Для потребителей в случае отсутствия дифференциации тарифов по схеме подключения. Муниципальный округ город Кировск с подведомственной территорией Мурманской области</v>
      </c>
      <c r="H412" s="2272"/>
      <c r="I412" s="1740"/>
      <c r="J412" s="1774"/>
      <c r="K412" s="1779"/>
      <c r="L412" s="2272" t="s">
        <v>436</v>
      </c>
      <c r="M412" s="2319"/>
      <c r="N412" s="619"/>
      <c r="O412" s="1625"/>
      <c r="P412" s="1625"/>
      <c r="Q412" s="1636"/>
      <c r="R412" s="1636"/>
      <c r="S412" s="1636"/>
      <c r="T412" s="1636"/>
      <c r="U412" s="1636"/>
      <c r="V412" s="1636"/>
      <c r="W412" s="1636"/>
      <c r="X412" s="1636"/>
      <c r="Y412" s="1636"/>
      <c r="Z412" s="1636"/>
      <c r="AA412" s="1636"/>
      <c r="AB412" s="1636"/>
      <c r="AC412" s="1636"/>
      <c r="AD412" s="1636"/>
      <c r="AE412" s="1636"/>
      <c r="AF412" s="1636"/>
      <c r="AG412" s="1636"/>
      <c r="AH412" s="1636">
        <v>0</v>
      </c>
    </row>
    <row s="1636" customFormat="1" customHeight="1" ht="18.75">
      <c r="A413" s="1824"/>
      <c r="B413" s="1824"/>
      <c r="C413" s="1688" t="s">
        <v>1285</v>
      </c>
      <c r="D413" s="345"/>
      <c r="E413" s="1032"/>
      <c r="F413" s="1032"/>
      <c r="G413" s="2428"/>
      <c r="H413" s="5188"/>
      <c r="I413" s="5189" t="s">
        <v>1284</v>
      </c>
      <c r="J413" s="5190"/>
      <c r="K413" s="5191"/>
      <c r="L413" s="5192"/>
      <c r="M413" s="2319"/>
      <c r="N413" s="619"/>
      <c r="O413" s="1625"/>
      <c r="P413" s="1625"/>
      <c r="Q413" s="1636"/>
      <c r="R413" s="1636"/>
      <c r="S413" s="1636"/>
      <c r="T413" s="1636"/>
      <c r="U413" s="1636"/>
      <c r="V413" s="1636"/>
      <c r="W413" s="1636"/>
      <c r="X413" s="1636"/>
      <c r="Y413" s="1636"/>
      <c r="Z413" s="1636"/>
      <c r="AA413" s="1636"/>
      <c r="AB413" s="1636"/>
      <c r="AC413" s="1636"/>
      <c r="AD413" s="1636"/>
      <c r="AE413" s="1636"/>
      <c r="AF413" s="1636"/>
      <c r="AG413" s="1636"/>
      <c r="AH413" s="1636">
        <v>0</v>
      </c>
    </row>
    <row s="1636" customFormat="1" customHeight="1" ht="0.75" hidden="1">
      <c r="A414" s="1781"/>
      <c r="B414" s="1781"/>
      <c r="C414" s="370" t="s">
        <v>1292</v>
      </c>
      <c r="D414" s="2463"/>
      <c r="E414" s="2205"/>
      <c r="F414" s="2384"/>
      <c r="G414" s="401"/>
      <c r="H414" s="1501"/>
      <c r="I414" s="652"/>
      <c r="J414" s="572"/>
      <c r="K414" s="1501"/>
      <c r="L414" s="215"/>
      <c r="M414" s="2171"/>
      <c r="N414" s="335"/>
      <c r="O414" s="1625"/>
      <c r="P414" s="1625"/>
      <c r="AH414" s="1632">
        <v>0</v>
      </c>
    </row>
    <row s="1636" customFormat="1" customHeight="1" ht="45" hidden="1">
      <c r="A415" s="1781" t="s">
        <v>228</v>
      </c>
      <c r="B415" s="1781" t="s">
        <v>229</v>
      </c>
      <c r="C415" s="370"/>
      <c r="D415" s="2463"/>
      <c r="E415" s="2205"/>
      <c r="F415" s="2384" t="str">
        <f>INDEX(PT_DIFFERENTIATION_VTAR,MATCH(A415,PT_DIFFERENTIATION_VTAR_ID,0))</f>
        <v>Тарифы на тепловую энергию (мощность), поставляемую теплоснабжающими организациями потребителям, другим теплоснабжающим организациям</v>
      </c>
      <c r="G415" s="2428" t="str">
        <f>INDEX(PT_DIFFERENTIATION_NTAR,MATCH(B415,PT_DIFFERENTIATION_NTAR_ID,0))</f>
        <v>Льготные тарифы на тепловую энергию, поставляемую группе потребителей "население". Для потребителей, в случае отсутствия дифференциации тарифов по схеме подключения. Населенный пункт Раякоски Печенгского муниципального округа Мурманской области
</v>
      </c>
      <c r="H415" s="1863"/>
      <c r="I415" s="1740"/>
      <c r="J415" s="1774"/>
      <c r="K415" s="1779"/>
      <c r="L415" s="1863" t="s">
        <v>436</v>
      </c>
      <c r="M415" s="2172"/>
      <c r="N415" s="335"/>
      <c r="O415" s="1625"/>
      <c r="P415" s="1625"/>
      <c r="AH415" s="1632">
        <v>0</v>
      </c>
    </row>
    <row s="1636" customFormat="1" customHeight="1" ht="18.75" hidden="1">
      <c r="A416" s="1781"/>
      <c r="B416" s="1781"/>
      <c r="C416" s="370" t="s">
        <v>1285</v>
      </c>
      <c r="D416" s="2463"/>
      <c r="E416" s="2205"/>
      <c r="F416" s="2384"/>
      <c r="G416" s="2428"/>
      <c r="H416" s="1501"/>
      <c r="I416" s="652" t="s">
        <v>1284</v>
      </c>
      <c r="J416" s="572"/>
      <c r="K416" s="1501"/>
      <c r="L416" s="215"/>
      <c r="M416" s="1862"/>
      <c r="N416" s="335"/>
      <c r="O416" s="1625"/>
      <c r="P416" s="1625"/>
      <c r="AH416" s="1632">
        <v>0</v>
      </c>
    </row>
    <row s="1636" customFormat="1" customHeight="1" ht="18.75">
      <c r="A417" s="1824" t="s">
        <v>228</v>
      </c>
      <c r="B417" s="1824" t="s">
        <v>234</v>
      </c>
      <c r="C417" s="1688"/>
      <c r="D417" s="345"/>
      <c r="E417" s="1032"/>
      <c r="F417" s="1032"/>
      <c r="G417" s="2428" t="str">
        <f>INDEX(PT_DIFFERENTIATION_NTAR,MATCH(B417,PT_DIFFERENTIATION_NTAR_ID,0))</f>
        <v>Льготные тарифы на тепловую энергию, поставляемую группе потребителей "потребители (кроме населения)". Для потребителей, в случае отсутствия дифференциации тарифов по схеме подключения. Населенный пункт Раякоски Печенгского муниципального округа Мурманской области</v>
      </c>
      <c r="H417" s="2272"/>
      <c r="I417" s="1740"/>
      <c r="J417" s="1774"/>
      <c r="K417" s="1779"/>
      <c r="L417" s="2272" t="s">
        <v>436</v>
      </c>
      <c r="M417" s="2319"/>
      <c r="N417" s="619"/>
      <c r="O417" s="1625"/>
      <c r="P417" s="1625"/>
      <c r="Q417" s="1636"/>
      <c r="R417" s="1636"/>
      <c r="S417" s="1636"/>
      <c r="T417" s="1636"/>
      <c r="U417" s="1636"/>
      <c r="V417" s="1636"/>
      <c r="W417" s="1636"/>
      <c r="X417" s="1636"/>
      <c r="Y417" s="1636"/>
      <c r="Z417" s="1636"/>
      <c r="AA417" s="1636"/>
      <c r="AB417" s="1636"/>
      <c r="AC417" s="1636"/>
      <c r="AD417" s="1636"/>
      <c r="AE417" s="1636"/>
      <c r="AF417" s="1636"/>
      <c r="AG417" s="1636"/>
      <c r="AH417" s="1636">
        <v>0</v>
      </c>
    </row>
    <row s="1636" customFormat="1" customHeight="1" ht="18.75">
      <c r="A418" s="1824"/>
      <c r="B418" s="1824"/>
      <c r="C418" s="1688" t="s">
        <v>1285</v>
      </c>
      <c r="D418" s="345"/>
      <c r="E418" s="1032"/>
      <c r="F418" s="1032"/>
      <c r="G418" s="2428"/>
      <c r="H418" s="5193"/>
      <c r="I418" s="5194" t="s">
        <v>1284</v>
      </c>
      <c r="J418" s="5195"/>
      <c r="K418" s="5196"/>
      <c r="L418" s="5197"/>
      <c r="M418" s="2319"/>
      <c r="N418" s="619"/>
      <c r="O418" s="1625"/>
      <c r="P418" s="1625"/>
      <c r="Q418" s="1636"/>
      <c r="R418" s="1636"/>
      <c r="S418" s="1636"/>
      <c r="T418" s="1636"/>
      <c r="U418" s="1636"/>
      <c r="V418" s="1636"/>
      <c r="W418" s="1636"/>
      <c r="X418" s="1636"/>
      <c r="Y418" s="1636"/>
      <c r="Z418" s="1636"/>
      <c r="AA418" s="1636"/>
      <c r="AB418" s="1636"/>
      <c r="AC418" s="1636"/>
      <c r="AD418" s="1636"/>
      <c r="AE418" s="1636"/>
      <c r="AF418" s="1636"/>
      <c r="AG418" s="1636"/>
      <c r="AH418" s="1636">
        <v>0</v>
      </c>
    </row>
    <row s="1636" customFormat="1" customHeight="1" ht="18.75">
      <c r="A419" s="1824" t="s">
        <v>228</v>
      </c>
      <c r="B419" s="1824" t="s">
        <v>239</v>
      </c>
      <c r="C419" s="1688"/>
      <c r="D419" s="345"/>
      <c r="E419" s="1032"/>
      <c r="F419" s="1032"/>
      <c r="G419" s="2428" t="str">
        <f>INDEX(PT_DIFFERENTIATION_NTAR,MATCH(B419,PT_DIFFERENTIATION_NTAR_ID,0))</f>
        <v>Тарифы на тепловую энергию, поставляемую потребителям. Для потребителей в случае отсутствия дифференциации тарифов по схеме подключения. Населенный пункт Раякоски Печенгского муниципального округа Мурманской области</v>
      </c>
      <c r="H419" s="2272"/>
      <c r="I419" s="1740"/>
      <c r="J419" s="1774"/>
      <c r="K419" s="1779"/>
      <c r="L419" s="2272" t="s">
        <v>436</v>
      </c>
      <c r="M419" s="2319"/>
      <c r="N419" s="619"/>
      <c r="O419" s="1625"/>
      <c r="P419" s="1625"/>
      <c r="Q419" s="1636"/>
      <c r="R419" s="1636"/>
      <c r="S419" s="1636"/>
      <c r="T419" s="1636"/>
      <c r="U419" s="1636"/>
      <c r="V419" s="1636"/>
      <c r="W419" s="1636"/>
      <c r="X419" s="1636"/>
      <c r="Y419" s="1636"/>
      <c r="Z419" s="1636"/>
      <c r="AA419" s="1636"/>
      <c r="AB419" s="1636"/>
      <c r="AC419" s="1636"/>
      <c r="AD419" s="1636"/>
      <c r="AE419" s="1636"/>
      <c r="AF419" s="1636"/>
      <c r="AG419" s="1636"/>
      <c r="AH419" s="1636">
        <v>0</v>
      </c>
    </row>
    <row s="1636" customFormat="1" customHeight="1" ht="18.75">
      <c r="A420" s="1824"/>
      <c r="B420" s="1824"/>
      <c r="C420" s="1688" t="s">
        <v>1285</v>
      </c>
      <c r="D420" s="345"/>
      <c r="E420" s="1032"/>
      <c r="F420" s="1032"/>
      <c r="G420" s="2428"/>
      <c r="H420" s="5198"/>
      <c r="I420" s="5199" t="s">
        <v>1284</v>
      </c>
      <c r="J420" s="5200"/>
      <c r="K420" s="5201"/>
      <c r="L420" s="5202"/>
      <c r="M420" s="2319"/>
      <c r="N420" s="619"/>
      <c r="O420" s="1625"/>
      <c r="P420" s="1625"/>
      <c r="Q420" s="1636"/>
      <c r="R420" s="1636"/>
      <c r="S420" s="1636"/>
      <c r="T420" s="1636"/>
      <c r="U420" s="1636"/>
      <c r="V420" s="1636"/>
      <c r="W420" s="1636"/>
      <c r="X420" s="1636"/>
      <c r="Y420" s="1636"/>
      <c r="Z420" s="1636"/>
      <c r="AA420" s="1636"/>
      <c r="AB420" s="1636"/>
      <c r="AC420" s="1636"/>
      <c r="AD420" s="1636"/>
      <c r="AE420" s="1636"/>
      <c r="AF420" s="1636"/>
      <c r="AG420" s="1636"/>
      <c r="AH420" s="1636">
        <v>0</v>
      </c>
    </row>
    <row s="1636" customFormat="1" customHeight="1" ht="18.75">
      <c r="A421" s="1824" t="s">
        <v>228</v>
      </c>
      <c r="B421" s="1824" t="s">
        <v>244</v>
      </c>
      <c r="C421" s="1688"/>
      <c r="D421" s="345"/>
      <c r="E421" s="1032"/>
      <c r="F421" s="1032"/>
      <c r="G421" s="2428" t="str">
        <f>INDEX(PT_DIFFERENTIATION_NTAR,MATCH(B421,PT_DIFFERENTIATION_NTAR_ID,0))</f>
        <v>Тарифы на тепловую энергию, поставляемую теплоснабжающим, теплосетевым организациям, приобретающим тепловую энергию с целью компенсации потерь. Для теплоснабжающих, теплосетевых организаций, приобретающих тепловую энергию на коллекторах источника тепловой энергии (Апатитская ТЭЦ). Муниципальный округ город Кировск с подведомственной территорией Мурманской области, Муниципальный округ город Апатиты с подведомственной территорией Мурманской области</v>
      </c>
      <c r="H421" s="2272"/>
      <c r="I421" s="1740"/>
      <c r="J421" s="1774"/>
      <c r="K421" s="1779"/>
      <c r="L421" s="2272" t="s">
        <v>436</v>
      </c>
      <c r="M421" s="2319"/>
      <c r="N421" s="619"/>
      <c r="O421" s="1625"/>
      <c r="P421" s="1625"/>
      <c r="Q421" s="1636"/>
      <c r="R421" s="1636"/>
      <c r="S421" s="1636"/>
      <c r="T421" s="1636"/>
      <c r="U421" s="1636"/>
      <c r="V421" s="1636"/>
      <c r="W421" s="1636"/>
      <c r="X421" s="1636"/>
      <c r="Y421" s="1636"/>
      <c r="Z421" s="1636"/>
      <c r="AA421" s="1636"/>
      <c r="AB421" s="1636"/>
      <c r="AC421" s="1636"/>
      <c r="AD421" s="1636"/>
      <c r="AE421" s="1636"/>
      <c r="AF421" s="1636"/>
      <c r="AG421" s="1636"/>
      <c r="AH421" s="1636">
        <v>0</v>
      </c>
    </row>
    <row s="1636" customFormat="1" customHeight="1" ht="18.75">
      <c r="A422" s="1824"/>
      <c r="B422" s="1824"/>
      <c r="C422" s="1688" t="s">
        <v>1285</v>
      </c>
      <c r="D422" s="345"/>
      <c r="E422" s="1032"/>
      <c r="F422" s="1032"/>
      <c r="G422" s="2428"/>
      <c r="H422" s="5203"/>
      <c r="I422" s="5204" t="s">
        <v>1284</v>
      </c>
      <c r="J422" s="5205"/>
      <c r="K422" s="5206"/>
      <c r="L422" s="5207"/>
      <c r="M422" s="2319"/>
      <c r="N422" s="619"/>
      <c r="O422" s="1625"/>
      <c r="P422" s="1625"/>
      <c r="Q422" s="1636"/>
      <c r="R422" s="1636"/>
      <c r="S422" s="1636"/>
      <c r="T422" s="1636"/>
      <c r="U422" s="1636"/>
      <c r="V422" s="1636"/>
      <c r="W422" s="1636"/>
      <c r="X422" s="1636"/>
      <c r="Y422" s="1636"/>
      <c r="Z422" s="1636"/>
      <c r="AA422" s="1636"/>
      <c r="AB422" s="1636"/>
      <c r="AC422" s="1636"/>
      <c r="AD422" s="1636"/>
      <c r="AE422" s="1636"/>
      <c r="AF422" s="1636"/>
      <c r="AG422" s="1636"/>
      <c r="AH422" s="1636">
        <v>0</v>
      </c>
    </row>
    <row s="1636" customFormat="1" customHeight="1" ht="0.75" hidden="1">
      <c r="A423" s="1781"/>
      <c r="B423" s="1781"/>
      <c r="C423" s="370" t="s">
        <v>1292</v>
      </c>
      <c r="D423" s="2463"/>
      <c r="E423" s="2205"/>
      <c r="F423" s="2384"/>
      <c r="G423" s="401"/>
      <c r="H423" s="1501"/>
      <c r="I423" s="652"/>
      <c r="J423" s="572"/>
      <c r="K423" s="1501"/>
      <c r="L423" s="215"/>
      <c r="M423" s="342"/>
      <c r="N423" s="335"/>
      <c r="O423" s="1625"/>
      <c r="P423" s="1625"/>
      <c r="AH423" s="1632">
        <v>0</v>
      </c>
    </row>
    <row s="1636" customFormat="1" customHeight="1" ht="45" hidden="1">
      <c r="A424" s="1781" t="s">
        <v>254</v>
      </c>
      <c r="B424" s="1781" t="s">
        <v>255</v>
      </c>
      <c r="C424" s="370"/>
      <c r="D424" s="2463"/>
      <c r="E424" s="2205"/>
      <c r="F424" s="2384" t="str">
        <f>INDEX(PT_DIFFERENTIATION_VTAR,MATCH(A424,PT_DIFFERENTIATION_VTAR_ID,0))</f>
        <v>Тарифы на теплоноситель, поставляемый теплоснабжающими организациями потребителям, другим теплоснабжающим организациям</v>
      </c>
      <c r="G424" s="2428" t="str">
        <f>INDEX(PT_DIFFERENTIATION_NTAR,MATCH(B424,PT_DIFFERENTIATION_NTAR_ID,0))</f>
        <v>Тарифы на теплоноситель, поставляемый группе потребителей "население". Муниципальный округ город Апатиты с подведомственной территорией Мурманской области, муниципальный округ город Кировск с подведомственной территорией Мурманской области</v>
      </c>
      <c r="H424" s="1863"/>
      <c r="I424" s="1740"/>
      <c r="J424" s="1774"/>
      <c r="K424" s="1779"/>
      <c r="L424" s="1863" t="s">
        <v>436</v>
      </c>
      <c r="M424" s="342"/>
      <c r="N424" s="335"/>
      <c r="O424" s="1625"/>
      <c r="P424" s="1625"/>
      <c r="AH424" s="1632">
        <v>0</v>
      </c>
    </row>
    <row s="1636" customFormat="1" customHeight="1" ht="18.75" hidden="1">
      <c r="A425" s="1781"/>
      <c r="B425" s="1781"/>
      <c r="C425" s="370" t="s">
        <v>1285</v>
      </c>
      <c r="D425" s="2463"/>
      <c r="E425" s="2205"/>
      <c r="F425" s="2384"/>
      <c r="G425" s="2428"/>
      <c r="H425" s="1501"/>
      <c r="I425" s="652" t="s">
        <v>1284</v>
      </c>
      <c r="J425" s="572"/>
      <c r="K425" s="1501"/>
      <c r="L425" s="215"/>
      <c r="M425" s="342"/>
      <c r="N425" s="335"/>
      <c r="O425" s="1625"/>
      <c r="P425" s="1625"/>
      <c r="AH425" s="1632">
        <v>0</v>
      </c>
    </row>
    <row s="1636" customFormat="1" customHeight="1" ht="18.75">
      <c r="A426" s="1824" t="s">
        <v>254</v>
      </c>
      <c r="B426" s="1824" t="s">
        <v>263</v>
      </c>
      <c r="C426" s="1688"/>
      <c r="D426" s="345"/>
      <c r="E426" s="1032"/>
      <c r="F426" s="1032"/>
      <c r="G426" s="2428" t="str">
        <f>INDEX(PT_DIFFERENTIATION_NTAR,MATCH(B426,PT_DIFFERENTIATION_NTAR_ID,0))</f>
        <v>Тарифы на теплоноситель, поставляемый потребителям. Муниципальный округ город Апатиты с подведомственной территорией Мурманской области, муниципальный округ город Кировск с подведомственной территорией Мурманской области</v>
      </c>
      <c r="H426" s="2272"/>
      <c r="I426" s="1740"/>
      <c r="J426" s="1774"/>
      <c r="K426" s="1779"/>
      <c r="L426" s="2272" t="s">
        <v>436</v>
      </c>
      <c r="M426" s="2319"/>
      <c r="N426" s="619"/>
      <c r="O426" s="1625"/>
      <c r="P426" s="1625"/>
      <c r="Q426" s="1636"/>
      <c r="R426" s="1636"/>
      <c r="S426" s="1636"/>
      <c r="T426" s="1636"/>
      <c r="U426" s="1636"/>
      <c r="V426" s="1636"/>
      <c r="W426" s="1636"/>
      <c r="X426" s="1636"/>
      <c r="Y426" s="1636"/>
      <c r="Z426" s="1636"/>
      <c r="AA426" s="1636"/>
      <c r="AB426" s="1636"/>
      <c r="AC426" s="1636"/>
      <c r="AD426" s="1636"/>
      <c r="AE426" s="1636"/>
      <c r="AF426" s="1636"/>
      <c r="AG426" s="1636"/>
      <c r="AH426" s="1636">
        <v>0</v>
      </c>
    </row>
    <row s="1636" customFormat="1" customHeight="1" ht="18.75">
      <c r="A427" s="1824"/>
      <c r="B427" s="1824"/>
      <c r="C427" s="1688" t="s">
        <v>1285</v>
      </c>
      <c r="D427" s="345"/>
      <c r="E427" s="1032"/>
      <c r="F427" s="1032"/>
      <c r="G427" s="2428"/>
      <c r="H427" s="5208"/>
      <c r="I427" s="5209" t="s">
        <v>1284</v>
      </c>
      <c r="J427" s="5210"/>
      <c r="K427" s="5211"/>
      <c r="L427" s="5212"/>
      <c r="M427" s="2319"/>
      <c r="N427" s="619"/>
      <c r="O427" s="1625"/>
      <c r="P427" s="1625"/>
      <c r="Q427" s="1636"/>
      <c r="R427" s="1636"/>
      <c r="S427" s="1636"/>
      <c r="T427" s="1636"/>
      <c r="U427" s="1636"/>
      <c r="V427" s="1636"/>
      <c r="W427" s="1636"/>
      <c r="X427" s="1636"/>
      <c r="Y427" s="1636"/>
      <c r="Z427" s="1636"/>
      <c r="AA427" s="1636"/>
      <c r="AB427" s="1636"/>
      <c r="AC427" s="1636"/>
      <c r="AD427" s="1636"/>
      <c r="AE427" s="1636"/>
      <c r="AF427" s="1636"/>
      <c r="AG427" s="1636"/>
      <c r="AH427" s="1636">
        <v>0</v>
      </c>
    </row>
    <row s="1636" customFormat="1" customHeight="1" ht="0.75" hidden="1">
      <c r="A428" s="1781"/>
      <c r="B428" s="1781"/>
      <c r="C428" s="370" t="s">
        <v>1292</v>
      </c>
      <c r="D428" s="2463"/>
      <c r="E428" s="2205"/>
      <c r="F428" s="2384"/>
      <c r="G428" s="401"/>
      <c r="H428" s="1501"/>
      <c r="I428" s="652"/>
      <c r="J428" s="572"/>
      <c r="K428" s="1501"/>
      <c r="L428" s="215"/>
      <c r="M428" s="342"/>
      <c r="N428" s="335"/>
      <c r="O428" s="1625"/>
      <c r="P428" s="1625"/>
      <c r="AH428" s="1632">
        <v>0</v>
      </c>
    </row>
    <row s="1636" customFormat="1" customHeight="1" ht="45" hidden="1">
      <c r="A429" s="1781" t="s">
        <v>272</v>
      </c>
      <c r="B429" s="1781" t="s">
        <v>273</v>
      </c>
      <c r="C429" s="370"/>
      <c r="D429" s="2463"/>
      <c r="E429" s="2205"/>
      <c r="F429" s="2384" t="str">
        <f>INDEX(PT_DIFFERENTIATION_VTAR,MATCH(A429,PT_DIFFERENTIATION_VTAR_ID,0))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429" s="2428" t="str">
        <f>INDEX(PT_DIFFERENTIATION_NTAR,MATCH(B429,PT_DIFFERENTIATION_NTAR_ID,0))</f>
        <v>Тарифы на горячую воду в открытых системах теплоснабжения (горячее водоснабжение), поставляемую группе потребителей "население". Муниципальный округ город Апатиты с подведомственной территорией Мурманской области.</v>
      </c>
      <c r="H429" s="1863"/>
      <c r="I429" s="1740"/>
      <c r="J429" s="1774"/>
      <c r="K429" s="1779"/>
      <c r="L429" s="1863" t="s">
        <v>436</v>
      </c>
      <c r="M429" s="342"/>
      <c r="N429" s="335"/>
      <c r="O429" s="1625"/>
      <c r="P429" s="1625"/>
      <c r="AH429" s="1632">
        <v>0</v>
      </c>
    </row>
    <row s="1636" customFormat="1" customHeight="1" ht="18.75" hidden="1">
      <c r="A430" s="1781"/>
      <c r="B430" s="1781"/>
      <c r="C430" s="370" t="s">
        <v>1285</v>
      </c>
      <c r="D430" s="2463"/>
      <c r="E430" s="2205"/>
      <c r="F430" s="2384"/>
      <c r="G430" s="2428"/>
      <c r="H430" s="1501"/>
      <c r="I430" s="652" t="s">
        <v>1284</v>
      </c>
      <c r="J430" s="572"/>
      <c r="K430" s="1501"/>
      <c r="L430" s="215"/>
      <c r="M430" s="342"/>
      <c r="N430" s="335"/>
      <c r="O430" s="1625"/>
      <c r="P430" s="1625"/>
      <c r="AH430" s="1632">
        <v>0</v>
      </c>
    </row>
    <row s="1636" customFormat="1" customHeight="1" ht="18.75">
      <c r="A431" s="1824" t="s">
        <v>272</v>
      </c>
      <c r="B431" s="1824" t="s">
        <v>278</v>
      </c>
      <c r="C431" s="1688"/>
      <c r="D431" s="345"/>
      <c r="E431" s="1032"/>
      <c r="F431" s="1032"/>
      <c r="G431" s="2428" t="str">
        <f>INDEX(PT_DIFFERENTIATION_NTAR,MATCH(B431,PT_DIFFERENTIATION_NTAR_ID,0))</f>
        <v>Тарифы на горячую воду в открытых системах теплоснабжения (горячее водоснабжение), поставляемую группе потребителей "население". Муниципальный округ город Кировск с подведомственной территорией Мурманской области.</v>
      </c>
      <c r="H431" s="2272"/>
      <c r="I431" s="1740"/>
      <c r="J431" s="1774"/>
      <c r="K431" s="1779"/>
      <c r="L431" s="2272" t="s">
        <v>436</v>
      </c>
      <c r="M431" s="2319"/>
      <c r="N431" s="619"/>
      <c r="O431" s="1625"/>
      <c r="P431" s="1625"/>
      <c r="Q431" s="1636"/>
      <c r="R431" s="1636"/>
      <c r="S431" s="1636"/>
      <c r="T431" s="1636"/>
      <c r="U431" s="1636"/>
      <c r="V431" s="1636"/>
      <c r="W431" s="1636"/>
      <c r="X431" s="1636"/>
      <c r="Y431" s="1636"/>
      <c r="Z431" s="1636"/>
      <c r="AA431" s="1636"/>
      <c r="AB431" s="1636"/>
      <c r="AC431" s="1636"/>
      <c r="AD431" s="1636"/>
      <c r="AE431" s="1636"/>
      <c r="AF431" s="1636"/>
      <c r="AG431" s="1636"/>
      <c r="AH431" s="1636">
        <v>0</v>
      </c>
    </row>
    <row s="1636" customFormat="1" customHeight="1" ht="18.75">
      <c r="A432" s="1824"/>
      <c r="B432" s="1824"/>
      <c r="C432" s="1688" t="s">
        <v>1285</v>
      </c>
      <c r="D432" s="345"/>
      <c r="E432" s="1032"/>
      <c r="F432" s="1032"/>
      <c r="G432" s="2428"/>
      <c r="H432" s="5213"/>
      <c r="I432" s="5214" t="s">
        <v>1284</v>
      </c>
      <c r="J432" s="5215"/>
      <c r="K432" s="5216"/>
      <c r="L432" s="5217"/>
      <c r="M432" s="2319"/>
      <c r="N432" s="619"/>
      <c r="O432" s="1625"/>
      <c r="P432" s="1625"/>
      <c r="Q432" s="1636"/>
      <c r="R432" s="1636"/>
      <c r="S432" s="1636"/>
      <c r="T432" s="1636"/>
      <c r="U432" s="1636"/>
      <c r="V432" s="1636"/>
      <c r="W432" s="1636"/>
      <c r="X432" s="1636"/>
      <c r="Y432" s="1636"/>
      <c r="Z432" s="1636"/>
      <c r="AA432" s="1636"/>
      <c r="AB432" s="1636"/>
      <c r="AC432" s="1636"/>
      <c r="AD432" s="1636"/>
      <c r="AE432" s="1636"/>
      <c r="AF432" s="1636"/>
      <c r="AG432" s="1636"/>
      <c r="AH432" s="1636">
        <v>0</v>
      </c>
    </row>
    <row s="1636" customFormat="1" customHeight="1" ht="18.75">
      <c r="A433" s="1824" t="s">
        <v>272</v>
      </c>
      <c r="B433" s="1824" t="s">
        <v>283</v>
      </c>
      <c r="C433" s="1688"/>
      <c r="D433" s="345"/>
      <c r="E433" s="1032"/>
      <c r="F433" s="1032"/>
      <c r="G433" s="2428" t="str">
        <f>INDEX(PT_DIFFERENTIATION_NTAR,MATCH(B433,PT_DIFFERENTIATION_NTAR_ID,0))</f>
        <v>Тарифы на горячую воду в открытых системах теплоснабжения (горячее водоснабжение), поставляемую потребителям. Муниципальный округ город Апатиты с подведомственной территорией Мурманской области. Для потребителей на коллекторах источника тепловой энергии Апатитская ТЭЦ</v>
      </c>
      <c r="H433" s="2272"/>
      <c r="I433" s="1740"/>
      <c r="J433" s="1774"/>
      <c r="K433" s="1779"/>
      <c r="L433" s="2272" t="s">
        <v>436</v>
      </c>
      <c r="M433" s="2319"/>
      <c r="N433" s="619"/>
      <c r="O433" s="1625"/>
      <c r="P433" s="1625"/>
      <c r="Q433" s="1636"/>
      <c r="R433" s="1636"/>
      <c r="S433" s="1636"/>
      <c r="T433" s="1636"/>
      <c r="U433" s="1636"/>
      <c r="V433" s="1636"/>
      <c r="W433" s="1636"/>
      <c r="X433" s="1636"/>
      <c r="Y433" s="1636"/>
      <c r="Z433" s="1636"/>
      <c r="AA433" s="1636"/>
      <c r="AB433" s="1636"/>
      <c r="AC433" s="1636"/>
      <c r="AD433" s="1636"/>
      <c r="AE433" s="1636"/>
      <c r="AF433" s="1636"/>
      <c r="AG433" s="1636"/>
      <c r="AH433" s="1636">
        <v>0</v>
      </c>
    </row>
    <row s="1636" customFormat="1" customHeight="1" ht="18.75">
      <c r="A434" s="1824"/>
      <c r="B434" s="1824"/>
      <c r="C434" s="1688" t="s">
        <v>1285</v>
      </c>
      <c r="D434" s="345"/>
      <c r="E434" s="1032"/>
      <c r="F434" s="1032"/>
      <c r="G434" s="2428"/>
      <c r="H434" s="5218"/>
      <c r="I434" s="5219" t="s">
        <v>1284</v>
      </c>
      <c r="J434" s="5220"/>
      <c r="K434" s="5221"/>
      <c r="L434" s="5222"/>
      <c r="M434" s="2319"/>
      <c r="N434" s="619"/>
      <c r="O434" s="1625"/>
      <c r="P434" s="1625"/>
      <c r="Q434" s="1636"/>
      <c r="R434" s="1636"/>
      <c r="S434" s="1636"/>
      <c r="T434" s="1636"/>
      <c r="U434" s="1636"/>
      <c r="V434" s="1636"/>
      <c r="W434" s="1636"/>
      <c r="X434" s="1636"/>
      <c r="Y434" s="1636"/>
      <c r="Z434" s="1636"/>
      <c r="AA434" s="1636"/>
      <c r="AB434" s="1636"/>
      <c r="AC434" s="1636"/>
      <c r="AD434" s="1636"/>
      <c r="AE434" s="1636"/>
      <c r="AF434" s="1636"/>
      <c r="AG434" s="1636"/>
      <c r="AH434" s="1636">
        <v>0</v>
      </c>
    </row>
    <row s="1636" customFormat="1" customHeight="1" ht="18.75">
      <c r="A435" s="1824" t="s">
        <v>272</v>
      </c>
      <c r="B435" s="1824" t="s">
        <v>288</v>
      </c>
      <c r="C435" s="1688"/>
      <c r="D435" s="345"/>
      <c r="E435" s="1032"/>
      <c r="F435" s="1032"/>
      <c r="G435" s="2428" t="str">
        <f>INDEX(PT_DIFFERENTIATION_NTAR,MATCH(B435,PT_DIFFERENTIATION_NTAR_ID,0))</f>
        <v>Тарифы на горячую воду в открытых системах теплоснабжения (горячее водоснабжение), поставляемую потребителям. Муниципальный округ город Апатиты с подведомственной территорией Мурманской области. Для потребителей, подключенных к тепловым сетям ПАО "ТГК-1"</v>
      </c>
      <c r="H435" s="2272"/>
      <c r="I435" s="1740"/>
      <c r="J435" s="1774"/>
      <c r="K435" s="1779"/>
      <c r="L435" s="2272" t="s">
        <v>436</v>
      </c>
      <c r="M435" s="2319"/>
      <c r="N435" s="619"/>
      <c r="O435" s="1625"/>
      <c r="P435" s="1625"/>
      <c r="Q435" s="1636"/>
      <c r="R435" s="1636"/>
      <c r="S435" s="1636"/>
      <c r="T435" s="1636"/>
      <c r="U435" s="1636"/>
      <c r="V435" s="1636"/>
      <c r="W435" s="1636"/>
      <c r="X435" s="1636"/>
      <c r="Y435" s="1636"/>
      <c r="Z435" s="1636"/>
      <c r="AA435" s="1636"/>
      <c r="AB435" s="1636"/>
      <c r="AC435" s="1636"/>
      <c r="AD435" s="1636"/>
      <c r="AE435" s="1636"/>
      <c r="AF435" s="1636"/>
      <c r="AG435" s="1636"/>
      <c r="AH435" s="1636">
        <v>0</v>
      </c>
    </row>
    <row s="1636" customFormat="1" customHeight="1" ht="18.75">
      <c r="A436" s="1824"/>
      <c r="B436" s="1824"/>
      <c r="C436" s="1688" t="s">
        <v>1285</v>
      </c>
      <c r="D436" s="345"/>
      <c r="E436" s="1032"/>
      <c r="F436" s="1032"/>
      <c r="G436" s="2428"/>
      <c r="H436" s="5223"/>
      <c r="I436" s="5224" t="s">
        <v>1284</v>
      </c>
      <c r="J436" s="5225"/>
      <c r="K436" s="5226"/>
      <c r="L436" s="5227"/>
      <c r="M436" s="2319"/>
      <c r="N436" s="619"/>
      <c r="O436" s="1625"/>
      <c r="P436" s="1625"/>
      <c r="Q436" s="1636"/>
      <c r="R436" s="1636"/>
      <c r="S436" s="1636"/>
      <c r="T436" s="1636"/>
      <c r="U436" s="1636"/>
      <c r="V436" s="1636"/>
      <c r="W436" s="1636"/>
      <c r="X436" s="1636"/>
      <c r="Y436" s="1636"/>
      <c r="Z436" s="1636"/>
      <c r="AA436" s="1636"/>
      <c r="AB436" s="1636"/>
      <c r="AC436" s="1636"/>
      <c r="AD436" s="1636"/>
      <c r="AE436" s="1636"/>
      <c r="AF436" s="1636"/>
      <c r="AG436" s="1636"/>
      <c r="AH436" s="1636">
        <v>0</v>
      </c>
    </row>
    <row s="1636" customFormat="1" customHeight="1" ht="18.75">
      <c r="A437" s="1824" t="s">
        <v>272</v>
      </c>
      <c r="B437" s="1824" t="s">
        <v>293</v>
      </c>
      <c r="C437" s="1688"/>
      <c r="D437" s="345"/>
      <c r="E437" s="1032"/>
      <c r="F437" s="1032"/>
      <c r="G437" s="2428" t="str">
        <f>INDEX(PT_DIFFERENTIATION_NTAR,MATCH(B437,PT_DIFFERENTIATION_NTAR_ID,0))</f>
        <v>Тарифы на горячую воду в открытых системах теплоснабжения (горячее водоснабжение), поставляемую потребителям. Муниципальный округ город Апатиты с подведомственной территорией Мурманской области. Для потребителей, подключенных к тепловым сетям АО "Апатитыэнерго"</v>
      </c>
      <c r="H437" s="2272"/>
      <c r="I437" s="1740"/>
      <c r="J437" s="1774"/>
      <c r="K437" s="1779"/>
      <c r="L437" s="2272" t="s">
        <v>436</v>
      </c>
      <c r="M437" s="2319"/>
      <c r="N437" s="619"/>
      <c r="O437" s="1625"/>
      <c r="P437" s="1625"/>
      <c r="Q437" s="1636"/>
      <c r="R437" s="1636"/>
      <c r="S437" s="1636"/>
      <c r="T437" s="1636"/>
      <c r="U437" s="1636"/>
      <c r="V437" s="1636"/>
      <c r="W437" s="1636"/>
      <c r="X437" s="1636"/>
      <c r="Y437" s="1636"/>
      <c r="Z437" s="1636"/>
      <c r="AA437" s="1636"/>
      <c r="AB437" s="1636"/>
      <c r="AC437" s="1636"/>
      <c r="AD437" s="1636"/>
      <c r="AE437" s="1636"/>
      <c r="AF437" s="1636"/>
      <c r="AG437" s="1636"/>
      <c r="AH437" s="1636">
        <v>0</v>
      </c>
    </row>
    <row s="1636" customFormat="1" customHeight="1" ht="18.75">
      <c r="A438" s="1824"/>
      <c r="B438" s="1824"/>
      <c r="C438" s="1688" t="s">
        <v>1285</v>
      </c>
      <c r="D438" s="345"/>
      <c r="E438" s="1032"/>
      <c r="F438" s="1032"/>
      <c r="G438" s="2428"/>
      <c r="H438" s="5228"/>
      <c r="I438" s="5229" t="s">
        <v>1284</v>
      </c>
      <c r="J438" s="5230"/>
      <c r="K438" s="5231"/>
      <c r="L438" s="5232"/>
      <c r="M438" s="2319"/>
      <c r="N438" s="619"/>
      <c r="O438" s="1625"/>
      <c r="P438" s="1625"/>
      <c r="Q438" s="1636"/>
      <c r="R438" s="1636"/>
      <c r="S438" s="1636"/>
      <c r="T438" s="1636"/>
      <c r="U438" s="1636"/>
      <c r="V438" s="1636"/>
      <c r="W438" s="1636"/>
      <c r="X438" s="1636"/>
      <c r="Y438" s="1636"/>
      <c r="Z438" s="1636"/>
      <c r="AA438" s="1636"/>
      <c r="AB438" s="1636"/>
      <c r="AC438" s="1636"/>
      <c r="AD438" s="1636"/>
      <c r="AE438" s="1636"/>
      <c r="AF438" s="1636"/>
      <c r="AG438" s="1636"/>
      <c r="AH438" s="1636">
        <v>0</v>
      </c>
    </row>
    <row s="1636" customFormat="1" customHeight="1" ht="18.75">
      <c r="A439" s="1824" t="s">
        <v>272</v>
      </c>
      <c r="B439" s="1824" t="s">
        <v>298</v>
      </c>
      <c r="C439" s="1688"/>
      <c r="D439" s="345"/>
      <c r="E439" s="1032"/>
      <c r="F439" s="1032"/>
      <c r="G439" s="2428" t="str">
        <f>INDEX(PT_DIFFERENTIATION_NTAR,MATCH(B439,PT_DIFFERENTIATION_NTAR_ID,0))</f>
        <v>Тарифы на горячую воду в открытых системах теплоснабжения (горячее водоснабжение), поставляемую потребителям. Муниципальный округ город Кировск с подведомственной территорией Мурманской области. Для потребителей в случае отсутствия дифференциации тарифов по схеме подключения</v>
      </c>
      <c r="H439" s="2272"/>
      <c r="I439" s="1740"/>
      <c r="J439" s="1774"/>
      <c r="K439" s="1779"/>
      <c r="L439" s="2272" t="s">
        <v>436</v>
      </c>
      <c r="M439" s="2319"/>
      <c r="N439" s="619"/>
      <c r="O439" s="1625"/>
      <c r="P439" s="1625"/>
      <c r="Q439" s="1636"/>
      <c r="R439" s="1636"/>
      <c r="S439" s="1636"/>
      <c r="T439" s="1636"/>
      <c r="U439" s="1636"/>
      <c r="V439" s="1636"/>
      <c r="W439" s="1636"/>
      <c r="X439" s="1636"/>
      <c r="Y439" s="1636"/>
      <c r="Z439" s="1636"/>
      <c r="AA439" s="1636"/>
      <c r="AB439" s="1636"/>
      <c r="AC439" s="1636"/>
      <c r="AD439" s="1636"/>
      <c r="AE439" s="1636"/>
      <c r="AF439" s="1636"/>
      <c r="AG439" s="1636"/>
      <c r="AH439" s="1636">
        <v>0</v>
      </c>
    </row>
    <row s="1636" customFormat="1" customHeight="1" ht="18.75">
      <c r="A440" s="1824"/>
      <c r="B440" s="1824"/>
      <c r="C440" s="1688" t="s">
        <v>1285</v>
      </c>
      <c r="D440" s="345"/>
      <c r="E440" s="1032"/>
      <c r="F440" s="1032"/>
      <c r="G440" s="2428"/>
      <c r="H440" s="5233"/>
      <c r="I440" s="5234" t="s">
        <v>1284</v>
      </c>
      <c r="J440" s="5235"/>
      <c r="K440" s="5236"/>
      <c r="L440" s="5237"/>
      <c r="M440" s="2319"/>
      <c r="N440" s="619"/>
      <c r="O440" s="1625"/>
      <c r="P440" s="1625"/>
      <c r="Q440" s="1636"/>
      <c r="R440" s="1636"/>
      <c r="S440" s="1636"/>
      <c r="T440" s="1636"/>
      <c r="U440" s="1636"/>
      <c r="V440" s="1636"/>
      <c r="W440" s="1636"/>
      <c r="X440" s="1636"/>
      <c r="Y440" s="1636"/>
      <c r="Z440" s="1636"/>
      <c r="AA440" s="1636"/>
      <c r="AB440" s="1636"/>
      <c r="AC440" s="1636"/>
      <c r="AD440" s="1636"/>
      <c r="AE440" s="1636"/>
      <c r="AF440" s="1636"/>
      <c r="AG440" s="1636"/>
      <c r="AH440" s="1636">
        <v>0</v>
      </c>
    </row>
    <row s="1636" customFormat="1" customHeight="1" ht="0.75" hidden="1">
      <c r="A441" s="1781"/>
      <c r="B441" s="1781"/>
      <c r="C441" s="370" t="s">
        <v>1292</v>
      </c>
      <c r="D441" s="2463"/>
      <c r="E441" s="2205"/>
      <c r="F441" s="2384"/>
      <c r="G441" s="401"/>
      <c r="H441" s="1501"/>
      <c r="I441" s="652"/>
      <c r="J441" s="572"/>
      <c r="K441" s="1501"/>
      <c r="L441" s="215"/>
      <c r="M441" s="342"/>
      <c r="N441" s="335"/>
      <c r="O441" s="1625"/>
      <c r="P441" s="1625"/>
      <c r="AH441" s="1632">
        <v>0</v>
      </c>
    </row>
    <row s="1636" customFormat="1" customHeight="1" ht="18.75" hidden="1">
      <c r="A442" s="1781" t="s">
        <v>303</v>
      </c>
      <c r="B442" s="1781" t="s">
        <v>304</v>
      </c>
      <c r="C442" s="370"/>
      <c r="D442" s="2463"/>
      <c r="E442" s="2205"/>
      <c r="F442" s="2384" t="str">
        <f>INDEX(PT_DIFFERENTIATION_VTAR,MATCH(A442,PT_DIFFERENTIATION_VTAR_ID,0))</f>
        <v>Тарифы на услуги по передаче тепловой энергии</v>
      </c>
      <c r="G442" s="2428" t="str">
        <f>INDEX(PT_DIFFERENTIATION_NTAR,MATCH(B442,PT_DIFFERENTIATION_NTAR_ID,0))</f>
        <v/>
      </c>
      <c r="H442" s="1863"/>
      <c r="I442" s="1740"/>
      <c r="J442" s="1774"/>
      <c r="K442" s="1779"/>
      <c r="L442" s="1863" t="s">
        <v>436</v>
      </c>
      <c r="M442" s="342"/>
      <c r="N442" s="335"/>
      <c r="O442" s="1625"/>
      <c r="P442" s="1625"/>
      <c r="AH442" s="1632">
        <v>0</v>
      </c>
    </row>
    <row s="1636" customFormat="1" customHeight="1" ht="18.75" hidden="1">
      <c r="A443" s="1781"/>
      <c r="B443" s="1781"/>
      <c r="C443" s="370" t="s">
        <v>1285</v>
      </c>
      <c r="D443" s="2463"/>
      <c r="E443" s="2205"/>
      <c r="F443" s="2384"/>
      <c r="G443" s="2428"/>
      <c r="H443" s="1501"/>
      <c r="I443" s="652" t="s">
        <v>1284</v>
      </c>
      <c r="J443" s="572"/>
      <c r="K443" s="1501"/>
      <c r="L443" s="215"/>
      <c r="M443" s="342"/>
      <c r="N443" s="335"/>
      <c r="O443" s="1625"/>
      <c r="P443" s="1625"/>
      <c r="AH443" s="1632">
        <v>0</v>
      </c>
    </row>
    <row s="1636" customFormat="1" customHeight="1" ht="0.75" hidden="1">
      <c r="A444" s="1781"/>
      <c r="B444" s="1781"/>
      <c r="C444" s="370" t="s">
        <v>1292</v>
      </c>
      <c r="D444" s="2463"/>
      <c r="E444" s="2205"/>
      <c r="F444" s="2384"/>
      <c r="G444" s="401"/>
      <c r="H444" s="1501"/>
      <c r="I444" s="652"/>
      <c r="J444" s="572"/>
      <c r="K444" s="1501"/>
      <c r="L444" s="215"/>
      <c r="M444" s="342"/>
      <c r="N444" s="335"/>
      <c r="O444" s="1625"/>
      <c r="P444" s="1625"/>
      <c r="AH444" s="1632">
        <v>0</v>
      </c>
    </row>
    <row s="1636" customFormat="1" customHeight="1" ht="18.75" hidden="1">
      <c r="A445" s="1781" t="s">
        <v>309</v>
      </c>
      <c r="B445" s="1781" t="s">
        <v>310</v>
      </c>
      <c r="C445" s="370"/>
      <c r="D445" s="2463"/>
      <c r="E445" s="2205"/>
      <c r="F445" s="2384" t="str">
        <f>INDEX(PT_DIFFERENTIATION_VTAR,MATCH(A445,PT_DIFFERENTIATION_VTAR_ID,0))</f>
        <v>Тарифы на услуги по передаче теплоносителя</v>
      </c>
      <c r="G445" s="2428" t="str">
        <f>INDEX(PT_DIFFERENTIATION_NTAR,MATCH(B445,PT_DIFFERENTIATION_NTAR_ID,0))</f>
        <v/>
      </c>
      <c r="H445" s="1863"/>
      <c r="I445" s="1740"/>
      <c r="J445" s="1774"/>
      <c r="K445" s="1779"/>
      <c r="L445" s="1863" t="s">
        <v>436</v>
      </c>
      <c r="M445" s="342"/>
      <c r="N445" s="335"/>
      <c r="O445" s="1625"/>
      <c r="P445" s="1625"/>
      <c r="AH445" s="1632">
        <v>0</v>
      </c>
    </row>
    <row s="1636" customFormat="1" customHeight="1" ht="18.75" hidden="1">
      <c r="A446" s="1781"/>
      <c r="B446" s="1781"/>
      <c r="C446" s="370" t="s">
        <v>1285</v>
      </c>
      <c r="D446" s="2463"/>
      <c r="E446" s="2205"/>
      <c r="F446" s="2384"/>
      <c r="G446" s="2428"/>
      <c r="H446" s="1501"/>
      <c r="I446" s="652" t="s">
        <v>1284</v>
      </c>
      <c r="J446" s="572"/>
      <c r="K446" s="1501"/>
      <c r="L446" s="215"/>
      <c r="M446" s="342"/>
      <c r="N446" s="335"/>
      <c r="O446" s="1625"/>
      <c r="P446" s="1625"/>
      <c r="AH446" s="1632">
        <v>0</v>
      </c>
    </row>
    <row s="1636" customFormat="1" customHeight="1" ht="0.75" hidden="1">
      <c r="A447" s="1781"/>
      <c r="B447" s="1781"/>
      <c r="C447" s="370" t="s">
        <v>1292</v>
      </c>
      <c r="D447" s="2463"/>
      <c r="E447" s="2205"/>
      <c r="F447" s="2384"/>
      <c r="G447" s="401"/>
      <c r="H447" s="1501"/>
      <c r="I447" s="652"/>
      <c r="J447" s="572"/>
      <c r="K447" s="1501"/>
      <c r="L447" s="215"/>
      <c r="M447" s="342"/>
      <c r="N447" s="335"/>
      <c r="O447" s="1625"/>
      <c r="P447" s="1625"/>
      <c r="AH447" s="1632">
        <v>0</v>
      </c>
    </row>
    <row s="1636" customFormat="1" customHeight="1" ht="18.75" hidden="1">
      <c r="A448" s="1781" t="s">
        <v>317</v>
      </c>
      <c r="B448" s="1781" t="s">
        <v>318</v>
      </c>
      <c r="C448" s="370"/>
      <c r="D448" s="2463"/>
      <c r="E448" s="2205"/>
      <c r="F448" s="2384" t="str">
        <f>INDEX(PT_DIFFERENTIATION_VTAR,MATCH(A448,PT_DIFFERENTIATION_VTAR_ID,0))</f>
        <v>Плата за услуги по поддержанию резервной тепловой мощности при отсутствии потребления тепловой энергии</v>
      </c>
      <c r="G448" s="2428" t="str">
        <f>INDEX(PT_DIFFERENTIATION_NTAR,MATCH(B448,PT_DIFFERENTIATION_NTAR_ID,0))</f>
        <v>Плата за услуги по поддержанию резервной тепловой мощности. </v>
      </c>
      <c r="H448" s="1863"/>
      <c r="I448" s="1740"/>
      <c r="J448" s="1774"/>
      <c r="K448" s="1779"/>
      <c r="L448" s="1863" t="s">
        <v>436</v>
      </c>
      <c r="M448" s="342"/>
      <c r="N448" s="335"/>
      <c r="O448" s="1625"/>
      <c r="P448" s="1625"/>
      <c r="AH448" s="1632">
        <v>0</v>
      </c>
    </row>
    <row s="1636" customFormat="1" customHeight="1" ht="18.75" hidden="1">
      <c r="A449" s="1781"/>
      <c r="B449" s="1781"/>
      <c r="C449" s="370" t="s">
        <v>1285</v>
      </c>
      <c r="D449" s="2463"/>
      <c r="E449" s="2205"/>
      <c r="F449" s="2384"/>
      <c r="G449" s="2428"/>
      <c r="H449" s="1501"/>
      <c r="I449" s="652" t="s">
        <v>1284</v>
      </c>
      <c r="J449" s="572"/>
      <c r="K449" s="1501"/>
      <c r="L449" s="215"/>
      <c r="M449" s="342"/>
      <c r="N449" s="335"/>
      <c r="O449" s="1625"/>
      <c r="P449" s="1625"/>
      <c r="AH449" s="1632">
        <v>0</v>
      </c>
    </row>
    <row s="1636" customFormat="1" customHeight="1" ht="0.75" hidden="1">
      <c r="A450" s="1781"/>
      <c r="B450" s="1781"/>
      <c r="C450" s="370" t="s">
        <v>1292</v>
      </c>
      <c r="D450" s="2463"/>
      <c r="E450" s="2205"/>
      <c r="F450" s="2384"/>
      <c r="G450" s="401"/>
      <c r="H450" s="1501"/>
      <c r="I450" s="652"/>
      <c r="J450" s="572"/>
      <c r="K450" s="1501"/>
      <c r="L450" s="215"/>
      <c r="M450" s="342"/>
      <c r="N450" s="335"/>
      <c r="O450" s="1625"/>
      <c r="P450" s="1625"/>
      <c r="AH450" s="1632">
        <v>0</v>
      </c>
    </row>
    <row s="1636" customFormat="1" customHeight="1" ht="18.75" hidden="1">
      <c r="A451" s="1781" t="s">
        <v>329</v>
      </c>
      <c r="B451" s="1781" t="s">
        <v>330</v>
      </c>
      <c r="C451" s="370"/>
      <c r="D451" s="2463"/>
      <c r="E451" s="2205"/>
      <c r="F451" s="2384" t="str">
        <f>INDEX(PT_DIFFERENTIATION_VTAR,MATCH(A451,PT_DIFFERENTIATION_VTAR_ID,0))</f>
        <v>Плата за подключение (технологическое присоединение) к системе теплоснабжения</v>
      </c>
      <c r="G451" s="2428" t="str">
        <f>INDEX(PT_DIFFERENTIATION_NTAR,MATCH(B451,PT_DIFFERENTIATION_NTAR_ID,0))</f>
        <v/>
      </c>
      <c r="H451" s="1863"/>
      <c r="I451" s="1740"/>
      <c r="J451" s="1774"/>
      <c r="K451" s="1779"/>
      <c r="L451" s="1863" t="s">
        <v>436</v>
      </c>
      <c r="M451" s="342"/>
      <c r="N451" s="335"/>
      <c r="O451" s="1625"/>
      <c r="P451" s="1625"/>
      <c r="AH451" s="1632">
        <v>0</v>
      </c>
    </row>
    <row s="1636" customFormat="1" customHeight="1" ht="18.75" hidden="1">
      <c r="A452" s="1781"/>
      <c r="B452" s="1781"/>
      <c r="C452" s="370" t="s">
        <v>1285</v>
      </c>
      <c r="D452" s="2463"/>
      <c r="E452" s="2205"/>
      <c r="F452" s="2384"/>
      <c r="G452" s="2428"/>
      <c r="H452" s="1501"/>
      <c r="I452" s="652" t="s">
        <v>1284</v>
      </c>
      <c r="J452" s="572"/>
      <c r="K452" s="1501"/>
      <c r="L452" s="215"/>
      <c r="M452" s="342"/>
      <c r="N452" s="335"/>
      <c r="O452" s="1625"/>
      <c r="P452" s="1625"/>
      <c r="AH452" s="1632">
        <v>0</v>
      </c>
    </row>
    <row s="1636" customFormat="1" customHeight="1" ht="0.75" hidden="1">
      <c r="A453" s="1781"/>
      <c r="B453" s="1781"/>
      <c r="C453" s="370" t="s">
        <v>1292</v>
      </c>
      <c r="D453" s="2463"/>
      <c r="E453" s="2205"/>
      <c r="F453" s="2384"/>
      <c r="G453" s="401"/>
      <c r="H453" s="1501"/>
      <c r="I453" s="652"/>
      <c r="J453" s="572"/>
      <c r="K453" s="1501"/>
      <c r="L453" s="215"/>
      <c r="M453" s="342"/>
      <c r="N453" s="335"/>
      <c r="O453" s="1625"/>
      <c r="P453" s="1625"/>
      <c r="AH453" s="1632">
        <v>0</v>
      </c>
    </row>
    <row s="1636" customFormat="1" customHeight="1" ht="18.75" hidden="1">
      <c r="A454" s="1781" t="s">
        <v>335</v>
      </c>
      <c r="B454" s="1781" t="s">
        <v>336</v>
      </c>
      <c r="C454" s="370"/>
      <c r="D454" s="2463"/>
      <c r="E454" s="2205"/>
      <c r="F454" s="2384" t="str">
        <f>INDEX(PT_DIFFERENTIATION_VTAR,MATCH(A454,PT_DIFFERENTIATION_VTAR_ID,0))</f>
        <v>Плата за подключение (технологическое присоединение) к системе теплоснабжения (индивидуальная)</v>
      </c>
      <c r="G454" s="2428" t="str">
        <f>INDEX(PT_DIFFERENTIATION_NTAR,MATCH(B454,PT_DIFFERENTIATION_NTAR_ID,0))</f>
        <v/>
      </c>
      <c r="H454" s="1990"/>
      <c r="I454" s="1740"/>
      <c r="J454" s="1774"/>
      <c r="K454" s="1779"/>
      <c r="L454" s="1990" t="s">
        <v>436</v>
      </c>
      <c r="M454" s="342"/>
      <c r="N454" s="335"/>
      <c r="O454" s="1625"/>
      <c r="P454" s="1625"/>
      <c r="AH454" s="1632">
        <v>0</v>
      </c>
    </row>
    <row s="1636" customFormat="1" customHeight="1" ht="18.75" hidden="1">
      <c r="A455" s="1781"/>
      <c r="B455" s="1781"/>
      <c r="C455" s="370" t="s">
        <v>1285</v>
      </c>
      <c r="D455" s="2463"/>
      <c r="E455" s="2205"/>
      <c r="F455" s="2384"/>
      <c r="G455" s="2428"/>
      <c r="H455" s="1501"/>
      <c r="I455" s="652" t="s">
        <v>1284</v>
      </c>
      <c r="J455" s="572"/>
      <c r="K455" s="1501"/>
      <c r="L455" s="215"/>
      <c r="M455" s="342"/>
      <c r="N455" s="335"/>
      <c r="O455" s="1625"/>
      <c r="P455" s="1625"/>
      <c r="AH455" s="1632">
        <v>0</v>
      </c>
    </row>
    <row s="1636" customFormat="1" customHeight="1" ht="0.75" hidden="1">
      <c r="A456" s="1781"/>
      <c r="B456" s="1781"/>
      <c r="C456" s="370" t="s">
        <v>1292</v>
      </c>
      <c r="D456" s="2463"/>
      <c r="E456" s="2205"/>
      <c r="F456" s="2384"/>
      <c r="G456" s="401"/>
      <c r="H456" s="1501"/>
      <c r="I456" s="652"/>
      <c r="J456" s="572"/>
      <c r="K456" s="1501"/>
      <c r="L456" s="215"/>
      <c r="M456" s="342"/>
      <c r="N456" s="335"/>
      <c r="O456" s="1625"/>
      <c r="P456" s="1625"/>
      <c r="AH456" s="1632">
        <v>0</v>
      </c>
    </row>
    <row s="1636" customFormat="1" customHeight="1" ht="18.75" hidden="1">
      <c r="A457" s="1781" t="s">
        <v>355</v>
      </c>
      <c r="B457" s="1781" t="s">
        <v>356</v>
      </c>
      <c r="C457" s="370"/>
      <c r="D457" s="2463"/>
      <c r="E457" s="2205"/>
      <c r="F457" s="2384" t="str">
        <f>INDEX(PT_DIFFERENTIATION_VTAR,MATCH(A457,PT_DIFFERENTIATION_VTAR_ID,0))</f>
        <v>Тариф на питьевую воду (питьевое водоснабжение)</v>
      </c>
      <c r="G457" s="2428" t="str">
        <f>INDEX(PT_DIFFERENTIATION_NTAR,MATCH(B457,PT_DIFFERENTIATION_NTAR_ID,0))</f>
        <v/>
      </c>
      <c r="H457" s="1863"/>
      <c r="I457" s="1740"/>
      <c r="J457" s="1774"/>
      <c r="K457" s="1779"/>
      <c r="L457" s="1863" t="s">
        <v>436</v>
      </c>
      <c r="M457" s="342"/>
      <c r="N457" s="335"/>
      <c r="O457" s="1625"/>
      <c r="P457" s="1625"/>
      <c r="AH457" s="1632">
        <v>0</v>
      </c>
    </row>
    <row s="1636" customFormat="1" customHeight="1" ht="18.75" hidden="1">
      <c r="A458" s="1781"/>
      <c r="B458" s="1781"/>
      <c r="C458" s="370" t="s">
        <v>1285</v>
      </c>
      <c r="D458" s="2463"/>
      <c r="E458" s="2205"/>
      <c r="F458" s="2384"/>
      <c r="G458" s="2428"/>
      <c r="H458" s="1501"/>
      <c r="I458" s="652" t="s">
        <v>1284</v>
      </c>
      <c r="J458" s="572"/>
      <c r="K458" s="1501"/>
      <c r="L458" s="215"/>
      <c r="M458" s="342"/>
      <c r="N458" s="335"/>
      <c r="O458" s="1625"/>
      <c r="P458" s="1625"/>
      <c r="AH458" s="1632">
        <v>0</v>
      </c>
    </row>
    <row s="1636" customFormat="1" customHeight="1" ht="0.75" hidden="1">
      <c r="A459" s="1781"/>
      <c r="B459" s="1781"/>
      <c r="C459" s="370" t="s">
        <v>1292</v>
      </c>
      <c r="D459" s="2463"/>
      <c r="E459" s="2205"/>
      <c r="F459" s="2384"/>
      <c r="G459" s="401"/>
      <c r="H459" s="1501"/>
      <c r="I459" s="652"/>
      <c r="J459" s="572"/>
      <c r="K459" s="1501"/>
      <c r="L459" s="215"/>
      <c r="M459" s="342"/>
      <c r="N459" s="335"/>
      <c r="O459" s="1625"/>
      <c r="P459" s="1625"/>
      <c r="AH459" s="1632">
        <v>0</v>
      </c>
    </row>
    <row s="1636" customFormat="1" customHeight="1" ht="18.75" hidden="1">
      <c r="A460" s="1781" t="s">
        <v>360</v>
      </c>
      <c r="B460" s="1781" t="s">
        <v>361</v>
      </c>
      <c r="C460" s="370"/>
      <c r="D460" s="2463"/>
      <c r="E460" s="2205"/>
      <c r="F460" s="2384" t="str">
        <f>INDEX(PT_DIFFERENTIATION_VTAR,MATCH(A460,PT_DIFFERENTIATION_VTAR_ID,0))</f>
        <v>Тариф на техническую воду</v>
      </c>
      <c r="G460" s="2428" t="str">
        <f>INDEX(PT_DIFFERENTIATION_NTAR,MATCH(B460,PT_DIFFERENTIATION_NTAR_ID,0))</f>
        <v/>
      </c>
      <c r="H460" s="1863"/>
      <c r="I460" s="1740"/>
      <c r="J460" s="1774"/>
      <c r="K460" s="1779"/>
      <c r="L460" s="1863" t="s">
        <v>436</v>
      </c>
      <c r="M460" s="342"/>
      <c r="N460" s="335"/>
      <c r="O460" s="1625"/>
      <c r="P460" s="1625"/>
      <c r="AH460" s="1632">
        <v>0</v>
      </c>
    </row>
    <row s="1636" customFormat="1" customHeight="1" ht="18.75" hidden="1">
      <c r="A461" s="1781"/>
      <c r="B461" s="1781"/>
      <c r="C461" s="370" t="s">
        <v>1285</v>
      </c>
      <c r="D461" s="2463"/>
      <c r="E461" s="2205"/>
      <c r="F461" s="2384"/>
      <c r="G461" s="2428"/>
      <c r="H461" s="1501"/>
      <c r="I461" s="652" t="s">
        <v>1284</v>
      </c>
      <c r="J461" s="572"/>
      <c r="K461" s="1501"/>
      <c r="L461" s="215"/>
      <c r="M461" s="342"/>
      <c r="N461" s="335"/>
      <c r="O461" s="1625"/>
      <c r="P461" s="1625"/>
      <c r="AH461" s="1632">
        <v>0</v>
      </c>
    </row>
    <row s="1636" customFormat="1" customHeight="1" ht="0.75" hidden="1">
      <c r="A462" s="1781"/>
      <c r="B462" s="1781"/>
      <c r="C462" s="370" t="s">
        <v>1292</v>
      </c>
      <c r="D462" s="2463"/>
      <c r="E462" s="2205"/>
      <c r="F462" s="2384"/>
      <c r="G462" s="401"/>
      <c r="H462" s="1501"/>
      <c r="I462" s="652"/>
      <c r="J462" s="572"/>
      <c r="K462" s="1501"/>
      <c r="L462" s="215"/>
      <c r="M462" s="342"/>
      <c r="N462" s="335"/>
      <c r="O462" s="1625"/>
      <c r="P462" s="1625"/>
      <c r="AH462" s="1632">
        <v>0</v>
      </c>
    </row>
    <row s="1636" customFormat="1" customHeight="1" ht="18.75" hidden="1">
      <c r="A463" s="1781" t="s">
        <v>365</v>
      </c>
      <c r="B463" s="1781" t="s">
        <v>366</v>
      </c>
      <c r="C463" s="370"/>
      <c r="D463" s="2463"/>
      <c r="E463" s="2205"/>
      <c r="F463" s="2384" t="str">
        <f>INDEX(PT_DIFFERENTIATION_VTAR,MATCH(A463,PT_DIFFERENTIATION_VTAR_ID,0))</f>
        <v>Тариф на транспортировку воды</v>
      </c>
      <c r="G463" s="2428" t="str">
        <f>INDEX(PT_DIFFERENTIATION_NTAR,MATCH(B463,PT_DIFFERENTIATION_NTAR_ID,0))</f>
        <v/>
      </c>
      <c r="H463" s="1863"/>
      <c r="I463" s="1740"/>
      <c r="J463" s="1774"/>
      <c r="K463" s="1779"/>
      <c r="L463" s="1863" t="s">
        <v>436</v>
      </c>
      <c r="M463" s="342"/>
      <c r="N463" s="335"/>
      <c r="O463" s="1625"/>
      <c r="P463" s="1625"/>
      <c r="AH463" s="1632">
        <v>0</v>
      </c>
    </row>
    <row s="1636" customFormat="1" customHeight="1" ht="18.75" hidden="1">
      <c r="A464" s="1781"/>
      <c r="B464" s="1781"/>
      <c r="C464" s="370" t="s">
        <v>1285</v>
      </c>
      <c r="D464" s="2463"/>
      <c r="E464" s="2205"/>
      <c r="F464" s="2384"/>
      <c r="G464" s="2428"/>
      <c r="H464" s="1501"/>
      <c r="I464" s="652" t="s">
        <v>1284</v>
      </c>
      <c r="J464" s="572"/>
      <c r="K464" s="1501"/>
      <c r="L464" s="215"/>
      <c r="M464" s="342"/>
      <c r="N464" s="335"/>
      <c r="O464" s="1625"/>
      <c r="P464" s="1625"/>
      <c r="AH464" s="1632">
        <v>0</v>
      </c>
    </row>
    <row s="1636" customFormat="1" customHeight="1" ht="0.75" hidden="1">
      <c r="A465" s="1781"/>
      <c r="B465" s="1781"/>
      <c r="C465" s="370" t="s">
        <v>1292</v>
      </c>
      <c r="D465" s="2463"/>
      <c r="E465" s="2205"/>
      <c r="F465" s="2384"/>
      <c r="G465" s="401"/>
      <c r="H465" s="1501"/>
      <c r="I465" s="652"/>
      <c r="J465" s="572"/>
      <c r="K465" s="1501"/>
      <c r="L465" s="215"/>
      <c r="M465" s="342"/>
      <c r="N465" s="335"/>
      <c r="O465" s="1625"/>
      <c r="P465" s="1625"/>
      <c r="AH465" s="1632">
        <v>0</v>
      </c>
    </row>
    <row s="1636" customFormat="1" customHeight="1" ht="18.75" hidden="1">
      <c r="A466" s="1781" t="s">
        <v>370</v>
      </c>
      <c r="B466" s="1781" t="s">
        <v>371</v>
      </c>
      <c r="C466" s="370"/>
      <c r="D466" s="2463"/>
      <c r="E466" s="2205"/>
      <c r="F466" s="2384" t="str">
        <f>INDEX(PT_DIFFERENTIATION_VTAR,MATCH(A466,PT_DIFFERENTIATION_VTAR_ID,0))</f>
        <v>Тариф на подвоз воды</v>
      </c>
      <c r="G466" s="2428" t="str">
        <f>INDEX(PT_DIFFERENTIATION_NTAR,MATCH(B466,PT_DIFFERENTIATION_NTAR_ID,0))</f>
        <v/>
      </c>
      <c r="H466" s="1863"/>
      <c r="I466" s="1740"/>
      <c r="J466" s="1774"/>
      <c r="K466" s="1779"/>
      <c r="L466" s="1863" t="s">
        <v>436</v>
      </c>
      <c r="M466" s="342"/>
      <c r="N466" s="335"/>
      <c r="O466" s="1625"/>
      <c r="P466" s="1625"/>
      <c r="AH466" s="1632">
        <v>0</v>
      </c>
    </row>
    <row s="1636" customFormat="1" customHeight="1" ht="18.75" hidden="1">
      <c r="A467" s="1781"/>
      <c r="B467" s="1781"/>
      <c r="C467" s="370" t="s">
        <v>1285</v>
      </c>
      <c r="D467" s="2463"/>
      <c r="E467" s="2205"/>
      <c r="F467" s="2384"/>
      <c r="G467" s="2428"/>
      <c r="H467" s="1501"/>
      <c r="I467" s="652" t="s">
        <v>1284</v>
      </c>
      <c r="J467" s="572"/>
      <c r="K467" s="1501"/>
      <c r="L467" s="215"/>
      <c r="M467" s="342"/>
      <c r="N467" s="335"/>
      <c r="O467" s="1625"/>
      <c r="P467" s="1625"/>
      <c r="AH467" s="1632">
        <v>0</v>
      </c>
    </row>
    <row s="1636" customFormat="1" customHeight="1" ht="0.75" hidden="1">
      <c r="A468" s="1781"/>
      <c r="B468" s="1781"/>
      <c r="C468" s="370" t="s">
        <v>1292</v>
      </c>
      <c r="D468" s="2463"/>
      <c r="E468" s="2205"/>
      <c r="F468" s="2384"/>
      <c r="G468" s="401"/>
      <c r="H468" s="1501"/>
      <c r="I468" s="652"/>
      <c r="J468" s="572"/>
      <c r="K468" s="1501"/>
      <c r="L468" s="215"/>
      <c r="M468" s="342"/>
      <c r="N468" s="335"/>
      <c r="O468" s="1625"/>
      <c r="P468" s="1625"/>
      <c r="AH468" s="1632">
        <v>0</v>
      </c>
    </row>
    <row s="1636" customFormat="1" customHeight="1" ht="18.75" hidden="1">
      <c r="A469" s="1781" t="s">
        <v>375</v>
      </c>
      <c r="B469" s="1781" t="s">
        <v>376</v>
      </c>
      <c r="C469" s="370"/>
      <c r="D469" s="2463"/>
      <c r="E469" s="2205"/>
      <c r="F469" s="2384" t="str">
        <f>INDEX(PT_DIFFERENTIATION_VTAR,MATCH(A469,PT_DIFFERENTIATION_VTAR_ID,0))</f>
        <v>Тариф на подключение (технологическое присоединение) к централизованной системе холодного водоснабжения</v>
      </c>
      <c r="G469" s="2428" t="str">
        <f>INDEX(PT_DIFFERENTIATION_NTAR,MATCH(B469,PT_DIFFERENTIATION_NTAR_ID,0))</f>
        <v/>
      </c>
      <c r="H469" s="1863"/>
      <c r="I469" s="1740"/>
      <c r="J469" s="1774"/>
      <c r="K469" s="1779"/>
      <c r="L469" s="1863" t="s">
        <v>436</v>
      </c>
      <c r="M469" s="342"/>
      <c r="N469" s="335"/>
      <c r="O469" s="1625"/>
      <c r="P469" s="1625"/>
      <c r="AH469" s="1632">
        <v>0</v>
      </c>
    </row>
    <row s="1636" customFormat="1" customHeight="1" ht="18.75" hidden="1">
      <c r="A470" s="1781"/>
      <c r="B470" s="1781"/>
      <c r="C470" s="370" t="s">
        <v>1285</v>
      </c>
      <c r="D470" s="2463"/>
      <c r="E470" s="2205"/>
      <c r="F470" s="2384"/>
      <c r="G470" s="2428"/>
      <c r="H470" s="1501"/>
      <c r="I470" s="652" t="s">
        <v>1284</v>
      </c>
      <c r="J470" s="572"/>
      <c r="K470" s="1501"/>
      <c r="L470" s="215"/>
      <c r="M470" s="342"/>
      <c r="N470" s="335"/>
      <c r="O470" s="1625"/>
      <c r="P470" s="1625"/>
      <c r="AH470" s="1632">
        <v>0</v>
      </c>
    </row>
    <row s="1636" customFormat="1" customHeight="1" ht="0.75" hidden="1">
      <c r="A471" s="1781"/>
      <c r="B471" s="1781"/>
      <c r="C471" s="370" t="s">
        <v>1292</v>
      </c>
      <c r="D471" s="2463"/>
      <c r="E471" s="2205"/>
      <c r="F471" s="2384"/>
      <c r="G471" s="401"/>
      <c r="H471" s="1501"/>
      <c r="I471" s="652"/>
      <c r="J471" s="572"/>
      <c r="K471" s="1501"/>
      <c r="L471" s="215"/>
      <c r="M471" s="342"/>
      <c r="N471" s="335"/>
      <c r="O471" s="1625"/>
      <c r="P471" s="1625"/>
      <c r="AH471" s="1632">
        <v>0</v>
      </c>
    </row>
    <row s="1636" customFormat="1" customHeight="1" ht="18.75" hidden="1">
      <c r="A472" s="1781" t="s">
        <v>380</v>
      </c>
      <c r="B472" s="1781" t="s">
        <v>381</v>
      </c>
      <c r="C472" s="370"/>
      <c r="D472" s="2463"/>
      <c r="E472" s="2205"/>
      <c r="F472" s="2384" t="str">
        <f>INDEX(PT_DIFFERENTIATION_VTAR,MATCH(A472,PT_DIFFERENTIATION_VTAR_ID,0))</f>
        <v>Тариф на горячую воду (горячее водоснабжение)</v>
      </c>
      <c r="G472" s="2428" t="str">
        <f>INDEX(PT_DIFFERENTIATION_NTAR,MATCH(B472,PT_DIFFERENTIATION_NTAR_ID,0))</f>
        <v/>
      </c>
      <c r="H472" s="1863"/>
      <c r="I472" s="1740"/>
      <c r="J472" s="1774"/>
      <c r="K472" s="1779"/>
      <c r="L472" s="1863" t="s">
        <v>436</v>
      </c>
      <c r="M472" s="342"/>
      <c r="N472" s="335"/>
      <c r="O472" s="1625"/>
      <c r="P472" s="1625"/>
      <c r="AH472" s="1632">
        <v>0</v>
      </c>
    </row>
    <row s="1636" customFormat="1" customHeight="1" ht="18.75" hidden="1">
      <c r="A473" s="1781"/>
      <c r="B473" s="1781"/>
      <c r="C473" s="370" t="s">
        <v>1285</v>
      </c>
      <c r="D473" s="2463"/>
      <c r="E473" s="2205"/>
      <c r="F473" s="2384"/>
      <c r="G473" s="2428"/>
      <c r="H473" s="1501"/>
      <c r="I473" s="652" t="s">
        <v>1284</v>
      </c>
      <c r="J473" s="572"/>
      <c r="K473" s="1501"/>
      <c r="L473" s="215"/>
      <c r="M473" s="342"/>
      <c r="N473" s="335"/>
      <c r="O473" s="1625"/>
      <c r="P473" s="1625"/>
      <c r="AH473" s="1632">
        <v>0</v>
      </c>
    </row>
    <row s="1636" customFormat="1" customHeight="1" ht="0.75" hidden="1">
      <c r="A474" s="1781"/>
      <c r="B474" s="1781"/>
      <c r="C474" s="370" t="s">
        <v>1292</v>
      </c>
      <c r="D474" s="2463"/>
      <c r="E474" s="2205"/>
      <c r="F474" s="2384"/>
      <c r="G474" s="401"/>
      <c r="H474" s="1501"/>
      <c r="I474" s="652"/>
      <c r="J474" s="572"/>
      <c r="K474" s="1501"/>
      <c r="L474" s="215"/>
      <c r="M474" s="342"/>
      <c r="N474" s="335"/>
      <c r="O474" s="1625"/>
      <c r="P474" s="1625"/>
      <c r="AH474" s="1632">
        <v>0</v>
      </c>
    </row>
    <row s="1636" customFormat="1" customHeight="1" ht="18.75" hidden="1">
      <c r="A475" s="1781" t="s">
        <v>385</v>
      </c>
      <c r="B475" s="1781" t="s">
        <v>386</v>
      </c>
      <c r="C475" s="370"/>
      <c r="D475" s="2463"/>
      <c r="E475" s="2205"/>
      <c r="F475" s="2384" t="str">
        <f>INDEX(PT_DIFFERENTIATION_VTAR,MATCH(A475,PT_DIFFERENTIATION_VTAR_ID,0))</f>
        <v>Тариф на транспортировку горячей воды</v>
      </c>
      <c r="G475" s="2428" t="str">
        <f>INDEX(PT_DIFFERENTIATION_NTAR,MATCH(B475,PT_DIFFERENTIATION_NTAR_ID,0))</f>
        <v/>
      </c>
      <c r="H475" s="1863"/>
      <c r="I475" s="1740"/>
      <c r="J475" s="1774"/>
      <c r="K475" s="1779"/>
      <c r="L475" s="1863" t="s">
        <v>436</v>
      </c>
      <c r="M475" s="342"/>
      <c r="N475" s="335"/>
      <c r="O475" s="1625"/>
      <c r="P475" s="1625"/>
      <c r="AH475" s="1632">
        <v>0</v>
      </c>
    </row>
    <row s="1636" customFormat="1" customHeight="1" ht="18.75" hidden="1">
      <c r="A476" s="1781"/>
      <c r="B476" s="1781"/>
      <c r="C476" s="370" t="s">
        <v>1285</v>
      </c>
      <c r="D476" s="2463"/>
      <c r="E476" s="2205"/>
      <c r="F476" s="2384"/>
      <c r="G476" s="2428"/>
      <c r="H476" s="1501"/>
      <c r="I476" s="652" t="s">
        <v>1284</v>
      </c>
      <c r="J476" s="572"/>
      <c r="K476" s="1501"/>
      <c r="L476" s="215"/>
      <c r="M476" s="342"/>
      <c r="N476" s="335"/>
      <c r="O476" s="1625"/>
      <c r="P476" s="1625"/>
      <c r="AH476" s="1632">
        <v>0</v>
      </c>
    </row>
    <row s="1636" customFormat="1" customHeight="1" ht="0.75" hidden="1">
      <c r="A477" s="1781"/>
      <c r="B477" s="1781"/>
      <c r="C477" s="370" t="s">
        <v>1292</v>
      </c>
      <c r="D477" s="2463"/>
      <c r="E477" s="2205"/>
      <c r="F477" s="2384"/>
      <c r="G477" s="401"/>
      <c r="H477" s="1501"/>
      <c r="I477" s="652"/>
      <c r="J477" s="572"/>
      <c r="K477" s="1501"/>
      <c r="L477" s="215"/>
      <c r="M477" s="342"/>
      <c r="N477" s="335"/>
      <c r="O477" s="1625"/>
      <c r="P477" s="1625"/>
      <c r="AH477" s="1632">
        <v>0</v>
      </c>
    </row>
    <row s="1636" customFormat="1" customHeight="1" ht="18.75" hidden="1">
      <c r="A478" s="1781" t="s">
        <v>390</v>
      </c>
      <c r="B478" s="1781" t="s">
        <v>391</v>
      </c>
      <c r="C478" s="370"/>
      <c r="D478" s="2463"/>
      <c r="E478" s="2205"/>
      <c r="F478" s="2384" t="str">
        <f>INDEX(PT_DIFFERENTIATION_VTAR,MATCH(A478,PT_DIFFERENTIATION_VTAR_ID,0))</f>
        <v>Тариф на подключение (технологическое присоединение) к централизованной системе горячего водоснабжения</v>
      </c>
      <c r="G478" s="2428" t="str">
        <f>INDEX(PT_DIFFERENTIATION_NTAR,MATCH(B478,PT_DIFFERENTIATION_NTAR_ID,0))</f>
        <v/>
      </c>
      <c r="H478" s="1863"/>
      <c r="I478" s="1740"/>
      <c r="J478" s="1774"/>
      <c r="K478" s="1779"/>
      <c r="L478" s="1863" t="s">
        <v>436</v>
      </c>
      <c r="M478" s="342"/>
      <c r="N478" s="335"/>
      <c r="O478" s="1625"/>
      <c r="P478" s="1625"/>
      <c r="AH478" s="1632">
        <v>0</v>
      </c>
    </row>
    <row s="1636" customFormat="1" customHeight="1" ht="18.75" hidden="1">
      <c r="A479" s="1781"/>
      <c r="B479" s="1781"/>
      <c r="C479" s="370" t="s">
        <v>1285</v>
      </c>
      <c r="D479" s="2463"/>
      <c r="E479" s="2205"/>
      <c r="F479" s="2384"/>
      <c r="G479" s="2428"/>
      <c r="H479" s="1501"/>
      <c r="I479" s="652" t="s">
        <v>1284</v>
      </c>
      <c r="J479" s="572"/>
      <c r="K479" s="1501"/>
      <c r="L479" s="215"/>
      <c r="M479" s="342"/>
      <c r="N479" s="335"/>
      <c r="O479" s="1625"/>
      <c r="P479" s="1625"/>
      <c r="AH479" s="1632">
        <v>0</v>
      </c>
    </row>
    <row s="1636" customFormat="1" customHeight="1" ht="0.75" hidden="1">
      <c r="A480" s="1781"/>
      <c r="B480" s="1781"/>
      <c r="C480" s="370" t="s">
        <v>1292</v>
      </c>
      <c r="D480" s="2463"/>
      <c r="E480" s="2205"/>
      <c r="F480" s="2384"/>
      <c r="G480" s="401"/>
      <c r="H480" s="1501"/>
      <c r="I480" s="652"/>
      <c r="J480" s="572"/>
      <c r="K480" s="1501"/>
      <c r="L480" s="215"/>
      <c r="M480" s="342"/>
      <c r="N480" s="335"/>
      <c r="O480" s="1625"/>
      <c r="P480" s="1625"/>
      <c r="AH480" s="1632">
        <v>0</v>
      </c>
    </row>
    <row s="1636" customFormat="1" customHeight="1" ht="18.75" hidden="1">
      <c r="A481" s="1781" t="s">
        <v>395</v>
      </c>
      <c r="B481" s="1781" t="s">
        <v>396</v>
      </c>
      <c r="C481" s="370"/>
      <c r="D481" s="2463"/>
      <c r="E481" s="2205"/>
      <c r="F481" s="2384" t="str">
        <f>INDEX(PT_DIFFERENTIATION_VTAR,MATCH(A481,PT_DIFFERENTIATION_VTAR_ID,0))</f>
        <v>Тариф на водоотведение</v>
      </c>
      <c r="G481" s="2428" t="str">
        <f>INDEX(PT_DIFFERENTIATION_NTAR,MATCH(B481,PT_DIFFERENTIATION_NTAR_ID,0))</f>
        <v/>
      </c>
      <c r="H481" s="1863"/>
      <c r="I481" s="1740"/>
      <c r="J481" s="1774"/>
      <c r="K481" s="1779"/>
      <c r="L481" s="1863" t="s">
        <v>436</v>
      </c>
      <c r="M481" s="342"/>
      <c r="N481" s="335"/>
      <c r="O481" s="1625"/>
      <c r="P481" s="1625"/>
      <c r="AH481" s="1632">
        <v>0</v>
      </c>
    </row>
    <row s="1636" customFormat="1" customHeight="1" ht="18.75" hidden="1">
      <c r="A482" s="1781"/>
      <c r="B482" s="1781"/>
      <c r="C482" s="370" t="s">
        <v>1285</v>
      </c>
      <c r="D482" s="2463"/>
      <c r="E482" s="2205"/>
      <c r="F482" s="2384"/>
      <c r="G482" s="2428"/>
      <c r="H482" s="1501"/>
      <c r="I482" s="652" t="s">
        <v>1284</v>
      </c>
      <c r="J482" s="572"/>
      <c r="K482" s="1501"/>
      <c r="L482" s="215"/>
      <c r="M482" s="342"/>
      <c r="N482" s="335"/>
      <c r="O482" s="1625"/>
      <c r="P482" s="1625"/>
      <c r="AH482" s="1632">
        <v>0</v>
      </c>
    </row>
    <row s="1636" customFormat="1" customHeight="1" ht="0.75" hidden="1">
      <c r="A483" s="1781"/>
      <c r="B483" s="1781"/>
      <c r="C483" s="370" t="s">
        <v>1292</v>
      </c>
      <c r="D483" s="2463"/>
      <c r="E483" s="2205"/>
      <c r="F483" s="2384"/>
      <c r="G483" s="401"/>
      <c r="H483" s="1501"/>
      <c r="I483" s="652"/>
      <c r="J483" s="572"/>
      <c r="K483" s="1501"/>
      <c r="L483" s="215"/>
      <c r="M483" s="342"/>
      <c r="N483" s="335"/>
      <c r="O483" s="1625"/>
      <c r="P483" s="1625"/>
      <c r="AH483" s="1632">
        <v>0</v>
      </c>
    </row>
    <row s="1636" customFormat="1" customHeight="1" ht="18.75" hidden="1">
      <c r="A484" s="1781" t="s">
        <v>400</v>
      </c>
      <c r="B484" s="1781" t="s">
        <v>401</v>
      </c>
      <c r="C484" s="370"/>
      <c r="D484" s="2463"/>
      <c r="E484" s="2205"/>
      <c r="F484" s="2384" t="str">
        <f>INDEX(PT_DIFFERENTIATION_VTAR,MATCH(A484,PT_DIFFERENTIATION_VTAR_ID,0))</f>
        <v>Тариф на транспортировку сточных вод</v>
      </c>
      <c r="G484" s="2428" t="str">
        <f>INDEX(PT_DIFFERENTIATION_NTAR,MATCH(B484,PT_DIFFERENTIATION_NTAR_ID,0))</f>
        <v/>
      </c>
      <c r="H484" s="1863"/>
      <c r="I484" s="1740"/>
      <c r="J484" s="1774"/>
      <c r="K484" s="1779"/>
      <c r="L484" s="1863" t="s">
        <v>436</v>
      </c>
      <c r="M484" s="342"/>
      <c r="N484" s="335"/>
      <c r="O484" s="1625"/>
      <c r="P484" s="1625"/>
      <c r="AH484" s="1632">
        <v>0</v>
      </c>
    </row>
    <row s="1636" customFormat="1" customHeight="1" ht="18.75" hidden="1">
      <c r="A485" s="1781"/>
      <c r="B485" s="1781"/>
      <c r="C485" s="370" t="s">
        <v>1285</v>
      </c>
      <c r="D485" s="2463"/>
      <c r="E485" s="2205"/>
      <c r="F485" s="2384"/>
      <c r="G485" s="2428"/>
      <c r="H485" s="1501"/>
      <c r="I485" s="652" t="s">
        <v>1284</v>
      </c>
      <c r="J485" s="572"/>
      <c r="K485" s="1501"/>
      <c r="L485" s="215"/>
      <c r="M485" s="342"/>
      <c r="N485" s="335"/>
      <c r="O485" s="1625"/>
      <c r="P485" s="1625"/>
      <c r="AH485" s="1632">
        <v>0</v>
      </c>
    </row>
    <row s="1636" customFormat="1" customHeight="1" ht="0.75" hidden="1">
      <c r="A486" s="1781"/>
      <c r="B486" s="1781"/>
      <c r="C486" s="370" t="s">
        <v>1292</v>
      </c>
      <c r="D486" s="2463"/>
      <c r="E486" s="2205"/>
      <c r="F486" s="2384"/>
      <c r="G486" s="401"/>
      <c r="H486" s="1501"/>
      <c r="I486" s="652"/>
      <c r="J486" s="572"/>
      <c r="K486" s="1501"/>
      <c r="L486" s="215"/>
      <c r="M486" s="342"/>
      <c r="N486" s="335"/>
      <c r="O486" s="1625"/>
      <c r="P486" s="1625"/>
      <c r="AH486" s="1632">
        <v>0</v>
      </c>
    </row>
    <row s="1636" customFormat="1" customHeight="1" ht="18.75" hidden="1">
      <c r="A487" s="1781" t="s">
        <v>405</v>
      </c>
      <c r="B487" s="1781" t="s">
        <v>406</v>
      </c>
      <c r="C487" s="370"/>
      <c r="D487" s="2463"/>
      <c r="E487" s="2205"/>
      <c r="F487" s="2384" t="str">
        <f>INDEX(PT_DIFFERENTIATION_VTAR,MATCH(A487,PT_DIFFERENTIATION_VTAR_ID,0))</f>
        <v>Тариф на подключение (технологическое присоединение) к централизованной системе водоотведения</v>
      </c>
      <c r="G487" s="2428" t="str">
        <f>INDEX(PT_DIFFERENTIATION_NTAR,MATCH(B487,PT_DIFFERENTIATION_NTAR_ID,0))</f>
        <v/>
      </c>
      <c r="H487" s="1863"/>
      <c r="I487" s="1740"/>
      <c r="J487" s="1774"/>
      <c r="K487" s="1779"/>
      <c r="L487" s="1863" t="s">
        <v>436</v>
      </c>
      <c r="M487" s="342"/>
      <c r="N487" s="335"/>
      <c r="O487" s="1625"/>
      <c r="P487" s="1625"/>
      <c r="AH487" s="1632">
        <v>0</v>
      </c>
    </row>
    <row s="1636" customFormat="1" customHeight="1" ht="18.75" hidden="1">
      <c r="A488" s="1781"/>
      <c r="B488" s="1781"/>
      <c r="C488" s="370" t="s">
        <v>1285</v>
      </c>
      <c r="D488" s="2463"/>
      <c r="E488" s="2205"/>
      <c r="F488" s="2384"/>
      <c r="G488" s="2428"/>
      <c r="H488" s="1501"/>
      <c r="I488" s="652" t="s">
        <v>1284</v>
      </c>
      <c r="J488" s="572"/>
      <c r="K488" s="1501"/>
      <c r="L488" s="215"/>
      <c r="M488" s="342"/>
      <c r="N488" s="335"/>
      <c r="O488" s="1625"/>
      <c r="P488" s="1625"/>
      <c r="AH488" s="1632">
        <v>0</v>
      </c>
    </row>
    <row s="1636" customFormat="1" customHeight="1" ht="1.05">
      <c r="A489" s="1781"/>
      <c r="B489" s="1781"/>
      <c r="C489" s="370" t="s">
        <v>1292</v>
      </c>
      <c r="D489" s="2463"/>
      <c r="E489" s="2205"/>
      <c r="F489" s="2384"/>
      <c r="G489" s="401"/>
      <c r="H489" s="1501"/>
      <c r="I489" s="652"/>
      <c r="J489" s="572"/>
      <c r="K489" s="1501"/>
      <c r="L489" s="215"/>
      <c r="M489" s="342"/>
      <c r="N489" s="335"/>
      <c r="O489" s="1625"/>
      <c r="P489" s="1625"/>
      <c r="AH489" s="1632">
        <v>1</v>
      </c>
    </row>
    <row s="1824" customFormat="1" customHeight="1" ht="3">
      <c r="A490" s="1781"/>
      <c r="B490" s="1781"/>
      <c r="C490" s="1782"/>
      <c r="E490" s="403"/>
      <c r="F490" s="403"/>
      <c r="G490" s="403"/>
      <c r="H490" s="403"/>
      <c r="I490" s="403"/>
      <c r="J490" s="403"/>
      <c r="K490" s="403"/>
      <c r="L490" s="403"/>
      <c r="M490" s="403"/>
      <c r="O490" s="197"/>
      <c r="P490" s="197"/>
      <c r="AH490" s="141">
        <v>3</v>
      </c>
    </row>
    <row customHeight="1" ht="26.25">
      <c r="E491" s="203"/>
      <c r="F491" s="2286"/>
      <c r="G491" s="2286"/>
      <c r="H491" s="2286"/>
      <c r="I491" s="2286"/>
      <c r="J491" s="2286"/>
      <c r="K491" s="2286"/>
      <c r="L491" s="2286"/>
      <c r="M491" s="2286"/>
      <c r="AH491" s="375">
        <v>25</v>
      </c>
    </row>
    <row customHeight="1" ht="14.25" hidden="1">
      <c r="A492" s="1780" t="s">
        <v>86</v>
      </c>
      <c r="B492" s="1780">
        <v>0</v>
      </c>
      <c r="C492" s="370">
        <v>0</v>
      </c>
      <c r="D492" s="345">
        <v>3</v>
      </c>
      <c r="E492" s="375">
        <v>6</v>
      </c>
      <c r="F492" s="375">
        <v>46</v>
      </c>
      <c r="G492" s="375">
        <v>35</v>
      </c>
      <c r="H492" s="375">
        <v>3</v>
      </c>
      <c r="I492" s="375">
        <v>11</v>
      </c>
      <c r="J492" s="375">
        <v>11</v>
      </c>
      <c r="K492" s="375">
        <v>35</v>
      </c>
      <c r="L492" s="375">
        <v>35</v>
      </c>
      <c r="M492" s="375">
        <v>84</v>
      </c>
      <c r="N492" s="375">
        <v>10</v>
      </c>
      <c r="O492" s="351">
        <v>10</v>
      </c>
      <c r="P492" s="351">
        <v>10</v>
      </c>
      <c r="Q492" s="375">
        <v>10</v>
      </c>
      <c r="R492" s="375">
        <v>10</v>
      </c>
      <c r="S492" s="375">
        <v>10</v>
      </c>
      <c r="T492" s="375">
        <v>10</v>
      </c>
      <c r="U492" s="375">
        <v>10</v>
      </c>
      <c r="V492" s="375">
        <v>10</v>
      </c>
      <c r="W492" s="375">
        <v>10</v>
      </c>
      <c r="X492" s="375">
        <v>10</v>
      </c>
      <c r="Y492" s="375">
        <v>10</v>
      </c>
      <c r="Z492" s="375">
        <v>10</v>
      </c>
      <c r="AA492" s="375">
        <v>10</v>
      </c>
      <c r="AB492" s="375">
        <v>10</v>
      </c>
      <c r="AC492" s="375">
        <v>10</v>
      </c>
      <c r="AD492" s="375">
        <v>10</v>
      </c>
      <c r="AE492" s="375">
        <v>10</v>
      </c>
      <c r="AF492" s="375">
        <v>10</v>
      </c>
      <c r="AG492" s="375">
        <v>10</v>
      </c>
      <c r="AH492" s="375">
        <v>14</v>
      </c>
    </row>
  </sheetData>
  <sheetProtection formatColumns="0" formatRows="0" autoFilter="0" sort="0" insertRows="0" insertColumns="1" deleteRows="0" deleteColumns="0"/>
  <mergeCells count="508">
    <mergeCell ref="G80:G81"/>
    <mergeCell ref="D175:D177"/>
    <mergeCell ref="E175:E177"/>
    <mergeCell ref="F175:F177"/>
    <mergeCell ref="G175:G176"/>
    <mergeCell ref="D268:D270"/>
    <mergeCell ref="E268:E270"/>
    <mergeCell ref="F268:F270"/>
    <mergeCell ref="G268:G269"/>
    <mergeCell ref="D101:D103"/>
    <mergeCell ref="E101:E103"/>
    <mergeCell ref="F101:F103"/>
    <mergeCell ref="D136:D144"/>
    <mergeCell ref="E136:E144"/>
    <mergeCell ref="D104:D106"/>
    <mergeCell ref="E104:E106"/>
    <mergeCell ref="F104:F106"/>
    <mergeCell ref="G243:G244"/>
    <mergeCell ref="G256:G257"/>
    <mergeCell ref="E80:E82"/>
    <mergeCell ref="F80:F82"/>
    <mergeCell ref="G150:G151"/>
    <mergeCell ref="G163:G164"/>
    <mergeCell ref="D107:D109"/>
    <mergeCell ref="F71:F73"/>
    <mergeCell ref="G2:G3"/>
    <mergeCell ref="G5:G6"/>
    <mergeCell ref="E14:L14"/>
    <mergeCell ref="G16:L16"/>
    <mergeCell ref="G17:L17"/>
    <mergeCell ref="E19:L19"/>
    <mergeCell ref="D24:D40"/>
    <mergeCell ref="M19:M21"/>
    <mergeCell ref="E20:E21"/>
    <mergeCell ref="F20:F21"/>
    <mergeCell ref="G20:G21"/>
    <mergeCell ref="H20:J20"/>
    <mergeCell ref="K20:K21"/>
    <mergeCell ref="L20:L21"/>
    <mergeCell ref="H21:I21"/>
    <mergeCell ref="H22:I22"/>
    <mergeCell ref="F23:L23"/>
    <mergeCell ref="G24:G25"/>
    <mergeCell ref="F24:F40"/>
    <mergeCell ref="E24:E40"/>
    <mergeCell ref="F466:F468"/>
    <mergeCell ref="G463:G464"/>
    <mergeCell ref="D74:D76"/>
    <mergeCell ref="E74:E76"/>
    <mergeCell ref="F74:F76"/>
    <mergeCell ref="D41:D49"/>
    <mergeCell ref="E41:E49"/>
    <mergeCell ref="F41:F49"/>
    <mergeCell ref="D50:D54"/>
    <mergeCell ref="E50:E54"/>
    <mergeCell ref="F50:F54"/>
    <mergeCell ref="D55:D67"/>
    <mergeCell ref="E55:E67"/>
    <mergeCell ref="F55:F67"/>
    <mergeCell ref="G41:G42"/>
    <mergeCell ref="G50:G51"/>
    <mergeCell ref="G55:G56"/>
    <mergeCell ref="G68:G69"/>
    <mergeCell ref="G71:G72"/>
    <mergeCell ref="D68:D70"/>
    <mergeCell ref="E68:E70"/>
    <mergeCell ref="F68:F70"/>
    <mergeCell ref="D71:D73"/>
    <mergeCell ref="E71:E73"/>
    <mergeCell ref="F491:M491"/>
    <mergeCell ref="F397:L397"/>
    <mergeCell ref="D398:D414"/>
    <mergeCell ref="E398:E414"/>
    <mergeCell ref="F398:F414"/>
    <mergeCell ref="D415:D423"/>
    <mergeCell ref="E415:E423"/>
    <mergeCell ref="F415:F423"/>
    <mergeCell ref="D424:D428"/>
    <mergeCell ref="D442:D444"/>
    <mergeCell ref="E442:E444"/>
    <mergeCell ref="F442:F444"/>
    <mergeCell ref="D445:D447"/>
    <mergeCell ref="E445:E447"/>
    <mergeCell ref="F445:F447"/>
    <mergeCell ref="E424:E428"/>
    <mergeCell ref="F424:F428"/>
    <mergeCell ref="D429:D441"/>
    <mergeCell ref="E429:E441"/>
    <mergeCell ref="F463:F465"/>
    <mergeCell ref="D466:D468"/>
    <mergeCell ref="E466:E468"/>
    <mergeCell ref="D487:D489"/>
    <mergeCell ref="E487:E489"/>
    <mergeCell ref="G77:G78"/>
    <mergeCell ref="G83:G84"/>
    <mergeCell ref="G86:G87"/>
    <mergeCell ref="G89:G90"/>
    <mergeCell ref="M305:M322"/>
    <mergeCell ref="M119:M136"/>
    <mergeCell ref="F211:L211"/>
    <mergeCell ref="M212:M229"/>
    <mergeCell ref="F304:L304"/>
    <mergeCell ref="F83:F85"/>
    <mergeCell ref="F86:F88"/>
    <mergeCell ref="F107:F109"/>
    <mergeCell ref="F110:F112"/>
    <mergeCell ref="F136:F144"/>
    <mergeCell ref="F145:F149"/>
    <mergeCell ref="M24:M115"/>
    <mergeCell ref="G74:G75"/>
    <mergeCell ref="G193:G194"/>
    <mergeCell ref="G196:G197"/>
    <mergeCell ref="G199:G200"/>
    <mergeCell ref="G202:G203"/>
    <mergeCell ref="G238:G239"/>
    <mergeCell ref="G136:G137"/>
    <mergeCell ref="G145:G146"/>
    <mergeCell ref="D77:D79"/>
    <mergeCell ref="E77:E79"/>
    <mergeCell ref="F77:F79"/>
    <mergeCell ref="D95:D97"/>
    <mergeCell ref="E95:E97"/>
    <mergeCell ref="F95:F97"/>
    <mergeCell ref="D98:D100"/>
    <mergeCell ref="E98:E100"/>
    <mergeCell ref="F98:F100"/>
    <mergeCell ref="D89:D91"/>
    <mergeCell ref="E89:E91"/>
    <mergeCell ref="F89:F91"/>
    <mergeCell ref="D92:D94"/>
    <mergeCell ref="E92:E94"/>
    <mergeCell ref="F92:F94"/>
    <mergeCell ref="D83:D85"/>
    <mergeCell ref="E83:E85"/>
    <mergeCell ref="D86:D88"/>
    <mergeCell ref="E86:E88"/>
    <mergeCell ref="D80:D82"/>
    <mergeCell ref="E107:E109"/>
    <mergeCell ref="D110:D112"/>
    <mergeCell ref="E110:E112"/>
    <mergeCell ref="D145:D149"/>
    <mergeCell ref="E145:E149"/>
    <mergeCell ref="D172:D174"/>
    <mergeCell ref="E172:E174"/>
    <mergeCell ref="F172:F174"/>
    <mergeCell ref="F150:F162"/>
    <mergeCell ref="D163:D165"/>
    <mergeCell ref="E163:E165"/>
    <mergeCell ref="F163:F165"/>
    <mergeCell ref="D113:D115"/>
    <mergeCell ref="E113:E115"/>
    <mergeCell ref="F113:F115"/>
    <mergeCell ref="D119:D135"/>
    <mergeCell ref="E119:E135"/>
    <mergeCell ref="F119:F135"/>
    <mergeCell ref="D150:D162"/>
    <mergeCell ref="E150:E162"/>
    <mergeCell ref="F116:L116"/>
    <mergeCell ref="H117:I117"/>
    <mergeCell ref="F118:L118"/>
    <mergeCell ref="G166:G167"/>
    <mergeCell ref="D178:D180"/>
    <mergeCell ref="E178:E180"/>
    <mergeCell ref="F178:F180"/>
    <mergeCell ref="D166:D168"/>
    <mergeCell ref="E166:E168"/>
    <mergeCell ref="F166:F168"/>
    <mergeCell ref="D169:D171"/>
    <mergeCell ref="E169:E171"/>
    <mergeCell ref="F169:F171"/>
    <mergeCell ref="D181:D183"/>
    <mergeCell ref="E181:E183"/>
    <mergeCell ref="F181:F183"/>
    <mergeCell ref="D184:D186"/>
    <mergeCell ref="E184:E186"/>
    <mergeCell ref="F184:F186"/>
    <mergeCell ref="G184:G185"/>
    <mergeCell ref="G187:G188"/>
    <mergeCell ref="G190:G191"/>
    <mergeCell ref="D187:D189"/>
    <mergeCell ref="E187:E189"/>
    <mergeCell ref="F187:F189"/>
    <mergeCell ref="D190:D192"/>
    <mergeCell ref="E190:E192"/>
    <mergeCell ref="F190:F192"/>
    <mergeCell ref="D199:D201"/>
    <mergeCell ref="E199:E201"/>
    <mergeCell ref="F199:F201"/>
    <mergeCell ref="D202:D204"/>
    <mergeCell ref="E202:E204"/>
    <mergeCell ref="F202:F204"/>
    <mergeCell ref="D193:D195"/>
    <mergeCell ref="E193:E195"/>
    <mergeCell ref="F193:F195"/>
    <mergeCell ref="D196:D198"/>
    <mergeCell ref="E196:E198"/>
    <mergeCell ref="F196:F198"/>
    <mergeCell ref="G205:G206"/>
    <mergeCell ref="G208:G209"/>
    <mergeCell ref="G212:G213"/>
    <mergeCell ref="G229:G230"/>
    <mergeCell ref="D256:D258"/>
    <mergeCell ref="E256:E258"/>
    <mergeCell ref="F256:F258"/>
    <mergeCell ref="D259:D261"/>
    <mergeCell ref="E259:E261"/>
    <mergeCell ref="F259:F261"/>
    <mergeCell ref="D238:D242"/>
    <mergeCell ref="D229:D237"/>
    <mergeCell ref="E229:E237"/>
    <mergeCell ref="F229:F237"/>
    <mergeCell ref="D205:D207"/>
    <mergeCell ref="E205:E207"/>
    <mergeCell ref="F205:F207"/>
    <mergeCell ref="D208:D210"/>
    <mergeCell ref="E208:E210"/>
    <mergeCell ref="F208:F210"/>
    <mergeCell ref="D212:D228"/>
    <mergeCell ref="E212:E228"/>
    <mergeCell ref="F212:F228"/>
    <mergeCell ref="E238:E242"/>
    <mergeCell ref="F238:F242"/>
    <mergeCell ref="D243:D255"/>
    <mergeCell ref="E243:E255"/>
    <mergeCell ref="F243:F255"/>
    <mergeCell ref="D262:D264"/>
    <mergeCell ref="E262:E264"/>
    <mergeCell ref="F262:F264"/>
    <mergeCell ref="D265:D267"/>
    <mergeCell ref="E265:E267"/>
    <mergeCell ref="F265:F267"/>
    <mergeCell ref="D286:D288"/>
    <mergeCell ref="E286:E288"/>
    <mergeCell ref="F286:F288"/>
    <mergeCell ref="D277:D279"/>
    <mergeCell ref="E277:E279"/>
    <mergeCell ref="F277:F279"/>
    <mergeCell ref="D280:D282"/>
    <mergeCell ref="E280:E282"/>
    <mergeCell ref="F280:F282"/>
    <mergeCell ref="D271:D273"/>
    <mergeCell ref="E271:E273"/>
    <mergeCell ref="F271:F273"/>
    <mergeCell ref="D274:D276"/>
    <mergeCell ref="E274:E276"/>
    <mergeCell ref="F274:F276"/>
    <mergeCell ref="G274:G275"/>
    <mergeCell ref="D283:D285"/>
    <mergeCell ref="E283:E285"/>
    <mergeCell ref="F283:F285"/>
    <mergeCell ref="D289:D291"/>
    <mergeCell ref="E289:E291"/>
    <mergeCell ref="F289:F291"/>
    <mergeCell ref="D292:D294"/>
    <mergeCell ref="E292:E294"/>
    <mergeCell ref="F292:F294"/>
    <mergeCell ref="G289:G290"/>
    <mergeCell ref="G292:G293"/>
    <mergeCell ref="D331:D335"/>
    <mergeCell ref="E331:E335"/>
    <mergeCell ref="F331:F335"/>
    <mergeCell ref="D301:D303"/>
    <mergeCell ref="E301:E303"/>
    <mergeCell ref="F301:F303"/>
    <mergeCell ref="D305:D321"/>
    <mergeCell ref="E305:E321"/>
    <mergeCell ref="F305:F321"/>
    <mergeCell ref="D295:D297"/>
    <mergeCell ref="E295:E297"/>
    <mergeCell ref="F295:F297"/>
    <mergeCell ref="D298:D300"/>
    <mergeCell ref="E298:E300"/>
    <mergeCell ref="F298:F300"/>
    <mergeCell ref="G298:G299"/>
    <mergeCell ref="D352:D354"/>
    <mergeCell ref="E352:E354"/>
    <mergeCell ref="F352:F354"/>
    <mergeCell ref="D355:D357"/>
    <mergeCell ref="E355:E357"/>
    <mergeCell ref="F355:F357"/>
    <mergeCell ref="G355:G356"/>
    <mergeCell ref="D322:D330"/>
    <mergeCell ref="E322:E330"/>
    <mergeCell ref="F322:F330"/>
    <mergeCell ref="D336:D348"/>
    <mergeCell ref="E336:E348"/>
    <mergeCell ref="F336:F348"/>
    <mergeCell ref="D349:D351"/>
    <mergeCell ref="E349:E351"/>
    <mergeCell ref="F349:F351"/>
    <mergeCell ref="D367:D369"/>
    <mergeCell ref="E367:E369"/>
    <mergeCell ref="F367:F369"/>
    <mergeCell ref="G361:G362"/>
    <mergeCell ref="D373:D375"/>
    <mergeCell ref="E373:E375"/>
    <mergeCell ref="F373:F375"/>
    <mergeCell ref="D370:D372"/>
    <mergeCell ref="E370:E372"/>
    <mergeCell ref="F370:F372"/>
    <mergeCell ref="D358:D360"/>
    <mergeCell ref="E358:E360"/>
    <mergeCell ref="F358:F360"/>
    <mergeCell ref="D364:D366"/>
    <mergeCell ref="E364:E366"/>
    <mergeCell ref="F364:F366"/>
    <mergeCell ref="D361:D363"/>
    <mergeCell ref="E361:E363"/>
    <mergeCell ref="F361:F363"/>
    <mergeCell ref="D376:D378"/>
    <mergeCell ref="E376:E378"/>
    <mergeCell ref="F376:F378"/>
    <mergeCell ref="G373:G374"/>
    <mergeCell ref="G376:G377"/>
    <mergeCell ref="G379:G380"/>
    <mergeCell ref="D394:D396"/>
    <mergeCell ref="E394:E396"/>
    <mergeCell ref="F394:F396"/>
    <mergeCell ref="D385:D387"/>
    <mergeCell ref="E385:E387"/>
    <mergeCell ref="F385:F387"/>
    <mergeCell ref="D388:D390"/>
    <mergeCell ref="E388:E390"/>
    <mergeCell ref="F388:F390"/>
    <mergeCell ref="D379:D381"/>
    <mergeCell ref="E379:E381"/>
    <mergeCell ref="F379:F381"/>
    <mergeCell ref="D382:D384"/>
    <mergeCell ref="E382:E384"/>
    <mergeCell ref="F382:F384"/>
    <mergeCell ref="G382:G383"/>
    <mergeCell ref="D391:D393"/>
    <mergeCell ref="E391:E393"/>
    <mergeCell ref="F391:F393"/>
    <mergeCell ref="F429:F441"/>
    <mergeCell ref="D457:D459"/>
    <mergeCell ref="E457:E459"/>
    <mergeCell ref="F457:F459"/>
    <mergeCell ref="D460:D462"/>
    <mergeCell ref="E460:E462"/>
    <mergeCell ref="F460:F462"/>
    <mergeCell ref="D448:D450"/>
    <mergeCell ref="E448:E450"/>
    <mergeCell ref="F448:F450"/>
    <mergeCell ref="D451:D453"/>
    <mergeCell ref="E451:E453"/>
    <mergeCell ref="F451:F453"/>
    <mergeCell ref="D454:D456"/>
    <mergeCell ref="E454:E456"/>
    <mergeCell ref="F454:F456"/>
    <mergeCell ref="F487:F489"/>
    <mergeCell ref="M398:M415"/>
    <mergeCell ref="D481:D483"/>
    <mergeCell ref="E481:E483"/>
    <mergeCell ref="F481:F483"/>
    <mergeCell ref="D484:D486"/>
    <mergeCell ref="E484:E486"/>
    <mergeCell ref="F484:F486"/>
    <mergeCell ref="D475:D477"/>
    <mergeCell ref="E475:E477"/>
    <mergeCell ref="F475:F477"/>
    <mergeCell ref="D478:D480"/>
    <mergeCell ref="E478:E480"/>
    <mergeCell ref="F478:F480"/>
    <mergeCell ref="D469:D471"/>
    <mergeCell ref="E469:E471"/>
    <mergeCell ref="F469:F471"/>
    <mergeCell ref="D472:D474"/>
    <mergeCell ref="E472:E474"/>
    <mergeCell ref="F472:F474"/>
    <mergeCell ref="D463:D465"/>
    <mergeCell ref="E463:E465"/>
    <mergeCell ref="G487:G488"/>
    <mergeCell ref="G415:G416"/>
    <mergeCell ref="G92:G93"/>
    <mergeCell ref="G95:G96"/>
    <mergeCell ref="G98:G99"/>
    <mergeCell ref="G101:G102"/>
    <mergeCell ref="G104:G105"/>
    <mergeCell ref="G107:G108"/>
    <mergeCell ref="G110:G111"/>
    <mergeCell ref="G113:G114"/>
    <mergeCell ref="G119:G120"/>
    <mergeCell ref="G475:G476"/>
    <mergeCell ref="G478:G479"/>
    <mergeCell ref="G481:G482"/>
    <mergeCell ref="G484:G485"/>
    <mergeCell ref="G466:G467"/>
    <mergeCell ref="G469:G470"/>
    <mergeCell ref="G472:G473"/>
    <mergeCell ref="G460:G461"/>
    <mergeCell ref="G385:G386"/>
    <mergeCell ref="G388:G389"/>
    <mergeCell ref="G391:G392"/>
    <mergeCell ref="G394:G395"/>
    <mergeCell ref="G398:G399"/>
    <mergeCell ref="G424:G425"/>
    <mergeCell ref="G429:G430"/>
    <mergeCell ref="G442:G443"/>
    <mergeCell ref="G445:G446"/>
    <mergeCell ref="G448:G449"/>
    <mergeCell ref="G451:G452"/>
    <mergeCell ref="G457:G458"/>
    <mergeCell ref="G454:G455"/>
    <mergeCell ref="G169:G170"/>
    <mergeCell ref="G172:G173"/>
    <mergeCell ref="G178:G179"/>
    <mergeCell ref="G181:G182"/>
    <mergeCell ref="G358:G359"/>
    <mergeCell ref="G364:G365"/>
    <mergeCell ref="G367:G368"/>
    <mergeCell ref="G370:G371"/>
    <mergeCell ref="G295:G296"/>
    <mergeCell ref="G301:G302"/>
    <mergeCell ref="G305:G306"/>
    <mergeCell ref="G322:G323"/>
    <mergeCell ref="G331:G332"/>
    <mergeCell ref="G262:G263"/>
    <mergeCell ref="G265:G266"/>
    <mergeCell ref="G271:G272"/>
    <mergeCell ref="G336:G337"/>
    <mergeCell ref="G349:G350"/>
    <mergeCell ref="G352:G353"/>
    <mergeCell ref="G277:G278"/>
    <mergeCell ref="G280:G281"/>
    <mergeCell ref="G283:G284"/>
    <mergeCell ref="G286:G287"/>
    <mergeCell ref="G259:G260"/>
    <mergeCell ref="G26:G27"/>
    <mergeCell ref="G121:G122"/>
    <mergeCell ref="G214:G215"/>
    <mergeCell ref="G307:G308"/>
    <mergeCell ref="G400:G401"/>
    <mergeCell ref="G28:G29"/>
    <mergeCell ref="G123:G124"/>
    <mergeCell ref="G216:G217"/>
    <mergeCell ref="G309:G310"/>
    <mergeCell ref="G402:G403"/>
    <mergeCell ref="G30:G31"/>
    <mergeCell ref="G125:G126"/>
    <mergeCell ref="G218:G219"/>
    <mergeCell ref="G311:G312"/>
    <mergeCell ref="G404:G405"/>
    <mergeCell ref="G32:G33"/>
    <mergeCell ref="G127:G128"/>
    <mergeCell ref="G220:G221"/>
    <mergeCell ref="G313:G314"/>
    <mergeCell ref="G406:G407"/>
    <mergeCell ref="G34:G35"/>
    <mergeCell ref="G129:G130"/>
    <mergeCell ref="G222:G223"/>
    <mergeCell ref="G315:G316"/>
    <mergeCell ref="G408:G409"/>
    <mergeCell ref="G36:G37"/>
    <mergeCell ref="G131:G132"/>
    <mergeCell ref="G224:G225"/>
    <mergeCell ref="G317:G318"/>
    <mergeCell ref="G410:G411"/>
    <mergeCell ref="G38:G39"/>
    <mergeCell ref="G133:G134"/>
    <mergeCell ref="G226:G227"/>
    <mergeCell ref="G319:G320"/>
    <mergeCell ref="G412:G413"/>
    <mergeCell ref="G43:G44"/>
    <mergeCell ref="G138:G139"/>
    <mergeCell ref="G231:G232"/>
    <mergeCell ref="G324:G325"/>
    <mergeCell ref="G417:G418"/>
    <mergeCell ref="G45:G46"/>
    <mergeCell ref="G140:G141"/>
    <mergeCell ref="G233:G234"/>
    <mergeCell ref="G326:G327"/>
    <mergeCell ref="G419:G420"/>
    <mergeCell ref="G47:G48"/>
    <mergeCell ref="G142:G143"/>
    <mergeCell ref="G235:G236"/>
    <mergeCell ref="G328:G329"/>
    <mergeCell ref="G421:G422"/>
    <mergeCell ref="G52:G53"/>
    <mergeCell ref="G147:G148"/>
    <mergeCell ref="G240:G241"/>
    <mergeCell ref="G333:G334"/>
    <mergeCell ref="G426:G427"/>
    <mergeCell ref="G57:G58"/>
    <mergeCell ref="G152:G153"/>
    <mergeCell ref="G245:G246"/>
    <mergeCell ref="G338:G339"/>
    <mergeCell ref="G431:G432"/>
    <mergeCell ref="G59:G60"/>
    <mergeCell ref="G154:G155"/>
    <mergeCell ref="G247:G248"/>
    <mergeCell ref="G340:G341"/>
    <mergeCell ref="G433:G434"/>
    <mergeCell ref="G61:G62"/>
    <mergeCell ref="G156:G157"/>
    <mergeCell ref="G249:G250"/>
    <mergeCell ref="G342:G343"/>
    <mergeCell ref="G435:G436"/>
    <mergeCell ref="G63:G64"/>
    <mergeCell ref="G158:G159"/>
    <mergeCell ref="G251:G252"/>
    <mergeCell ref="G344:G345"/>
    <mergeCell ref="G437:G438"/>
    <mergeCell ref="G65:G66"/>
    <mergeCell ref="G160:G161"/>
    <mergeCell ref="G253:G254"/>
    <mergeCell ref="G346:G347"/>
    <mergeCell ref="G439:G440"/>
  </mergeCells>
  <dataValidations count="4">
    <dataValidation type="decimal" allowBlank="1" showErrorMessage="1" errorTitle="Ошибка" error="Допускается ввод только действительных чисел!" sqref="K305 K322 K331 K336 K349 K352 K355 K358 K364 K367 K370 K373 K376 K379 K382 K385 K388 K391 K10 K119 K205 K202 K199 K196 K193 K190 K187 K184 K181 K178 K172 K169 K166 K163 K150 K145 K136 K212 K208 K229 K238 K243 K256 K259 K262 K265 K271 K274 K277 K280 K283 K289 K292 K295 K298 K301 K286 K394 K398 K415 K424 K429 K442 K445 K448 K451 K457 K460 K463 K466 K469 K472 K475 K478 K481 K484 K487 K5 K175 K268 K361 K454 K121 K214 K307 K400 K123 K216 K309 K402 K125 K218 K311 K404 K127 K220 K313 K406 K129 K222 K315 K408 K131 K224 K317 K410 K133 K226 K319 K412 K138 K231 K324 K417 K140 K233 K326 K419 K142 K235 K328 K421 K147 K240 K333 K426 K152 K245 K338 K431 K154 K247 K340 K433 K156 K249 K342 K435 K158 K251 K344 K437 K160 K253 K346 K439">
      <formula1>-9.99999999999999E+23</formula1>
      <formula2>9.99999999999999E+23</formula2>
    </dataValidation>
    <dataValidation type="textLength" operator="lessThanOrEqual" allowBlank="1" showInputMessage="1" showErrorMessage="1" errorTitle="Ошибка" error="Допускается ввод не более 900 символов!" sqref="M212:M213 M305:M306 M23 M119:M120 M398:M399">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L117">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I10:J10 I71:J71 I24:J24 I41:J41 I50:J50 I55:J55 I68:J68 I74:J74 I77:J77 I83:J83 I86:J86 I89:J89 I92:J92 I95:J95 I98:J98 I101:J101 I104:J104 I107:J107 I110:J110 I305:J305 I322:J322 I331:J331 I336:J336 I349:J349 I352:J352 I355:J355 I358:J358 I364:J364 I367:J367 I370:J370 I373:J373 I376:J376 I379:J379 I382:J382 I385:J385 I388:J388 I8:J8 I113:J113 I208:J208 I136:J136 I145:J145 I150:J150 I163:J163 I166:J166 I169:J169 I172:J172 I178:J178 I181:J181 I184:J184 I187:J187 I190:J190 I193:J193 I196:J196 I199:J199 I202:J202 I205:J205 I212:J212 I119:J119 I229:J229 I238:J238 I243:J243 I256:J256 I259:J259 I262:J262 I265:J265 I271:J271 I274:J274 I277:J277 I280:J280 I283:J283 I289:J289 I292:J292 I295:J295 I298:J298 I301:J301 I286:J286 I391:J391 I394:J394 I398:J398 I415:J415 I424:J424 I429:J429 I442:J442 I445:J445 I448:J448 I451:J451 I457:J457 I460:J460 I463:J463 I466:J466 I469:J469 I472:J472 I475:J475 I478:J478 I481:J481 I484:J484 I487:J487 I2:J2 I5:J5 I80:J80 I175:J175 I268:J268 I361:J361 I454:J454 I26 J26 I121 J121 I214 J214 I307 J307 I400 J400 I28 J28 I123 J123 I216 J216 I309 J309 I402 J402 I30 J30 I125 J125 I218 J218 I311 J311 I404 J404 I32 J32 I127 J127 I220 J220 I313 J313 I406 J406 I34 J34 I129 J129 I222 J222 I315 J315 I408 J408 I36 J36 I131 J131 I224 J224 I317 J317 I410 J410 I38 J38 I133 J133 I226 J226 I319 J319 I412 J412 I43 J43 I138 J138 I231 J231 I324 J324 I417 J417 I45 J45 I140 J140 I233 J233 I326 J326 I419 J419 I47 J47 I142 J142 I235 J235 I328 J328 I421 J421 I52 J52 I147 J147 I240 J240 I333 J333 I426 J426 I57 J57 I152 J152 I245 J245 I338 J338 I431 J431 I59 J59 I154 J154 I247 J247 I340 J340 I433 J433 I61 J61 I156 J156 I249 J249 I342 J342 I435 J435 I63 J63 I158 J158 I251 J251 I344 J344 I437 J437 I65 J65 I160 J160 I253 J253 I346 J346 I439 J439"/>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drawing r:id="rId1"/>
</worksheet>
</file>

<file path=xl/worksheets/sheet4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A01C41E-CCB8-88A8-CDF8-69B9101EFFC8}" mc:Ignorable="x14ac xr xr2 xr3">
  <sheetPr>
    <tabColor theme="6" tint="0.4"/>
  </sheetPr>
  <dimension ref="A1:R17"/>
  <sheetViews>
    <sheetView showGridLines="0" zoomScale="90" workbookViewId="0">
      <pane xSplit="5" ySplit="9" topLeftCell="F10" activePane="bottomRight" state="frozen"/>
      <selection pane="bottomLeft" activeCell="A10" sqref="A10"/>
      <selection pane="topRight" activeCell="F1" sqref="F1"/>
      <selection pane="bottomRight" activeCell="A1" sqref="A1"/>
    </sheetView>
  </sheetViews>
  <sheetFormatPr defaultColWidth="10.57421875" customHeight="1" defaultRowHeight="14.25"/>
  <cols>
    <col min="1" max="1" style="2398" width="9.140625" hidden="1" customWidth="1"/>
    <col min="2" max="2" style="1367" width="9.140625" hidden="1" customWidth="1"/>
    <col min="3" max="3" style="345" width="3.00390625" customWidth="1"/>
    <col min="4" max="4" style="1636" width="6.00390625" customWidth="1"/>
    <col min="5" max="5" style="1636" width="53.00390625" customWidth="1"/>
    <col min="6" max="7" style="1636" width="35.00390625" customWidth="1"/>
    <col min="8" max="8" style="1636" width="89.00390625" customWidth="1"/>
    <col min="9" max="9" style="1636" width="10.00390625" customWidth="1"/>
    <col min="10" max="11" style="1625" width="10.00390625" customWidth="1"/>
    <col min="12" max="17" style="1636" width="10.00390625" customWidth="1"/>
    <col min="18" max="18" style="1636" width="10.57421875" hidden="1"/>
  </cols>
  <sheetData>
    <row customHeight="1" ht="22.5" hidden="1">
      <c r="N1" s="256"/>
      <c r="O1" s="256"/>
      <c r="Q1" s="256"/>
      <c r="R1" s="375" t="s">
        <v>14</v>
      </c>
    </row>
    <row s="1636" customFormat="1" customHeight="1" ht="18.75" hidden="1">
      <c r="A2" s="103"/>
      <c r="B2" s="1161"/>
      <c r="C2" s="1731" t="s">
        <v>108</v>
      </c>
      <c r="D2" s="1674"/>
      <c r="E2" s="1683"/>
      <c r="F2" s="258"/>
      <c r="G2" s="1162"/>
      <c r="H2" s="375"/>
      <c r="I2" s="1625"/>
      <c r="J2" s="1625"/>
      <c r="R2" s="1632">
        <v>0</v>
      </c>
    </row>
    <row customHeight="1" ht="14.25" hidden="1">
      <c r="R3" s="375">
        <v>0</v>
      </c>
    </row>
    <row customHeight="1" ht="6.3">
      <c r="C4" s="377"/>
      <c r="D4" s="364"/>
      <c r="E4" s="364"/>
      <c r="F4" s="364"/>
      <c r="G4" s="86"/>
      <c r="H4" s="86"/>
      <c r="R4" s="375">
        <v>6</v>
      </c>
    </row>
    <row customHeight="1" ht="34.5">
      <c r="C5" s="377"/>
      <c r="D5" s="2455" t="str">
        <f>PURCH_NAME_FORM</f>
        <v>Форма 17. Информация о способах приобретения, стоимости и об объемах товаров, необходимых регулируемой организации для производства товаров (оказания услуг) в сфере теплоснабжения, цены (тарифы) на которые подлежат регулированию, о способах приобретения, стоимости и об объемах товаров, необходимых для производства товаров и (или) оказания услуг единой теплоснабжающей организацией в ценовых зонах теплоснабжения, о способах приобретения, стоимости и об объемах товаров, необходимых для производства товаров и (или) оказания услуг теплоснабжающей организацией в ценовых зонах теплоснабжения и теплосетевой организацией в ценовых зонах теплоснабжения</v>
      </c>
      <c r="E5" s="2456"/>
      <c r="F5" s="2456"/>
      <c r="G5" s="2457"/>
      <c r="H5" s="267"/>
      <c r="R5" s="375">
        <v>33</v>
      </c>
    </row>
    <row s="1636" customFormat="1" customHeight="1" ht="18">
      <c r="A6" s="1670"/>
      <c r="B6" s="1161"/>
      <c r="C6" s="377"/>
      <c r="D6" s="2458" t="str">
        <f>IF(org=0,"Не определено",org)</f>
        <v>ПАО "ТГК-1" (филиал "Кольский")</v>
      </c>
      <c r="E6" s="2459"/>
      <c r="F6" s="2459"/>
      <c r="G6" s="2460"/>
      <c r="H6" s="267"/>
      <c r="J6" s="1625"/>
      <c r="K6" s="1625"/>
      <c r="R6" s="1632">
        <v>17</v>
      </c>
    </row>
    <row customHeight="1" ht="14.699999999999998">
      <c r="C7" s="377"/>
      <c r="D7" s="364"/>
      <c r="E7" s="390"/>
      <c r="F7" s="390"/>
      <c r="G7" s="753"/>
      <c r="H7" s="194"/>
      <c r="R7" s="375">
        <v>14</v>
      </c>
    </row>
    <row customHeight="1" ht="14.699999999999998">
      <c r="C8" s="377"/>
      <c r="D8" s="2210" t="s">
        <v>430</v>
      </c>
      <c r="E8" s="2210"/>
      <c r="F8" s="2210"/>
      <c r="G8" s="2210"/>
      <c r="H8" s="2390" t="s">
        <v>431</v>
      </c>
      <c r="R8" s="375">
        <v>14</v>
      </c>
    </row>
    <row customHeight="1" ht="24">
      <c r="C9" s="377"/>
      <c r="D9" s="387" t="s">
        <v>92</v>
      </c>
      <c r="E9" s="109" t="s">
        <v>432</v>
      </c>
      <c r="F9" s="109" t="s">
        <v>433</v>
      </c>
      <c r="G9" s="109" t="s">
        <v>520</v>
      </c>
      <c r="H9" s="2390"/>
      <c r="R9" s="375">
        <v>23</v>
      </c>
    </row>
    <row customHeight="1" ht="14.699999999999998">
      <c r="A10" s="344"/>
      <c r="C10" s="377"/>
      <c r="D10" s="148" t="s">
        <v>123</v>
      </c>
      <c r="E10" s="1887" t="str">
        <f>"Сведения о правовых актах, регламентирующих правила закупки (положение о закупках) в "&amp;IF(TEMPLATE_SPHERE="TKO","организации",IF(TEMPLATE_SPHERE="HEAT","регулируемой организации, единой теплоснабжающей организации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теплоснабжения","организации "&amp;TEMPLATE_SPHERE_RUS))</f>
        <v>Сведения о правовых актах, регламентирующих правила закупки (положение о закупках) в регулируемой организации, единой теплоснабжающей организации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v>
      </c>
      <c r="F10" s="258"/>
      <c r="G10" s="214"/>
      <c r="H10" s="2170" t="s">
        <v>1293</v>
      </c>
      <c r="R10" s="375">
        <v>14</v>
      </c>
    </row>
    <row customHeight="1" ht="14.699999999999998">
      <c r="A11" s="344"/>
      <c r="C11" s="377"/>
      <c r="D11" s="148" t="s">
        <v>107</v>
      </c>
      <c r="E11" s="1887" t="str">
        <f>"Сведения о месте размещения "&amp;IF(TEMPLATE_SPHERE="TKO","положения о закупках в организации",IF(TEMPLATE_SPHERE="HEAT","положения о закупке регулируемой организации, единой теплоснабжающей организации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теплоснабжения","правовых актов, регламентирующих правила закупки (положение о закупках) в организации "&amp;TEMPLATE_SPHERE_RUS))</f>
        <v>Сведения о месте размещения положения о закупке регулируемой организации, единой теплоснабжающей организации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v>
      </c>
      <c r="F11" s="258"/>
      <c r="G11" s="214"/>
      <c r="H11" s="2171"/>
      <c r="R11" s="375">
        <v>14</v>
      </c>
    </row>
    <row customHeight="1" ht="14.699999999999998">
      <c r="A12" s="103"/>
      <c r="C12" s="388"/>
      <c r="D12" s="148" t="s">
        <v>94</v>
      </c>
      <c r="E12" s="389" t="str">
        <f>"Сведения о планировании закупочных процедур"&amp;IF(TEMPLATE_SPHERE="TKO"," &lt;1&gt;","")</f>
        <v>Сведения о планировании закупочных процедур</v>
      </c>
      <c r="F12" s="258"/>
      <c r="G12" s="214"/>
      <c r="H12" s="2171" t="str">
        <f>"В случае наличия дополнительных сведений о способах приобретения, стоимости и объемах товаров, необходимых для производства "&amp;IF(OR(TEMPLATE_SPHERE="HEAT",TEMPLATE_SPHERE="TKO"),"","регулируемых ")&amp;"товаров и (или) оказания "&amp;IF(OR(TEMPLATE_SPHERE="HEAT",TEMPLATE_SPHERE="TKO"),"услуг организацией","регулируемых услуг регулируемой организацией")&amp;", информация по ним указывается в отдельных строках."</f>
        <v>В случае наличия дополнительных сведений о способах приобретения, стоимости и объемах товаров, необходимых для производства товаров и (или) оказания услуг организацией, информация по ним указывается в отдельных строках.</v>
      </c>
      <c r="I12" s="351"/>
      <c r="K12" s="375"/>
      <c r="R12" s="375">
        <v>14</v>
      </c>
    </row>
    <row customHeight="1" ht="14.699999999999998">
      <c r="A13" s="103"/>
      <c r="C13" s="388"/>
      <c r="D13" s="148" t="s">
        <v>95</v>
      </c>
      <c r="E13" s="389" t="str">
        <f>"Сведения о результатах проведения закупочных процедур"&amp;IF(TEMPLATE_SPHERE="TKO"," &lt;1&gt;","")</f>
        <v>Сведения о результатах проведения закупочных процедур</v>
      </c>
      <c r="F13" s="258"/>
      <c r="G13" s="214"/>
      <c r="H13" s="2171"/>
      <c r="I13" s="351"/>
      <c r="K13" s="375"/>
      <c r="R13" s="375">
        <v>14</v>
      </c>
    </row>
    <row customHeight="1" ht="14.699999999999998">
      <c r="A14" s="344"/>
      <c r="C14" s="377"/>
      <c r="D14" s="348"/>
      <c r="E14" s="396" t="s">
        <v>452</v>
      </c>
      <c r="F14" s="350"/>
      <c r="G14" s="202"/>
      <c r="H14" s="2172"/>
      <c r="R14" s="375">
        <v>14</v>
      </c>
    </row>
    <row s="1636" customFormat="1" customHeight="1" ht="14.699999999999998">
      <c r="A15" s="344"/>
      <c r="B15" s="1161"/>
      <c r="C15" s="377"/>
      <c r="D15" s="397"/>
      <c r="E15" s="1678"/>
      <c r="F15" s="1679"/>
      <c r="G15" s="1680"/>
      <c r="H15" s="1681"/>
      <c r="J15" s="1625"/>
      <c r="K15" s="1625"/>
      <c r="R15" s="1632">
        <v>14</v>
      </c>
    </row>
    <row customHeight="1" ht="14.699999999999998">
      <c r="D16" s="1682"/>
      <c r="E16" s="2386"/>
      <c r="F16" s="2386"/>
      <c r="G16" s="2386"/>
      <c r="H16" s="2386"/>
      <c r="R16" s="375">
        <v>14</v>
      </c>
    </row>
    <row customHeight="1" ht="22.5" hidden="1">
      <c r="A17" s="365" t="s">
        <v>86</v>
      </c>
      <c r="B17" s="147">
        <v>0</v>
      </c>
      <c r="C17" s="345">
        <v>3</v>
      </c>
      <c r="D17" s="375">
        <v>6</v>
      </c>
      <c r="E17" s="375">
        <v>53</v>
      </c>
      <c r="F17" s="375">
        <v>35</v>
      </c>
      <c r="G17" s="375">
        <v>35</v>
      </c>
      <c r="H17" s="375">
        <v>89</v>
      </c>
      <c r="I17" s="375">
        <v>10</v>
      </c>
      <c r="J17" s="351">
        <v>10</v>
      </c>
      <c r="K17" s="351">
        <v>10</v>
      </c>
      <c r="L17" s="375">
        <v>10</v>
      </c>
      <c r="M17" s="375">
        <v>10</v>
      </c>
      <c r="N17" s="375">
        <v>10</v>
      </c>
      <c r="O17" s="375">
        <v>10</v>
      </c>
      <c r="P17" s="375">
        <v>10</v>
      </c>
      <c r="Q17" s="375">
        <v>10</v>
      </c>
      <c r="R17" s="375">
        <v>23</v>
      </c>
    </row>
  </sheetData>
  <sheetProtection formatColumns="0" formatRows="0" autoFilter="0" sort="0" insertRows="0" insertColumns="1" deleteRows="0" deleteColumns="0"/>
  <mergeCells count="7">
    <mergeCell ref="E16:H16"/>
    <mergeCell ref="H10:H11"/>
    <mergeCell ref="H12:H14"/>
    <mergeCell ref="D5:G5"/>
    <mergeCell ref="D8:G8"/>
    <mergeCell ref="H8:H9"/>
    <mergeCell ref="D6:G6"/>
  </mergeCells>
  <dataValidations count="2">
    <dataValidation type="textLength" operator="lessThanOrEqual" allowBlank="1" showInputMessage="1" showErrorMessage="1" errorTitle="Ошибка" error="Допускается ввод не более 900 символов!" sqref="H10 E13 E2:F2 F10:F13">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либо ссылку на официальный сайт в сети «Интернет», на котором размещена информация" sqref="G2 G10:G13">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drawing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878A276-A55A-E0A8-BD28-E8E5CB925218}" mc:Ignorable="x14ac xr xr2 xr3">
  <sheetPr>
    <tabColor rgb="FFCCCCFF"/>
  </sheetPr>
  <dimension ref="A1:AR231"/>
  <sheetViews>
    <sheetView showGridLines="0" zoomScale="90" workbookViewId="0">
      <pane xSplit="6" ySplit="12" topLeftCell="K128" activePane="bottomRight" state="frozen"/>
      <selection pane="bottomLeft" activeCell="A13" sqref="A13"/>
      <selection pane="topRight" activeCell="G1" sqref="G1"/>
      <selection pane="bottomRight" activeCell="V133" sqref="V133"/>
    </sheetView>
  </sheetViews>
  <sheetFormatPr defaultColWidth="9.140625" customHeight="1" defaultRowHeight="11.25"/>
  <cols>
    <col min="1" max="2" style="1625" width="3.7109375" hidden="1" customWidth="1"/>
    <col min="3" max="3" style="1854" width="3.00390625" customWidth="1"/>
    <col min="4" max="4" style="1854" width="6.00390625" customWidth="1"/>
    <col min="5" max="5" style="1854" width="42.00390625" customWidth="1"/>
    <col min="6" max="6" style="1854" width="15.00390625" customWidth="1"/>
    <col min="7" max="7" style="1854" width="42.00390625" customWidth="1"/>
    <col min="8" max="8" style="1854" width="3.00390625" customWidth="1"/>
    <col min="9" max="9" style="1854" width="5.00390625" customWidth="1"/>
    <col min="10" max="10" style="1854" width="47.00390625" customWidth="1"/>
    <col min="11" max="12" style="1854" width="3.00390625" customWidth="1"/>
    <col min="13" max="13" style="1854" width="5.00390625" customWidth="1"/>
    <col min="14" max="14" style="1854" width="28.00390625" customWidth="1"/>
    <col min="15" max="16" style="1854" width="3.00390625" customWidth="1"/>
    <col min="17" max="17" style="1854" width="5.00390625" customWidth="1"/>
    <col min="18" max="18" style="1854" width="34.00390625" customWidth="1"/>
    <col min="19" max="20" style="1854" width="3.7109375" customWidth="1"/>
    <col min="21" max="21" style="1854" width="5.7109375" customWidth="1"/>
    <col min="22" max="22" style="1854" width="34.421875" customWidth="1"/>
    <col min="23" max="23" style="1854" width="30.00390625" customWidth="1"/>
    <col min="24" max="24" style="1854" width="3.00390625" customWidth="1"/>
    <col min="25" max="28" style="1267" width="9.8515625" hidden="1" customWidth="1"/>
    <col min="29" max="29" style="1267" width="27.00390625" hidden="1" customWidth="1"/>
    <col min="30" max="30" style="1267" width="10.57421875" hidden="1" customWidth="1"/>
    <col min="31" max="31" style="1267" width="10.7109375" hidden="1" customWidth="1"/>
    <col min="32" max="32" style="1267" width="10.00390625" hidden="1" customWidth="1"/>
    <col min="33" max="33" style="1267" width="12.8515625" hidden="1" customWidth="1"/>
    <col min="34" max="34" style="1267" width="24.421875" hidden="1" customWidth="1"/>
    <col min="35" max="35" style="1267" width="15.8515625" hidden="1" customWidth="1"/>
    <col min="36" max="36" style="1267" width="19.421875" hidden="1" customWidth="1"/>
    <col min="37" max="37" style="1267" width="11.00390625" hidden="1" customWidth="1"/>
    <col min="38" max="38" style="1267" width="23.57421875" hidden="1" customWidth="1"/>
    <col min="39" max="39" style="1267" width="23.8515625" hidden="1" customWidth="1"/>
    <col min="40" max="40" style="1267" width="25.28125" hidden="1" customWidth="1"/>
    <col min="41" max="41" style="1267" width="16.8515625" hidden="1" customWidth="1"/>
    <col min="42" max="42" style="1267" width="29.57421875" hidden="1" customWidth="1"/>
    <col min="43" max="43" style="1267" width="29.8515625" hidden="1" customWidth="1"/>
    <col min="44" max="44" style="1854" width="9.140625" hidden="1"/>
  </cols>
  <sheetData>
    <row customHeight="1" ht="11.25" hidden="1">
      <c r="A1" s="157"/>
      <c r="AR1" s="105" t="s">
        <v>14</v>
      </c>
    </row>
    <row customHeight="1" ht="11.25" hidden="1">
      <c r="AR2" s="105">
        <v>0</v>
      </c>
    </row>
    <row customHeight="1" ht="11.25" hidden="1">
      <c r="AR3" s="105">
        <v>0</v>
      </c>
    </row>
    <row customHeight="1" ht="3">
      <c r="AR4" s="105">
        <v>3</v>
      </c>
    </row>
    <row s="590" customFormat="1" customHeight="1" ht="30.45">
      <c r="A5" s="155"/>
      <c r="B5" s="155"/>
      <c r="D5" s="2158" t="str">
        <f>"Перечень тарифов и технологически не связанных между собой централизованных систем "&amp;TEMPLATE_SPHERE_RUS&amp;", в отношении которых предлагаются различные тарифы в сфере  "&amp;TEMPLATE_SPHERE_RUS&amp;IF(TEMPLATE_SPHERE="HEAT"," и горячего водоснабжения с использованием открытых систем "&amp;TEMPLATE_SPHERE_RUS,"")&amp;" (информация раскрывается отдельно по каждой системе  "&amp;TEMPLATE_SPHERE_RUS&amp;")"</f>
        <v>Перечень тарифов и технологически не связанных между собой централизованных систем теплоснабжения, в отношении которых предлагаются различные тарифы в сфере  теплоснабжения и горячего водоснабжения с использованием открытых систем теплоснабжения (информация раскрывается отдельно по каждой системе  теплоснабжения)</v>
      </c>
      <c r="E5" s="2159"/>
      <c r="F5" s="2159"/>
      <c r="G5" s="2159"/>
      <c r="H5" s="2159"/>
      <c r="I5" s="2159"/>
      <c r="J5" s="2160"/>
      <c r="K5" s="266"/>
      <c r="L5" s="143"/>
      <c r="M5" s="143"/>
      <c r="N5" s="143"/>
      <c r="O5" s="143"/>
      <c r="P5" s="143"/>
      <c r="Q5" s="143"/>
      <c r="R5" s="143"/>
      <c r="S5" s="291"/>
      <c r="T5" s="291"/>
      <c r="U5" s="291"/>
      <c r="V5" s="291"/>
      <c r="W5" s="143"/>
      <c r="Y5" s="1261"/>
      <c r="Z5" s="1261"/>
      <c r="AA5" s="1261"/>
      <c r="AB5" s="1261"/>
      <c r="AC5" s="1261"/>
      <c r="AD5" s="1261"/>
      <c r="AE5" s="1261"/>
      <c r="AF5" s="1261"/>
      <c r="AG5" s="1261"/>
      <c r="AH5" s="1261"/>
      <c r="AI5" s="1261"/>
      <c r="AJ5" s="1261"/>
      <c r="AK5" s="1261"/>
      <c r="AL5" s="1261"/>
      <c r="AM5" s="1261"/>
      <c r="AN5" s="1261"/>
      <c r="AO5" s="1261"/>
      <c r="AP5" s="1261"/>
      <c r="AQ5" s="1261"/>
      <c r="AR5" s="112">
        <v>29</v>
      </c>
    </row>
    <row s="590" customFormat="1" customHeight="1" ht="14.699999999999998">
      <c r="A6" s="586"/>
      <c r="B6" s="586"/>
      <c r="C6" s="586"/>
      <c r="D6" s="2164" t="str">
        <f>IF(org=0,"Не определено",org)</f>
        <v>ПАО "ТГК-1" (филиал "Кольский")</v>
      </c>
      <c r="E6" s="2164"/>
      <c r="F6" s="2164"/>
      <c r="G6" s="2164"/>
      <c r="H6" s="2164"/>
      <c r="I6" s="2164"/>
      <c r="J6" s="2164"/>
      <c r="K6" s="587"/>
      <c r="L6" s="587"/>
      <c r="M6" s="587"/>
      <c r="N6" s="587"/>
      <c r="O6" s="871"/>
      <c r="P6" s="871"/>
      <c r="Q6" s="871"/>
      <c r="R6" s="871"/>
      <c r="S6" s="871"/>
      <c r="T6" s="871"/>
      <c r="U6" s="871"/>
      <c r="V6" s="871"/>
      <c r="W6" s="871"/>
      <c r="X6" s="587"/>
      <c r="Y6" s="1262"/>
      <c r="Z6" s="1262"/>
      <c r="AA6" s="1262"/>
      <c r="AB6" s="1262"/>
      <c r="AC6" s="1262"/>
      <c r="AD6" s="1262"/>
      <c r="AE6" s="1262"/>
      <c r="AF6" s="1262"/>
      <c r="AG6" s="1262"/>
      <c r="AH6" s="1262"/>
      <c r="AI6" s="1262"/>
      <c r="AJ6" s="1262"/>
      <c r="AK6" s="1262"/>
      <c r="AL6" s="1262"/>
      <c r="AM6" s="1262"/>
      <c r="AN6" s="1262"/>
      <c r="AO6" s="1262"/>
      <c r="AP6" s="1262"/>
      <c r="AQ6" s="1262"/>
      <c r="AR6" s="588">
        <v>14</v>
      </c>
    </row>
    <row s="300" customFormat="1" customHeight="1" ht="11.549999999999999">
      <c r="A7" s="212"/>
      <c r="B7" s="212"/>
      <c r="D7" s="2161"/>
      <c r="E7" s="2162"/>
      <c r="F7" s="2162"/>
      <c r="G7" s="2162"/>
      <c r="H7" s="2162"/>
      <c r="I7" s="2162"/>
      <c r="J7" s="2163"/>
      <c r="S7" s="300"/>
      <c r="T7" s="300"/>
      <c r="U7" s="300"/>
      <c r="V7" s="300"/>
      <c r="Y7" s="1263"/>
      <c r="Z7" s="1263"/>
      <c r="AA7" s="1263"/>
      <c r="AB7" s="1263"/>
      <c r="AC7" s="1263"/>
      <c r="AD7" s="1263"/>
      <c r="AE7" s="1263"/>
      <c r="AF7" s="1263"/>
      <c r="AG7" s="1263"/>
      <c r="AH7" s="1263"/>
      <c r="AI7" s="1263"/>
      <c r="AJ7" s="1263"/>
      <c r="AK7" s="1263"/>
      <c r="AL7" s="1263"/>
      <c r="AM7" s="1263"/>
      <c r="AN7" s="1263"/>
      <c r="AO7" s="1263"/>
      <c r="AP7" s="1263"/>
      <c r="AQ7" s="1263"/>
      <c r="AR7" s="277">
        <v>11</v>
      </c>
    </row>
    <row s="590" customFormat="1" customHeight="1" ht="1.05">
      <c r="A8" s="155"/>
      <c r="B8" s="155"/>
      <c r="D8" s="213"/>
      <c r="E8" s="213"/>
      <c r="F8" s="213"/>
      <c r="G8" s="213"/>
      <c r="H8" s="213"/>
      <c r="I8" s="213"/>
      <c r="J8" s="213"/>
      <c r="K8" s="213"/>
      <c r="L8" s="213"/>
      <c r="M8" s="213"/>
      <c r="N8" s="213"/>
      <c r="O8" s="213"/>
      <c r="P8" s="213"/>
      <c r="Q8" s="213"/>
      <c r="R8" s="213"/>
      <c r="S8" s="213"/>
      <c r="T8" s="213"/>
      <c r="U8" s="213"/>
      <c r="V8" s="213"/>
      <c r="W8" s="213"/>
      <c r="X8" s="133"/>
      <c r="Y8" s="1261"/>
      <c r="Z8" s="1261"/>
      <c r="AA8" s="1261"/>
      <c r="AB8" s="1261"/>
      <c r="AC8" s="1261"/>
      <c r="AD8" s="1261"/>
      <c r="AE8" s="1261"/>
      <c r="AF8" s="1261"/>
      <c r="AG8" s="1261"/>
      <c r="AH8" s="1261"/>
      <c r="AI8" s="1261"/>
      <c r="AJ8" s="1261"/>
      <c r="AK8" s="1261"/>
      <c r="AL8" s="1261"/>
      <c r="AM8" s="1261"/>
      <c r="AN8" s="1261"/>
      <c r="AO8" s="1261"/>
      <c r="AP8" s="1261"/>
      <c r="AQ8" s="1261"/>
      <c r="AR8" s="112">
        <v>1</v>
      </c>
    </row>
    <row customHeight="1" ht="28.5">
      <c r="D9" s="2128" t="s">
        <v>92</v>
      </c>
      <c r="E9" s="2102" t="s">
        <v>135</v>
      </c>
      <c r="F9" s="2104"/>
      <c r="G9" s="2128" t="s">
        <v>119</v>
      </c>
      <c r="H9" s="2128" t="s">
        <v>92</v>
      </c>
      <c r="I9" s="2128"/>
      <c r="J9" s="2128" t="s">
        <v>136</v>
      </c>
      <c r="K9" s="2156" t="s">
        <v>137</v>
      </c>
      <c r="L9" s="2156"/>
      <c r="M9" s="2156"/>
      <c r="N9" s="2156"/>
      <c r="O9" s="2156" t="s">
        <v>138</v>
      </c>
      <c r="P9" s="2156"/>
      <c r="Q9" s="2156"/>
      <c r="R9" s="2156"/>
      <c r="S9" s="2156" t="s">
        <v>139</v>
      </c>
      <c r="T9" s="2156"/>
      <c r="U9" s="2156"/>
      <c r="V9" s="2156"/>
      <c r="W9" s="2128" t="s">
        <v>140</v>
      </c>
      <c r="AR9" s="105">
        <v>27</v>
      </c>
    </row>
    <row customHeight="1" ht="31.5">
      <c r="D10" s="2128"/>
      <c r="E10" s="1285" t="s">
        <v>93</v>
      </c>
      <c r="F10" s="1285" t="s">
        <v>141</v>
      </c>
      <c r="G10" s="2128"/>
      <c r="H10" s="2128"/>
      <c r="I10" s="2128"/>
      <c r="J10" s="2128"/>
      <c r="K10" s="111" t="s">
        <v>122</v>
      </c>
      <c r="L10" s="2128" t="s">
        <v>92</v>
      </c>
      <c r="M10" s="2128"/>
      <c r="N10" s="111" t="s">
        <v>142</v>
      </c>
      <c r="O10" s="111" t="s">
        <v>122</v>
      </c>
      <c r="P10" s="2128" t="s">
        <v>92</v>
      </c>
      <c r="Q10" s="2128"/>
      <c r="R10" s="111" t="s">
        <v>142</v>
      </c>
      <c r="S10" s="284" t="s">
        <v>122</v>
      </c>
      <c r="T10" s="2128" t="s">
        <v>92</v>
      </c>
      <c r="U10" s="2128"/>
      <c r="V10" s="284" t="s">
        <v>93</v>
      </c>
      <c r="W10" s="2128"/>
      <c r="Z10" s="1260" t="s">
        <v>143</v>
      </c>
      <c r="AA10" s="1260" t="s">
        <v>144</v>
      </c>
      <c r="AB10" s="1260" t="s">
        <v>145</v>
      </c>
      <c r="AC10" s="1260" t="s">
        <v>146</v>
      </c>
      <c r="AD10" s="1260" t="s">
        <v>147</v>
      </c>
      <c r="AE10" s="1260" t="s">
        <v>148</v>
      </c>
      <c r="AF10" s="1260" t="s">
        <v>149</v>
      </c>
      <c r="AG10" s="1260" t="s">
        <v>150</v>
      </c>
      <c r="AH10" s="1260" t="s">
        <v>151</v>
      </c>
      <c r="AI10" s="1260" t="s">
        <v>152</v>
      </c>
      <c r="AJ10" s="1260" t="s">
        <v>153</v>
      </c>
      <c r="AK10" s="1260" t="s">
        <v>154</v>
      </c>
      <c r="AL10" s="1260" t="s">
        <v>155</v>
      </c>
      <c r="AM10" s="1260" t="s">
        <v>156</v>
      </c>
      <c r="AN10" s="1260" t="s">
        <v>157</v>
      </c>
      <c r="AO10" s="1260" t="s">
        <v>158</v>
      </c>
      <c r="AP10" s="1260" t="s">
        <v>159</v>
      </c>
      <c r="AQ10" s="1260" t="s">
        <v>160</v>
      </c>
      <c r="AR10" s="105">
        <v>30</v>
      </c>
    </row>
    <row s="1625" customFormat="1" customHeight="1" ht="12" hidden="1">
      <c r="D11" s="1250" t="s">
        <v>123</v>
      </c>
      <c r="E11" s="1250" t="s">
        <v>107</v>
      </c>
      <c r="F11" s="1250"/>
      <c r="G11" s="1250" t="s">
        <v>94</v>
      </c>
      <c r="H11" s="2157" t="s">
        <v>124</v>
      </c>
      <c r="I11" s="2157"/>
      <c r="J11" s="1250" t="s">
        <v>96</v>
      </c>
      <c r="K11" s="1250" t="s">
        <v>97</v>
      </c>
      <c r="L11" s="2157" t="s">
        <v>125</v>
      </c>
      <c r="M11" s="2157"/>
      <c r="N11" s="1250" t="s">
        <v>161</v>
      </c>
      <c r="O11" s="1250" t="s">
        <v>162</v>
      </c>
      <c r="P11" s="2157" t="s">
        <v>163</v>
      </c>
      <c r="Q11" s="2157"/>
      <c r="R11" s="1250" t="s">
        <v>164</v>
      </c>
      <c r="S11" s="1250" t="s">
        <v>163</v>
      </c>
      <c r="T11" s="2157" t="s">
        <v>164</v>
      </c>
      <c r="U11" s="2157"/>
      <c r="V11" s="1250" t="s">
        <v>165</v>
      </c>
      <c r="W11" s="1250" t="s">
        <v>166</v>
      </c>
      <c r="Y11" s="1260"/>
      <c r="Z11" s="1260"/>
      <c r="AA11" s="1260"/>
      <c r="AB11" s="1260"/>
      <c r="AC11" s="1260"/>
      <c r="AD11" s="1260"/>
      <c r="AE11" s="1260"/>
      <c r="AF11" s="1260"/>
      <c r="AG11" s="1260"/>
      <c r="AH11" s="1260"/>
      <c r="AI11" s="1260"/>
      <c r="AJ11" s="1260"/>
      <c r="AK11" s="1260"/>
      <c r="AL11" s="1260"/>
      <c r="AM11" s="1260"/>
      <c r="AN11" s="1260"/>
      <c r="AO11" s="1260"/>
      <c r="AP11" s="1260"/>
      <c r="AQ11" s="1260"/>
      <c r="AR11" s="278">
        <v>0</v>
      </c>
    </row>
    <row customHeight="1" ht="14.25" hidden="1">
      <c r="C12" s="210"/>
      <c r="D12" s="1283">
        <v>0</v>
      </c>
      <c r="E12" s="251"/>
      <c r="F12" s="251"/>
      <c r="G12" s="251"/>
      <c r="H12" s="252"/>
      <c r="I12" s="252"/>
      <c r="J12" s="159"/>
      <c r="K12" s="113"/>
      <c r="L12" s="159"/>
      <c r="M12" s="159"/>
      <c r="N12" s="253"/>
      <c r="O12" s="113"/>
      <c r="P12" s="159"/>
      <c r="Q12" s="159"/>
      <c r="R12" s="254"/>
      <c r="S12" s="285"/>
      <c r="T12" s="293"/>
      <c r="U12" s="293"/>
      <c r="V12" s="297"/>
      <c r="W12" s="113"/>
      <c r="X12" s="142"/>
      <c r="AR12" s="105">
        <v>0</v>
      </c>
    </row>
    <row s="1854" customFormat="1" customHeight="1" ht="17.25">
      <c r="A13" s="322"/>
      <c r="C13" s="210"/>
      <c r="D13" s="2136">
        <v>1</v>
      </c>
      <c r="E13" s="2144" t="s">
        <v>167</v>
      </c>
      <c r="F13" s="2146" t="s">
        <v>65</v>
      </c>
      <c r="G13" s="2633" t="str">
        <f>INDEX(VD_NAME_LIST,MATCH("4190066",VD_ID_LIST,0))&amp;"; "&amp;INDEX(VD_NAME_LIST,MATCH("4190068",VD_ID_LIST,0))&amp;"; "&amp;INDEX(VD_NAME_LIST,MATCH("4190070",VD_ID_LIST,0))</f>
        <v>Производство тепловой энергии. Комбинированная выработка с уст. мощностью производства электрической энергии 25 МВт и более; Передача. Тепловая энергия; Сбыт. Тепловая энергия</v>
      </c>
      <c r="H13" s="2554"/>
      <c r="I13" s="2554">
        <v>1</v>
      </c>
      <c r="J13" s="2502" t="s">
        <v>168</v>
      </c>
      <c r="K13" s="2186" t="s">
        <v>65</v>
      </c>
      <c r="L13" s="2109"/>
      <c r="M13" s="2109" t="s">
        <v>123</v>
      </c>
      <c r="N13" s="2634" t="str">
        <f>IF($Z$13="","",INDEX(TERRITORY_MR_LIST,MATCH($Z$13,TERRITORY_LIST_ID,0)))</f>
        <v>Территория 1</v>
      </c>
      <c r="O13" s="2186" t="s">
        <v>65</v>
      </c>
      <c r="P13" s="2109"/>
      <c r="Q13" s="2109" t="s">
        <v>123</v>
      </c>
      <c r="R13" s="2572" t="s">
        <v>169</v>
      </c>
      <c r="S13" s="2108" t="s">
        <v>65</v>
      </c>
      <c r="T13" s="2109"/>
      <c r="U13" s="2109" t="s">
        <v>123</v>
      </c>
      <c r="V13" s="2572" t="s">
        <v>170</v>
      </c>
      <c r="W13" s="2502"/>
      <c r="Y13" s="1268"/>
      <c r="Z13" s="1268" t="s">
        <v>102</v>
      </c>
      <c r="AA13" s="1268"/>
      <c r="AB13" s="1268" t="s">
        <v>171</v>
      </c>
      <c r="AC13" s="1268" t="s">
        <v>172</v>
      </c>
      <c r="AD13" s="1268" t="s">
        <v>173</v>
      </c>
      <c r="AE13" s="1268" t="s">
        <v>174</v>
      </c>
      <c r="AF13" s="1268" t="s">
        <v>175</v>
      </c>
      <c r="AG13" s="1268" t="s">
        <v>176</v>
      </c>
      <c r="AH13" s="1268" t="str">
        <f>IF($E$13=0,"",$E$13)</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AI13" s="1268" t="str">
        <f>IF($G$13=0,"",$G$13)</f>
        <v>Производство тепловой энергии. Комбинированная выработка с уст. мощностью производства электрической энергии 25 МВт и более; Передача. Тепловая энергия; Сбыт. Тепловая энергия</v>
      </c>
      <c r="AJ13" s="1268" t="str">
        <f>IF($J$13=0,"",$J$13)</f>
        <v>Тарифы на тепловую энергию (мощность) на коллекторах источника тепловой энергии. Для потребителей, в случае отсутствия дифференциации тарифов по схеме подключения. Муниципальный округ город Апатиты с подведомственной территорией Мурманской области, муниципальный округ город Кировск с подведомственной территорией Мурманской области</v>
      </c>
      <c r="AK13" s="1268" t="str">
        <f>IF($K$13="нет","без дифференциации",IF($N$13=0,"",$N$13))</f>
        <v>Территория 1</v>
      </c>
      <c r="AL13" s="1268" t="str">
        <f>IF($O$13="нет","без дифференциации",IF($R$13=0,"",$R$13))</f>
        <v>открытая система теплоснабжения г. Апатиты</v>
      </c>
      <c r="AM13" s="1268" t="str">
        <f>IF($S$13="нет","без дифференциации",IF($V$13=0,"",$V$13))</f>
        <v>Апатитская ТЭЦ</v>
      </c>
      <c r="AN13" s="1268">
        <f>$I$13</f>
        <v>1</v>
      </c>
      <c r="AO13" s="1268" t="str">
        <f>$I$13&amp;"."&amp;$M$13</f>
        <v>1.1</v>
      </c>
      <c r="AP13" s="1268" t="str">
        <f>$I$13&amp;"."&amp;$M$13&amp;"."&amp;$Q$13</f>
        <v>1.1.1</v>
      </c>
      <c r="AQ13" s="1268" t="str">
        <f>$I$13&amp;"."&amp;$M$13&amp;"."&amp;$Q$13&amp;"."&amp;$U$13</f>
        <v>1.1.1.1</v>
      </c>
      <c r="AR13" s="751">
        <v>0</v>
      </c>
    </row>
    <row s="1854" customFormat="1" customHeight="1" ht="17.25">
      <c r="A14" s="322"/>
      <c r="C14" s="321"/>
      <c r="D14" s="2136"/>
      <c r="E14" s="2144"/>
      <c r="F14" s="2147"/>
      <c r="G14" s="2633"/>
      <c r="H14" s="2554"/>
      <c r="I14" s="2554"/>
      <c r="J14" s="2502"/>
      <c r="K14" s="2187"/>
      <c r="L14" s="2109"/>
      <c r="M14" s="2109"/>
      <c r="N14" s="2634" t="str">
        <f>IF($Z$13="","",INDEX(TERRITORY_MR_LIST,MATCH($Z$13,TERRITORY_LIST_ID,0)))</f>
        <v>Территория 1</v>
      </c>
      <c r="O14" s="2187"/>
      <c r="P14" s="2109"/>
      <c r="Q14" s="2109"/>
      <c r="R14" s="2572"/>
      <c r="S14" s="2108"/>
      <c r="T14" s="2635"/>
      <c r="U14" s="2636"/>
      <c r="V14" s="2637" t="s">
        <v>177</v>
      </c>
      <c r="W14" s="2638"/>
      <c r="Y14" s="1260"/>
      <c r="Z14" s="1260"/>
      <c r="AA14" s="1260"/>
      <c r="AB14" s="1260"/>
      <c r="AC14" s="1260"/>
      <c r="AD14" s="1260"/>
      <c r="AE14" s="1260"/>
      <c r="AF14" s="1260"/>
      <c r="AG14" s="1260"/>
      <c r="AH14" s="1260"/>
      <c r="AI14" s="1260"/>
      <c r="AJ14" s="1260"/>
      <c r="AK14" s="1260"/>
      <c r="AL14" s="1260"/>
      <c r="AM14" s="1260"/>
      <c r="AN14" s="1260"/>
      <c r="AO14" s="1260"/>
      <c r="AP14" s="1260"/>
      <c r="AQ14" s="1260"/>
      <c r="AR14" s="751">
        <v>0</v>
      </c>
    </row>
    <row s="1854" customFormat="1" customHeight="1" ht="39">
      <c r="A15" s="322"/>
      <c r="C15" s="210"/>
      <c r="D15" s="2136"/>
      <c r="E15" s="2144"/>
      <c r="F15" s="2147"/>
      <c r="G15" s="2633"/>
      <c r="H15" s="2504"/>
      <c r="I15" s="2504"/>
      <c r="J15" s="2534"/>
      <c r="K15" s="2187"/>
      <c r="L15" s="2504"/>
      <c r="M15" s="2504"/>
      <c r="N15" s="2639" t="str">
        <f>IF($Z$13="","",INDEX(TERRITORY_MR_LIST,MATCH($Z$13,TERRITORY_LIST_ID,0)))</f>
        <v>Территория 1</v>
      </c>
      <c r="O15" s="2113"/>
      <c r="P15" s="2640"/>
      <c r="Q15" s="2641"/>
      <c r="R15" s="2642" t="s">
        <v>178</v>
      </c>
      <c r="S15" s="2643"/>
      <c r="T15" s="2644"/>
      <c r="U15" s="2645"/>
      <c r="V15" s="2646"/>
      <c r="W15" s="2647"/>
      <c r="Y15" s="1268"/>
      <c r="Z15" s="1268"/>
      <c r="AA15" s="1268"/>
      <c r="AB15" s="1268"/>
      <c r="AC15" s="1268"/>
      <c r="AD15" s="1268"/>
      <c r="AE15" s="1268"/>
      <c r="AF15" s="1268"/>
      <c r="AG15" s="1268"/>
      <c r="AH15" s="1268"/>
      <c r="AI15" s="1268"/>
      <c r="AJ15" s="1268"/>
      <c r="AK15" s="1268"/>
      <c r="AL15" s="1268"/>
      <c r="AM15" s="1268"/>
      <c r="AN15" s="1268"/>
      <c r="AO15" s="1268"/>
      <c r="AP15" s="1268"/>
      <c r="AQ15" s="1268"/>
      <c r="AR15" s="1418">
        <v>0</v>
      </c>
    </row>
    <row customHeight="1" ht="17.25">
      <c r="A16" s="1841"/>
      <c r="B16" s="1854"/>
      <c r="C16" s="1843"/>
      <c r="D16" s="1831"/>
      <c r="E16" s="1848"/>
      <c r="F16" s="1785"/>
      <c r="G16" s="1849"/>
      <c r="H16" s="1831"/>
      <c r="I16" s="1831"/>
      <c r="J16" s="1850"/>
      <c r="K16" s="1761"/>
      <c r="L16" s="2109" t="s">
        <v>108</v>
      </c>
      <c r="M16" s="2109" t="s">
        <v>107</v>
      </c>
      <c r="N16" s="2505" t="str">
        <f>IF(Z16="","",INDEX(TERRITORY_MR_LIST,MATCH(Z16,TERRITORY_LIST_ID,0)))</f>
        <v>Территория 2</v>
      </c>
      <c r="O16" s="2186" t="s">
        <v>65</v>
      </c>
      <c r="P16" s="2109"/>
      <c r="Q16" s="2109" t="s">
        <v>123</v>
      </c>
      <c r="R16" s="2503" t="s">
        <v>179</v>
      </c>
      <c r="S16" s="2108" t="s">
        <v>65</v>
      </c>
      <c r="T16" s="1812"/>
      <c r="U16" s="1812" t="s">
        <v>123</v>
      </c>
      <c r="V16" s="1844" t="s">
        <v>170</v>
      </c>
      <c r="W16" s="1802"/>
      <c r="X16" s="1854"/>
      <c r="Y16" s="1268"/>
      <c r="Z16" s="1268" t="s">
        <v>109</v>
      </c>
      <c r="AA16" s="1268"/>
      <c r="AB16" s="1268"/>
      <c r="AC16" s="1975" t="s">
        <v>172</v>
      </c>
      <c r="AD16" s="1975" t="s">
        <v>173</v>
      </c>
      <c r="AE16" s="1268" t="s">
        <v>180</v>
      </c>
      <c r="AF16" s="1268" t="s">
        <v>181</v>
      </c>
      <c r="AG16" s="1268" t="s">
        <v>182</v>
      </c>
      <c r="AH16" s="1268" t="str">
        <f>IF($E$13=0,"",$E$13)</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AI16" s="1268" t="str">
        <f>IF($G$13=0,"",$G$13)</f>
        <v>Производство тепловой энергии. Комбинированная выработка с уст. мощностью производства электрической энергии 25 МВт и более; Передача. Тепловая энергия; Сбыт. Тепловая энергия</v>
      </c>
      <c r="AJ16" s="1268" t="str">
        <f>IF($J$13=0,"",$J$13)</f>
        <v>Тарифы на тепловую энергию (мощность) на коллекторах источника тепловой энергии. Для потребителей, в случае отсутствия дифференциации тарифов по схеме подключения. Муниципальный округ город Апатиты с подведомственной территорией Мурманской области, муниципальный округ город Кировск с подведомственной территорией Мурманской области</v>
      </c>
      <c r="AK16" s="1268" t="str">
        <f>IF($K$16="нет","без дифференциации",IF($N$16=0,"",$N$16))</f>
        <v>Территория 2</v>
      </c>
      <c r="AL16" s="1845" t="str">
        <f>IF($O$16="нет","без дифференциации",IF($R$16=0,"",$R$16))</f>
        <v>открытая система теплоснабжения г. Кировск</v>
      </c>
      <c r="AM16" s="1845" t="str">
        <f>IF($S$16="нет","без дифференциации",IF($V$16=0,"",$V$16))</f>
        <v>Апатитская ТЭЦ</v>
      </c>
      <c r="AN16" s="1268">
        <f>$I$13</f>
        <v>1</v>
      </c>
      <c r="AO16" s="1268" t="str">
        <f>$I$13&amp;"."&amp;$M$16</f>
        <v>1.2</v>
      </c>
      <c r="AP16" s="1268" t="str">
        <f>$I$13&amp;"."&amp;$M$16&amp;"."&amp;$Q$16</f>
        <v>1.2.1</v>
      </c>
      <c r="AQ16" s="1268" t="str">
        <f>$I$13&amp;"."&amp;$M$16&amp;"."&amp;$Q$16&amp;"."&amp;$U$16</f>
        <v>1.2.1.1</v>
      </c>
      <c r="AR16" s="1854"/>
    </row>
    <row customHeight="1" ht="17.25">
      <c r="A17" s="1841"/>
      <c r="B17" s="1854"/>
      <c r="C17" s="1846"/>
      <c r="D17" s="1831"/>
      <c r="E17" s="1848"/>
      <c r="F17" s="1785"/>
      <c r="G17" s="1849"/>
      <c r="H17" s="1831"/>
      <c r="I17" s="1831"/>
      <c r="J17" s="1850"/>
      <c r="K17" s="1761"/>
      <c r="L17" s="2109"/>
      <c r="M17" s="2109"/>
      <c r="N17" s="2505"/>
      <c r="O17" s="2187"/>
      <c r="P17" s="2109"/>
      <c r="Q17" s="2109"/>
      <c r="R17" s="2503"/>
      <c r="S17" s="2108"/>
      <c r="T17" s="318"/>
      <c r="U17" s="319"/>
      <c r="V17" s="319" t="s">
        <v>177</v>
      </c>
      <c r="W17" s="320"/>
      <c r="X17" s="1854"/>
      <c r="Y17" s="1260"/>
      <c r="Z17" s="1260"/>
      <c r="AA17" s="1260"/>
      <c r="AB17" s="1260"/>
      <c r="AC17" s="1260"/>
      <c r="AD17" s="1260"/>
      <c r="AE17" s="1260"/>
      <c r="AF17" s="1260"/>
      <c r="AG17" s="1260"/>
      <c r="AH17" s="1260"/>
      <c r="AI17" s="1260"/>
      <c r="AJ17" s="1260"/>
      <c r="AK17" s="1260"/>
      <c r="AL17" s="1854"/>
      <c r="AM17" s="1854"/>
      <c r="AN17" s="1854"/>
      <c r="AO17" s="1854"/>
      <c r="AP17" s="1854"/>
      <c r="AQ17" s="1854"/>
      <c r="AR17" s="1854"/>
    </row>
    <row customHeight="1" ht="17.25">
      <c r="A18" s="1841"/>
      <c r="B18" s="1854"/>
      <c r="C18" s="1846"/>
      <c r="D18" s="1831"/>
      <c r="E18" s="1848"/>
      <c r="F18" s="1785"/>
      <c r="G18" s="1849"/>
      <c r="H18" s="1831"/>
      <c r="I18" s="1831"/>
      <c r="J18" s="1850"/>
      <c r="K18" s="1761"/>
      <c r="L18" s="2504"/>
      <c r="M18" s="2504"/>
      <c r="N18" s="2506"/>
      <c r="O18" s="2113"/>
      <c r="P18" s="318"/>
      <c r="Q18" s="319"/>
      <c r="R18" s="319" t="s">
        <v>178</v>
      </c>
      <c r="S18" s="1847"/>
      <c r="T18" s="1847"/>
      <c r="U18" s="1847"/>
      <c r="V18" s="1847"/>
      <c r="W18" s="320"/>
      <c r="X18" s="1854"/>
      <c r="Y18" s="1260"/>
      <c r="Z18" s="1260"/>
      <c r="AA18" s="1260"/>
      <c r="AB18" s="1260"/>
      <c r="AC18" s="1260"/>
      <c r="AD18" s="1260"/>
      <c r="AE18" s="1260"/>
      <c r="AF18" s="1260"/>
      <c r="AG18" s="1260"/>
      <c r="AH18" s="1260"/>
      <c r="AI18" s="1260"/>
      <c r="AJ18" s="1260"/>
      <c r="AK18" s="1260"/>
      <c r="AL18" s="1854"/>
      <c r="AM18" s="1854"/>
      <c r="AN18" s="1854"/>
      <c r="AO18" s="1854"/>
      <c r="AP18" s="1854"/>
      <c r="AQ18" s="1854"/>
      <c r="AR18" s="1854"/>
    </row>
    <row s="1854" customFormat="1" customHeight="1" ht="17.25">
      <c r="A19" s="322"/>
      <c r="C19" s="321"/>
      <c r="D19" s="2136"/>
      <c r="E19" s="2144"/>
      <c r="F19" s="2147"/>
      <c r="G19" s="2633"/>
      <c r="H19" s="2504"/>
      <c r="I19" s="2504"/>
      <c r="J19" s="2534"/>
      <c r="K19" s="2113"/>
      <c r="L19" s="2648"/>
      <c r="M19" s="2649"/>
      <c r="N19" s="2650" t="s">
        <v>183</v>
      </c>
      <c r="O19" s="2651"/>
      <c r="P19" s="2652"/>
      <c r="Q19" s="2653"/>
      <c r="R19" s="2654"/>
      <c r="S19" s="2655"/>
      <c r="T19" s="2656"/>
      <c r="U19" s="2657"/>
      <c r="V19" s="2658"/>
      <c r="W19" s="2659"/>
      <c r="Y19" s="1260"/>
      <c r="Z19" s="1260"/>
      <c r="AA19" s="1260"/>
      <c r="AB19" s="1260"/>
      <c r="AC19" s="1260"/>
      <c r="AD19" s="1260"/>
      <c r="AE19" s="1260"/>
      <c r="AF19" s="1260"/>
      <c r="AG19" s="1260"/>
      <c r="AH19" s="1260"/>
      <c r="AI19" s="1260"/>
      <c r="AJ19" s="1260"/>
      <c r="AK19" s="1260"/>
      <c r="AL19" s="1260"/>
      <c r="AM19" s="1260"/>
      <c r="AN19" s="1260"/>
      <c r="AO19" s="1260"/>
      <c r="AP19" s="1260"/>
      <c r="AQ19" s="1260"/>
      <c r="AR19" s="1418">
        <v>0</v>
      </c>
    </row>
    <row customHeight="1" ht="17.25">
      <c r="A20" s="1841"/>
      <c r="B20" s="1854"/>
      <c r="C20" s="1843"/>
      <c r="D20" s="1831"/>
      <c r="E20" s="1848"/>
      <c r="F20" s="1785"/>
      <c r="G20" s="1849"/>
      <c r="H20" s="2530" t="s">
        <v>108</v>
      </c>
      <c r="I20" s="2530" t="s">
        <v>107</v>
      </c>
      <c r="J20" s="2502" t="s">
        <v>184</v>
      </c>
      <c r="K20" s="2186" t="s">
        <v>65</v>
      </c>
      <c r="L20" s="2109"/>
      <c r="M20" s="2109" t="s">
        <v>123</v>
      </c>
      <c r="N20" s="2505" t="str">
        <f>IF(Z20="","",INDEX(TERRITORY_MR_LIST,MATCH(Z20,TERRITORY_LIST_ID,0)))</f>
        <v>Территория 1</v>
      </c>
      <c r="O20" s="2186" t="s">
        <v>65</v>
      </c>
      <c r="P20" s="2109"/>
      <c r="Q20" s="2109" t="s">
        <v>123</v>
      </c>
      <c r="R20" s="2503" t="s">
        <v>169</v>
      </c>
      <c r="S20" s="2108" t="s">
        <v>65</v>
      </c>
      <c r="T20" s="1812"/>
      <c r="U20" s="1812" t="s">
        <v>123</v>
      </c>
      <c r="V20" s="1844" t="s">
        <v>170</v>
      </c>
      <c r="W20" s="1802"/>
      <c r="X20" s="1854"/>
      <c r="Y20" s="1268"/>
      <c r="Z20" s="1268" t="s">
        <v>102</v>
      </c>
      <c r="AA20" s="1268"/>
      <c r="AB20" s="1268"/>
      <c r="AC20" s="1975" t="s">
        <v>172</v>
      </c>
      <c r="AD20" s="1268" t="s">
        <v>185</v>
      </c>
      <c r="AE20" s="1268" t="s">
        <v>186</v>
      </c>
      <c r="AF20" s="1268" t="s">
        <v>187</v>
      </c>
      <c r="AG20" s="1268" t="s">
        <v>188</v>
      </c>
      <c r="AH20" s="1268" t="str">
        <f>IF($E$13=0,"",$E$13)</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AI20" s="1268" t="str">
        <f>IF($G$13=0,"",$G$13)</f>
        <v>Производство тепловой энергии. Комбинированная выработка с уст. мощностью производства электрической энергии 25 МВт и более; Передача. Тепловая энергия; Сбыт. Тепловая энергия</v>
      </c>
      <c r="AJ20" s="1268" t="str">
        <f>IF($J$20=0,"",$J$20)</f>
        <v>Льготные тарифы на тепловую энергию, поставляемую группе потребителей "население". Для потребителей, в случае отсутствия дифференциации тарифов по схеме подключения. Муниципальный округ город Апатиты с подведомственной территорией Мурманской области</v>
      </c>
      <c r="AK20" s="1268" t="str">
        <f>IF($K$20="нет","без дифференциации",IF($N$20=0,"",$N$20))</f>
        <v>Территория 1</v>
      </c>
      <c r="AL20" s="1845" t="str">
        <f>IF($O$20="нет","без дифференциации",IF($R$20=0,"",$R$20))</f>
        <v>открытая система теплоснабжения г. Апатиты</v>
      </c>
      <c r="AM20" s="1845" t="str">
        <f>IF($S$20="нет","без дифференциации",IF($V$20=0,"",$V$20))</f>
        <v>Апатитская ТЭЦ</v>
      </c>
      <c r="AN20" s="1268" t="str">
        <f>$I$20</f>
        <v>2</v>
      </c>
      <c r="AO20" s="1268" t="str">
        <f>$I$20&amp;"."&amp;$M$20</f>
        <v>2.1</v>
      </c>
      <c r="AP20" s="1268" t="str">
        <f>$I$20&amp;"."&amp;$M$20&amp;"."&amp;$Q$20</f>
        <v>2.1.1</v>
      </c>
      <c r="AQ20" s="1268" t="str">
        <f>$I$20&amp;"."&amp;$M$20&amp;"."&amp;$Q$20&amp;"."&amp;$U$20</f>
        <v>2.1.1.1</v>
      </c>
      <c r="AR20" s="1854"/>
    </row>
    <row customHeight="1" ht="17.25">
      <c r="A21" s="1841"/>
      <c r="B21" s="1854"/>
      <c r="C21" s="1846"/>
      <c r="D21" s="1831"/>
      <c r="E21" s="1848"/>
      <c r="F21" s="1785"/>
      <c r="G21" s="1849"/>
      <c r="H21" s="2530"/>
      <c r="I21" s="2530"/>
      <c r="J21" s="2502"/>
      <c r="K21" s="2187"/>
      <c r="L21" s="2109"/>
      <c r="M21" s="2109"/>
      <c r="N21" s="2505"/>
      <c r="O21" s="2187"/>
      <c r="P21" s="2109"/>
      <c r="Q21" s="2109"/>
      <c r="R21" s="2503"/>
      <c r="S21" s="2108"/>
      <c r="T21" s="318"/>
      <c r="U21" s="319"/>
      <c r="V21" s="319" t="s">
        <v>177</v>
      </c>
      <c r="W21" s="320"/>
      <c r="X21" s="1854"/>
      <c r="Y21" s="1260"/>
      <c r="Z21" s="1260"/>
      <c r="AA21" s="1260"/>
      <c r="AB21" s="1260"/>
      <c r="AC21" s="1260"/>
      <c r="AD21" s="1260"/>
      <c r="AE21" s="1260"/>
      <c r="AF21" s="1260"/>
      <c r="AG21" s="1260"/>
      <c r="AH21" s="1260"/>
      <c r="AI21" s="1260"/>
      <c r="AJ21" s="1260"/>
      <c r="AK21" s="1260"/>
      <c r="AL21" s="1854"/>
      <c r="AM21" s="1854"/>
      <c r="AN21" s="1854"/>
      <c r="AO21" s="1854"/>
      <c r="AP21" s="1854"/>
      <c r="AQ21" s="1854"/>
      <c r="AR21" s="1854"/>
    </row>
    <row customHeight="1" ht="17.25">
      <c r="A22" s="1841"/>
      <c r="B22" s="1854"/>
      <c r="C22" s="1846"/>
      <c r="D22" s="1831"/>
      <c r="E22" s="1848"/>
      <c r="F22" s="1785"/>
      <c r="G22" s="1849"/>
      <c r="H22" s="2504"/>
      <c r="I22" s="2504"/>
      <c r="J22" s="2534"/>
      <c r="K22" s="2187"/>
      <c r="L22" s="2504"/>
      <c r="M22" s="2504"/>
      <c r="N22" s="2506"/>
      <c r="O22" s="2113"/>
      <c r="P22" s="318"/>
      <c r="Q22" s="319"/>
      <c r="R22" s="319" t="s">
        <v>178</v>
      </c>
      <c r="S22" s="1847"/>
      <c r="T22" s="1847"/>
      <c r="U22" s="1847"/>
      <c r="V22" s="1847"/>
      <c r="W22" s="320"/>
      <c r="X22" s="1854"/>
      <c r="Y22" s="1260"/>
      <c r="Z22" s="1260"/>
      <c r="AA22" s="1260"/>
      <c r="AB22" s="1260"/>
      <c r="AC22" s="1260"/>
      <c r="AD22" s="1260"/>
      <c r="AE22" s="1260"/>
      <c r="AF22" s="1260"/>
      <c r="AG22" s="1260"/>
      <c r="AH22" s="1260"/>
      <c r="AI22" s="1260"/>
      <c r="AJ22" s="1260"/>
      <c r="AK22" s="1260"/>
      <c r="AL22" s="1854"/>
      <c r="AM22" s="1854"/>
      <c r="AN22" s="1854"/>
      <c r="AO22" s="1854"/>
      <c r="AP22" s="1854"/>
      <c r="AQ22" s="1854"/>
      <c r="AR22" s="1854"/>
    </row>
    <row customHeight="1" ht="17.25">
      <c r="A23" s="1841"/>
      <c r="B23" s="1854"/>
      <c r="C23" s="1843"/>
      <c r="D23" s="1831"/>
      <c r="E23" s="1848"/>
      <c r="F23" s="1785"/>
      <c r="G23" s="1849"/>
      <c r="H23" s="1831"/>
      <c r="I23" s="1831"/>
      <c r="J23" s="1850"/>
      <c r="K23" s="1761"/>
      <c r="L23" s="2109" t="s">
        <v>108</v>
      </c>
      <c r="M23" s="2109" t="s">
        <v>107</v>
      </c>
      <c r="N23" s="2505" t="str">
        <f>IF(Z23="","",INDEX(TERRITORY_MR_LIST,MATCH(Z23,TERRITORY_LIST_ID,0)))</f>
        <v>Территория 2</v>
      </c>
      <c r="O23" s="2186" t="s">
        <v>65</v>
      </c>
      <c r="P23" s="2109"/>
      <c r="Q23" s="2109" t="s">
        <v>123</v>
      </c>
      <c r="R23" s="2503" t="s">
        <v>179</v>
      </c>
      <c r="S23" s="2108" t="s">
        <v>65</v>
      </c>
      <c r="T23" s="1812"/>
      <c r="U23" s="1812" t="s">
        <v>123</v>
      </c>
      <c r="V23" s="1844" t="s">
        <v>170</v>
      </c>
      <c r="W23" s="1802"/>
      <c r="X23" s="1854"/>
      <c r="Y23" s="1268"/>
      <c r="Z23" s="1268" t="s">
        <v>109</v>
      </c>
      <c r="AA23" s="1268"/>
      <c r="AB23" s="1268"/>
      <c r="AC23" s="1975" t="s">
        <v>172</v>
      </c>
      <c r="AD23" s="1975" t="s">
        <v>185</v>
      </c>
      <c r="AE23" s="1268" t="s">
        <v>189</v>
      </c>
      <c r="AF23" s="1268" t="s">
        <v>190</v>
      </c>
      <c r="AG23" s="1268" t="s">
        <v>191</v>
      </c>
      <c r="AH23" s="1268" t="str">
        <f>IF($E$13=0,"",$E$13)</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AI23" s="1268" t="str">
        <f>IF($G$13=0,"",$G$13)</f>
        <v>Производство тепловой энергии. Комбинированная выработка с уст. мощностью производства электрической энергии 25 МВт и более; Передача. Тепловая энергия; Сбыт. Тепловая энергия</v>
      </c>
      <c r="AJ23" s="1268" t="str">
        <f>IF($J$20=0,"",$J$20)</f>
        <v>Льготные тарифы на тепловую энергию, поставляемую группе потребителей "население". Для потребителей, в случае отсутствия дифференциации тарифов по схеме подключения. Муниципальный округ город Апатиты с подведомственной территорией Мурманской области</v>
      </c>
      <c r="AK23" s="1268" t="str">
        <f>IF($K$23="нет","без дифференциации",IF($N$23=0,"",$N$23))</f>
        <v>Территория 2</v>
      </c>
      <c r="AL23" s="1845" t="str">
        <f>IF($O$23="нет","без дифференциации",IF($R$23=0,"",$R$23))</f>
        <v>открытая система теплоснабжения г. Кировск</v>
      </c>
      <c r="AM23" s="1845" t="str">
        <f>IF($S$23="нет","без дифференциации",IF($V$23=0,"",$V$23))</f>
        <v>Апатитская ТЭЦ</v>
      </c>
      <c r="AN23" s="1268" t="str">
        <f>$I$20</f>
        <v>2</v>
      </c>
      <c r="AO23" s="1268" t="str">
        <f>$I$20&amp;"."&amp;$M$23</f>
        <v>2.2</v>
      </c>
      <c r="AP23" s="1268" t="str">
        <f>$I$20&amp;"."&amp;$M$23&amp;"."&amp;$Q$23</f>
        <v>2.2.1</v>
      </c>
      <c r="AQ23" s="1268" t="str">
        <f>$I$20&amp;"."&amp;$M$23&amp;"."&amp;$Q$23&amp;"."&amp;$U$23</f>
        <v>2.2.1.1</v>
      </c>
      <c r="AR23" s="1854"/>
    </row>
    <row customHeight="1" ht="17.25">
      <c r="A24" s="1841"/>
      <c r="B24" s="1854"/>
      <c r="C24" s="1846"/>
      <c r="D24" s="1831"/>
      <c r="E24" s="1848"/>
      <c r="F24" s="1785"/>
      <c r="G24" s="1849"/>
      <c r="H24" s="1831"/>
      <c r="I24" s="1831"/>
      <c r="J24" s="1850"/>
      <c r="K24" s="1761"/>
      <c r="L24" s="2109"/>
      <c r="M24" s="2109"/>
      <c r="N24" s="2505"/>
      <c r="O24" s="2187"/>
      <c r="P24" s="2109"/>
      <c r="Q24" s="2109"/>
      <c r="R24" s="2503"/>
      <c r="S24" s="2108"/>
      <c r="T24" s="318"/>
      <c r="U24" s="319"/>
      <c r="V24" s="319" t="s">
        <v>177</v>
      </c>
      <c r="W24" s="320"/>
      <c r="X24" s="1854"/>
      <c r="Y24" s="1260"/>
      <c r="Z24" s="1260"/>
      <c r="AA24" s="1260"/>
      <c r="AB24" s="1260"/>
      <c r="AC24" s="1260"/>
      <c r="AD24" s="1260"/>
      <c r="AE24" s="1260"/>
      <c r="AF24" s="1260"/>
      <c r="AG24" s="1260"/>
      <c r="AH24" s="1260"/>
      <c r="AI24" s="1260"/>
      <c r="AJ24" s="1260"/>
      <c r="AK24" s="1260"/>
      <c r="AL24" s="1854"/>
      <c r="AM24" s="1854"/>
      <c r="AN24" s="1854"/>
      <c r="AO24" s="1854"/>
      <c r="AP24" s="1854"/>
      <c r="AQ24" s="1854"/>
      <c r="AR24" s="1854"/>
    </row>
    <row customHeight="1" ht="17.25">
      <c r="A25" s="1841"/>
      <c r="B25" s="1854"/>
      <c r="C25" s="1846"/>
      <c r="D25" s="1831"/>
      <c r="E25" s="1848"/>
      <c r="F25" s="1785"/>
      <c r="G25" s="1849"/>
      <c r="H25" s="1831"/>
      <c r="I25" s="1831"/>
      <c r="J25" s="1850"/>
      <c r="K25" s="1761"/>
      <c r="L25" s="2504"/>
      <c r="M25" s="2504"/>
      <c r="N25" s="2506"/>
      <c r="O25" s="2113"/>
      <c r="P25" s="318"/>
      <c r="Q25" s="319"/>
      <c r="R25" s="319" t="s">
        <v>178</v>
      </c>
      <c r="S25" s="1847"/>
      <c r="T25" s="1847"/>
      <c r="U25" s="1847"/>
      <c r="V25" s="1847"/>
      <c r="W25" s="320"/>
      <c r="X25" s="1854"/>
      <c r="Y25" s="1260"/>
      <c r="Z25" s="1260"/>
      <c r="AA25" s="1260"/>
      <c r="AB25" s="1260"/>
      <c r="AC25" s="1260"/>
      <c r="AD25" s="1260"/>
      <c r="AE25" s="1260"/>
      <c r="AF25" s="1260"/>
      <c r="AG25" s="1260"/>
      <c r="AH25" s="1260"/>
      <c r="AI25" s="1260"/>
      <c r="AJ25" s="1260"/>
      <c r="AK25" s="1260"/>
      <c r="AL25" s="1854"/>
      <c r="AM25" s="1854"/>
      <c r="AN25" s="1854"/>
      <c r="AO25" s="1854"/>
      <c r="AP25" s="1854"/>
      <c r="AQ25" s="1854"/>
      <c r="AR25" s="1854"/>
    </row>
    <row customHeight="1" ht="17.25">
      <c r="A26" s="1841"/>
      <c r="B26" s="1854"/>
      <c r="C26" s="1846"/>
      <c r="D26" s="1831"/>
      <c r="E26" s="1848"/>
      <c r="F26" s="1785"/>
      <c r="G26" s="1849"/>
      <c r="H26" s="2504"/>
      <c r="I26" s="2504"/>
      <c r="J26" s="2534"/>
      <c r="K26" s="2113"/>
      <c r="L26" s="318"/>
      <c r="M26" s="319"/>
      <c r="N26" s="319" t="s">
        <v>183</v>
      </c>
      <c r="O26" s="319"/>
      <c r="P26" s="319"/>
      <c r="Q26" s="319"/>
      <c r="R26" s="319"/>
      <c r="S26" s="1847"/>
      <c r="T26" s="1847"/>
      <c r="U26" s="1847"/>
      <c r="V26" s="1847"/>
      <c r="W26" s="320"/>
      <c r="X26" s="1854"/>
      <c r="Y26" s="1260"/>
      <c r="Z26" s="1260"/>
      <c r="AA26" s="1260"/>
      <c r="AB26" s="1260"/>
      <c r="AC26" s="1260"/>
      <c r="AD26" s="1260"/>
      <c r="AE26" s="1260"/>
      <c r="AF26" s="1260"/>
      <c r="AG26" s="1260"/>
      <c r="AH26" s="1260"/>
      <c r="AI26" s="1260"/>
      <c r="AJ26" s="1260"/>
      <c r="AK26" s="1260"/>
      <c r="AL26" s="1854"/>
      <c r="AM26" s="1854"/>
      <c r="AN26" s="1854"/>
      <c r="AO26" s="1854"/>
      <c r="AP26" s="1854"/>
      <c r="AQ26" s="1854"/>
      <c r="AR26" s="1854"/>
    </row>
    <row customHeight="1" ht="17.25">
      <c r="A27" s="1841"/>
      <c r="B27" s="1854"/>
      <c r="C27" s="1843"/>
      <c r="D27" s="1831"/>
      <c r="E27" s="1848"/>
      <c r="F27" s="1785"/>
      <c r="G27" s="1849"/>
      <c r="H27" s="2530" t="s">
        <v>108</v>
      </c>
      <c r="I27" s="2530" t="s">
        <v>94</v>
      </c>
      <c r="J27" s="2502" t="s">
        <v>192</v>
      </c>
      <c r="K27" s="2186" t="s">
        <v>65</v>
      </c>
      <c r="L27" s="2109"/>
      <c r="M27" s="2109" t="s">
        <v>123</v>
      </c>
      <c r="N27" s="2505" t="str">
        <f>IF(Z27="","",INDEX(TERRITORY_MR_LIST,MATCH(Z27,TERRITORY_LIST_ID,0)))</f>
        <v>Территория 1</v>
      </c>
      <c r="O27" s="2186" t="s">
        <v>65</v>
      </c>
      <c r="P27" s="2109"/>
      <c r="Q27" s="2109" t="s">
        <v>123</v>
      </c>
      <c r="R27" s="2503" t="s">
        <v>169</v>
      </c>
      <c r="S27" s="2108" t="s">
        <v>65</v>
      </c>
      <c r="T27" s="1812"/>
      <c r="U27" s="1812" t="s">
        <v>123</v>
      </c>
      <c r="V27" s="1844" t="s">
        <v>170</v>
      </c>
      <c r="W27" s="1802"/>
      <c r="X27" s="1854"/>
      <c r="Y27" s="1268"/>
      <c r="Z27" s="1268" t="s">
        <v>102</v>
      </c>
      <c r="AA27" s="1268"/>
      <c r="AB27" s="1268"/>
      <c r="AC27" s="1975" t="s">
        <v>172</v>
      </c>
      <c r="AD27" s="1268" t="s">
        <v>193</v>
      </c>
      <c r="AE27" s="1268" t="s">
        <v>194</v>
      </c>
      <c r="AF27" s="1268" t="s">
        <v>195</v>
      </c>
      <c r="AG27" s="1268" t="s">
        <v>196</v>
      </c>
      <c r="AH27" s="1268" t="str">
        <f>IF($E$13=0,"",$E$13)</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AI27" s="1268" t="str">
        <f>IF($G$13=0,"",$G$13)</f>
        <v>Производство тепловой энергии. Комбинированная выработка с уст. мощностью производства электрической энергии 25 МВт и более; Передача. Тепловая энергия; Сбыт. Тепловая энергия</v>
      </c>
      <c r="AJ27" s="1268" t="str">
        <f>IF($J$27=0,"",$J$27)</f>
        <v>Льготные тарифы на тепловую энергию, поставляемую группе потребителей "потребители (кроме населения)". Для потребителей, подключенных к тепловым сетям ПАО "ТГК-1". Муниципальный округ город Апатиты с подведомственной территорией Мурманской области</v>
      </c>
      <c r="AK27" s="1268" t="str">
        <f>IF($K$27="нет","без дифференциации",IF($N$27=0,"",$N$27))</f>
        <v>Территория 1</v>
      </c>
      <c r="AL27" s="1845" t="str">
        <f>IF($O$27="нет","без дифференциации",IF($R$27=0,"",$R$27))</f>
        <v>открытая система теплоснабжения г. Апатиты</v>
      </c>
      <c r="AM27" s="1845" t="str">
        <f>IF($S$27="нет","без дифференциации",IF($V$27=0,"",$V$27))</f>
        <v>Апатитская ТЭЦ</v>
      </c>
      <c r="AN27" s="1268" t="str">
        <f>$I$27</f>
        <v>3</v>
      </c>
      <c r="AO27" s="1268" t="str">
        <f>$I$27&amp;"."&amp;$M$27</f>
        <v>3.1</v>
      </c>
      <c r="AP27" s="1268" t="str">
        <f>$I$27&amp;"."&amp;$M$27&amp;"."&amp;$Q$27</f>
        <v>3.1.1</v>
      </c>
      <c r="AQ27" s="1268" t="str">
        <f>$I$27&amp;"."&amp;$M$27&amp;"."&amp;$Q$27&amp;"."&amp;$U$27</f>
        <v>3.1.1.1</v>
      </c>
      <c r="AR27" s="1854"/>
    </row>
    <row customHeight="1" ht="17.25">
      <c r="A28" s="1841"/>
      <c r="B28" s="1854"/>
      <c r="C28" s="1846"/>
      <c r="D28" s="1831"/>
      <c r="E28" s="1848"/>
      <c r="F28" s="1785"/>
      <c r="G28" s="1849"/>
      <c r="H28" s="2530"/>
      <c r="I28" s="2530"/>
      <c r="J28" s="2502"/>
      <c r="K28" s="2187"/>
      <c r="L28" s="2109"/>
      <c r="M28" s="2109"/>
      <c r="N28" s="2505"/>
      <c r="O28" s="2187"/>
      <c r="P28" s="2109"/>
      <c r="Q28" s="2109"/>
      <c r="R28" s="2503"/>
      <c r="S28" s="2108"/>
      <c r="T28" s="318"/>
      <c r="U28" s="319"/>
      <c r="V28" s="319" t="s">
        <v>177</v>
      </c>
      <c r="W28" s="320"/>
      <c r="X28" s="1854"/>
      <c r="Y28" s="1260"/>
      <c r="Z28" s="1260"/>
      <c r="AA28" s="1260"/>
      <c r="AB28" s="1260"/>
      <c r="AC28" s="1260"/>
      <c r="AD28" s="1260"/>
      <c r="AE28" s="1260"/>
      <c r="AF28" s="1260"/>
      <c r="AG28" s="1260"/>
      <c r="AH28" s="1260"/>
      <c r="AI28" s="1260"/>
      <c r="AJ28" s="1260"/>
      <c r="AK28" s="1260"/>
      <c r="AL28" s="1854"/>
      <c r="AM28" s="1854"/>
      <c r="AN28" s="1854"/>
      <c r="AO28" s="1854"/>
      <c r="AP28" s="1854"/>
      <c r="AQ28" s="1854"/>
      <c r="AR28" s="1854"/>
    </row>
    <row customHeight="1" ht="17.25">
      <c r="A29" s="1841"/>
      <c r="B29" s="1854"/>
      <c r="C29" s="1846"/>
      <c r="D29" s="1831"/>
      <c r="E29" s="1848"/>
      <c r="F29" s="1785"/>
      <c r="G29" s="1849"/>
      <c r="H29" s="2504"/>
      <c r="I29" s="2504"/>
      <c r="J29" s="2534"/>
      <c r="K29" s="2187"/>
      <c r="L29" s="2504"/>
      <c r="M29" s="2504"/>
      <c r="N29" s="2506"/>
      <c r="O29" s="2113"/>
      <c r="P29" s="318"/>
      <c r="Q29" s="319"/>
      <c r="R29" s="319" t="s">
        <v>178</v>
      </c>
      <c r="S29" s="1847"/>
      <c r="T29" s="1847"/>
      <c r="U29" s="1847"/>
      <c r="V29" s="1847"/>
      <c r="W29" s="320"/>
      <c r="X29" s="1854"/>
      <c r="Y29" s="1260"/>
      <c r="Z29" s="1260"/>
      <c r="AA29" s="1260"/>
      <c r="AB29" s="1260"/>
      <c r="AC29" s="1260"/>
      <c r="AD29" s="1260"/>
      <c r="AE29" s="1260"/>
      <c r="AF29" s="1260"/>
      <c r="AG29" s="1260"/>
      <c r="AH29" s="1260"/>
      <c r="AI29" s="1260"/>
      <c r="AJ29" s="1260"/>
      <c r="AK29" s="1260"/>
      <c r="AL29" s="1854"/>
      <c r="AM29" s="1854"/>
      <c r="AN29" s="1854"/>
      <c r="AO29" s="1854"/>
      <c r="AP29" s="1854"/>
      <c r="AQ29" s="1854"/>
      <c r="AR29" s="1854"/>
    </row>
    <row customHeight="1" ht="17.25">
      <c r="A30" s="1841"/>
      <c r="B30" s="1854"/>
      <c r="C30" s="1846"/>
      <c r="D30" s="1831"/>
      <c r="E30" s="1848"/>
      <c r="F30" s="1785"/>
      <c r="G30" s="1849"/>
      <c r="H30" s="2504"/>
      <c r="I30" s="2504"/>
      <c r="J30" s="2534"/>
      <c r="K30" s="2113"/>
      <c r="L30" s="318"/>
      <c r="M30" s="319"/>
      <c r="N30" s="319" t="s">
        <v>183</v>
      </c>
      <c r="O30" s="319"/>
      <c r="P30" s="319"/>
      <c r="Q30" s="319"/>
      <c r="R30" s="319"/>
      <c r="S30" s="1847"/>
      <c r="T30" s="1847"/>
      <c r="U30" s="1847"/>
      <c r="V30" s="1847"/>
      <c r="W30" s="320"/>
      <c r="X30" s="1854"/>
      <c r="Y30" s="1260"/>
      <c r="Z30" s="1260"/>
      <c r="AA30" s="1260"/>
      <c r="AB30" s="1260"/>
      <c r="AC30" s="1260"/>
      <c r="AD30" s="1260"/>
      <c r="AE30" s="1260"/>
      <c r="AF30" s="1260"/>
      <c r="AG30" s="1260"/>
      <c r="AH30" s="1260"/>
      <c r="AI30" s="1260"/>
      <c r="AJ30" s="1260"/>
      <c r="AK30" s="1260"/>
      <c r="AL30" s="1854"/>
      <c r="AM30" s="1854"/>
      <c r="AN30" s="1854"/>
      <c r="AO30" s="1854"/>
      <c r="AP30" s="1854"/>
      <c r="AQ30" s="1854"/>
      <c r="AR30" s="1854"/>
    </row>
    <row customHeight="1" ht="17.25">
      <c r="A31" s="1841"/>
      <c r="B31" s="1854"/>
      <c r="C31" s="1843"/>
      <c r="D31" s="1831"/>
      <c r="E31" s="1848"/>
      <c r="F31" s="1785"/>
      <c r="G31" s="1849"/>
      <c r="H31" s="2530" t="s">
        <v>108</v>
      </c>
      <c r="I31" s="2530" t="s">
        <v>95</v>
      </c>
      <c r="J31" s="2502" t="s">
        <v>197</v>
      </c>
      <c r="K31" s="2186" t="s">
        <v>65</v>
      </c>
      <c r="L31" s="2109"/>
      <c r="M31" s="2109" t="s">
        <v>123</v>
      </c>
      <c r="N31" s="2505" t="str">
        <f>IF(Z31="","",INDEX(TERRITORY_MR_LIST,MATCH(Z31,TERRITORY_LIST_ID,0)))</f>
        <v>Территория 1</v>
      </c>
      <c r="O31" s="2186" t="s">
        <v>65</v>
      </c>
      <c r="P31" s="2109"/>
      <c r="Q31" s="2109" t="s">
        <v>123</v>
      </c>
      <c r="R31" s="2503" t="s">
        <v>169</v>
      </c>
      <c r="S31" s="2108" t="s">
        <v>65</v>
      </c>
      <c r="T31" s="1812"/>
      <c r="U31" s="1812" t="s">
        <v>123</v>
      </c>
      <c r="V31" s="1844" t="s">
        <v>170</v>
      </c>
      <c r="W31" s="1802"/>
      <c r="X31" s="1854"/>
      <c r="Y31" s="1268"/>
      <c r="Z31" s="1268" t="s">
        <v>102</v>
      </c>
      <c r="AA31" s="1268"/>
      <c r="AB31" s="1268"/>
      <c r="AC31" s="1975" t="s">
        <v>172</v>
      </c>
      <c r="AD31" s="1268" t="s">
        <v>198</v>
      </c>
      <c r="AE31" s="1268" t="s">
        <v>199</v>
      </c>
      <c r="AF31" s="1268" t="s">
        <v>200</v>
      </c>
      <c r="AG31" s="1268" t="s">
        <v>201</v>
      </c>
      <c r="AH31" s="1268" t="str">
        <f>IF($E$13=0,"",$E$13)</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AI31" s="1268" t="str">
        <f>IF($G$13=0,"",$G$13)</f>
        <v>Производство тепловой энергии. Комбинированная выработка с уст. мощностью производства электрической энергии 25 МВт и более; Передача. Тепловая энергия; Сбыт. Тепловая энергия</v>
      </c>
      <c r="AJ31" s="1268" t="str">
        <f>IF($J$31=0,"",$J$31)</f>
        <v>Льготные тарифы на тепловую энергию, поставляемую группе потребителей "потребители (кроме населения)". Для потребителей, подключенных к тепловым сетям АО "Апатитыэнерго". Муниципальный округ город Апатиты с подведомственной территорией Мурманской области</v>
      </c>
      <c r="AK31" s="1268" t="str">
        <f>IF($K$31="нет","без дифференциации",IF($N$31=0,"",$N$31))</f>
        <v>Территория 1</v>
      </c>
      <c r="AL31" s="1845" t="str">
        <f>IF($O$31="нет","без дифференциации",IF($R$31=0,"",$R$31))</f>
        <v>открытая система теплоснабжения г. Апатиты</v>
      </c>
      <c r="AM31" s="1845" t="str">
        <f>IF($S$31="нет","без дифференциации",IF($V$31=0,"",$V$31))</f>
        <v>Апатитская ТЭЦ</v>
      </c>
      <c r="AN31" s="1268" t="str">
        <f>$I$31</f>
        <v>4</v>
      </c>
      <c r="AO31" s="1268" t="str">
        <f>$I$31&amp;"."&amp;$M$31</f>
        <v>4.1</v>
      </c>
      <c r="AP31" s="1268" t="str">
        <f>$I$31&amp;"."&amp;$M$31&amp;"."&amp;$Q$31</f>
        <v>4.1.1</v>
      </c>
      <c r="AQ31" s="1268" t="str">
        <f>$I$31&amp;"."&amp;$M$31&amp;"."&amp;$Q$31&amp;"."&amp;$U$31</f>
        <v>4.1.1.1</v>
      </c>
      <c r="AR31" s="1854"/>
    </row>
    <row customHeight="1" ht="17.25">
      <c r="A32" s="1841"/>
      <c r="B32" s="1854"/>
      <c r="C32" s="1846"/>
      <c r="D32" s="1831"/>
      <c r="E32" s="1848"/>
      <c r="F32" s="1785"/>
      <c r="G32" s="1849"/>
      <c r="H32" s="2530"/>
      <c r="I32" s="2530"/>
      <c r="J32" s="2502"/>
      <c r="K32" s="2187"/>
      <c r="L32" s="2109"/>
      <c r="M32" s="2109"/>
      <c r="N32" s="2505"/>
      <c r="O32" s="2187"/>
      <c r="P32" s="2109"/>
      <c r="Q32" s="2109"/>
      <c r="R32" s="2503"/>
      <c r="S32" s="2108"/>
      <c r="T32" s="318"/>
      <c r="U32" s="319"/>
      <c r="V32" s="319" t="s">
        <v>177</v>
      </c>
      <c r="W32" s="320"/>
      <c r="X32" s="1854"/>
      <c r="Y32" s="1260"/>
      <c r="Z32" s="1260"/>
      <c r="AA32" s="1260"/>
      <c r="AB32" s="1260"/>
      <c r="AC32" s="1260"/>
      <c r="AD32" s="1260"/>
      <c r="AE32" s="1260"/>
      <c r="AF32" s="1260"/>
      <c r="AG32" s="1260"/>
      <c r="AH32" s="1260"/>
      <c r="AI32" s="1260"/>
      <c r="AJ32" s="1260"/>
      <c r="AK32" s="1260"/>
      <c r="AL32" s="1854"/>
      <c r="AM32" s="1854"/>
      <c r="AN32" s="1854"/>
      <c r="AO32" s="1854"/>
      <c r="AP32" s="1854"/>
      <c r="AQ32" s="1854"/>
      <c r="AR32" s="1854"/>
    </row>
    <row customHeight="1" ht="17.25">
      <c r="A33" s="1841"/>
      <c r="B33" s="1854"/>
      <c r="C33" s="1846"/>
      <c r="D33" s="1831"/>
      <c r="E33" s="1848"/>
      <c r="F33" s="1785"/>
      <c r="G33" s="1849"/>
      <c r="H33" s="2504"/>
      <c r="I33" s="2504"/>
      <c r="J33" s="2534"/>
      <c r="K33" s="2187"/>
      <c r="L33" s="2504"/>
      <c r="M33" s="2504"/>
      <c r="N33" s="2506"/>
      <c r="O33" s="2113"/>
      <c r="P33" s="318"/>
      <c r="Q33" s="319"/>
      <c r="R33" s="319" t="s">
        <v>178</v>
      </c>
      <c r="S33" s="1847"/>
      <c r="T33" s="1847"/>
      <c r="U33" s="1847"/>
      <c r="V33" s="1847"/>
      <c r="W33" s="320"/>
      <c r="X33" s="1854"/>
      <c r="Y33" s="1260"/>
      <c r="Z33" s="1260"/>
      <c r="AA33" s="1260"/>
      <c r="AB33" s="1260"/>
      <c r="AC33" s="1260"/>
      <c r="AD33" s="1260"/>
      <c r="AE33" s="1260"/>
      <c r="AF33" s="1260"/>
      <c r="AG33" s="1260"/>
      <c r="AH33" s="1260"/>
      <c r="AI33" s="1260"/>
      <c r="AJ33" s="1260"/>
      <c r="AK33" s="1260"/>
      <c r="AL33" s="1854"/>
      <c r="AM33" s="1854"/>
      <c r="AN33" s="1854"/>
      <c r="AO33" s="1854"/>
      <c r="AP33" s="1854"/>
      <c r="AQ33" s="1854"/>
      <c r="AR33" s="1854"/>
    </row>
    <row customHeight="1" ht="17.25">
      <c r="A34" s="1841"/>
      <c r="B34" s="1854"/>
      <c r="C34" s="1846"/>
      <c r="D34" s="1831"/>
      <c r="E34" s="1848"/>
      <c r="F34" s="1785"/>
      <c r="G34" s="1849"/>
      <c r="H34" s="2504"/>
      <c r="I34" s="2504"/>
      <c r="J34" s="2534"/>
      <c r="K34" s="2113"/>
      <c r="L34" s="318"/>
      <c r="M34" s="319"/>
      <c r="N34" s="319" t="s">
        <v>183</v>
      </c>
      <c r="O34" s="319"/>
      <c r="P34" s="319"/>
      <c r="Q34" s="319"/>
      <c r="R34" s="319"/>
      <c r="S34" s="1847"/>
      <c r="T34" s="1847"/>
      <c r="U34" s="1847"/>
      <c r="V34" s="1847"/>
      <c r="W34" s="320"/>
      <c r="X34" s="1854"/>
      <c r="Y34" s="1260"/>
      <c r="Z34" s="1260"/>
      <c r="AA34" s="1260"/>
      <c r="AB34" s="1260"/>
      <c r="AC34" s="1260"/>
      <c r="AD34" s="1260"/>
      <c r="AE34" s="1260"/>
      <c r="AF34" s="1260"/>
      <c r="AG34" s="1260"/>
      <c r="AH34" s="1260"/>
      <c r="AI34" s="1260"/>
      <c r="AJ34" s="1260"/>
      <c r="AK34" s="1260"/>
      <c r="AL34" s="1854"/>
      <c r="AM34" s="1854"/>
      <c r="AN34" s="1854"/>
      <c r="AO34" s="1854"/>
      <c r="AP34" s="1854"/>
      <c r="AQ34" s="1854"/>
      <c r="AR34" s="1854"/>
    </row>
    <row customHeight="1" ht="17.25">
      <c r="A35" s="1841"/>
      <c r="B35" s="1854"/>
      <c r="C35" s="1843"/>
      <c r="D35" s="1831"/>
      <c r="E35" s="1848"/>
      <c r="F35" s="1785"/>
      <c r="G35" s="1849"/>
      <c r="H35" s="2530" t="s">
        <v>108</v>
      </c>
      <c r="I35" s="2530" t="s">
        <v>124</v>
      </c>
      <c r="J35" s="2502" t="s">
        <v>202</v>
      </c>
      <c r="K35" s="2186" t="s">
        <v>65</v>
      </c>
      <c r="L35" s="2109"/>
      <c r="M35" s="2109" t="s">
        <v>123</v>
      </c>
      <c r="N35" s="2505" t="str">
        <f>IF(Z35="","",INDEX(TERRITORY_MR_LIST,MATCH(Z35,TERRITORY_LIST_ID,0)))</f>
        <v>Территория 2</v>
      </c>
      <c r="O35" s="2186" t="s">
        <v>65</v>
      </c>
      <c r="P35" s="2109"/>
      <c r="Q35" s="2109" t="s">
        <v>123</v>
      </c>
      <c r="R35" s="2503" t="s">
        <v>179</v>
      </c>
      <c r="S35" s="2108" t="s">
        <v>65</v>
      </c>
      <c r="T35" s="1812"/>
      <c r="U35" s="1812" t="s">
        <v>123</v>
      </c>
      <c r="V35" s="1844" t="s">
        <v>170</v>
      </c>
      <c r="W35" s="1802"/>
      <c r="X35" s="1854"/>
      <c r="Y35" s="1268"/>
      <c r="Z35" s="1268" t="s">
        <v>109</v>
      </c>
      <c r="AA35" s="1268"/>
      <c r="AB35" s="1268"/>
      <c r="AC35" s="1975" t="s">
        <v>172</v>
      </c>
      <c r="AD35" s="1268" t="s">
        <v>203</v>
      </c>
      <c r="AE35" s="1268" t="s">
        <v>204</v>
      </c>
      <c r="AF35" s="1268" t="s">
        <v>205</v>
      </c>
      <c r="AG35" s="1268" t="s">
        <v>206</v>
      </c>
      <c r="AH35" s="1268" t="str">
        <f>IF($E$13=0,"",$E$13)</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AI35" s="1268" t="str">
        <f>IF($G$13=0,"",$G$13)</f>
        <v>Производство тепловой энергии. Комбинированная выработка с уст. мощностью производства электрической энергии 25 МВт и более; Передача. Тепловая энергия; Сбыт. Тепловая энергия</v>
      </c>
      <c r="AJ35" s="1268" t="str">
        <f>IF($J$35=0,"",$J$35)</f>
        <v>Льготные тарифы на тепловую энергию, поставляемую группе потребителей "потребители (кроме населения)". Для потребителей в случае отсутствия дифференциации тарифов по схеме подключения. Муниципальный округ город Кировск с подведомственной территорией Мурманской области</v>
      </c>
      <c r="AK35" s="1268" t="str">
        <f>IF($K$35="нет","без дифференциации",IF($N$35=0,"",$N$35))</f>
        <v>Территория 2</v>
      </c>
      <c r="AL35" s="1845" t="str">
        <f>IF($O$35="нет","без дифференциации",IF($R$35=0,"",$R$35))</f>
        <v>открытая система теплоснабжения г. Кировск</v>
      </c>
      <c r="AM35" s="1845" t="str">
        <f>IF($S$35="нет","без дифференциации",IF($V$35=0,"",$V$35))</f>
        <v>Апатитская ТЭЦ</v>
      </c>
      <c r="AN35" s="1268" t="str">
        <f>$I$35</f>
        <v>5</v>
      </c>
      <c r="AO35" s="1268" t="str">
        <f>$I$35&amp;"."&amp;$M$35</f>
        <v>5.1</v>
      </c>
      <c r="AP35" s="1268" t="str">
        <f>$I$35&amp;"."&amp;$M$35&amp;"."&amp;$Q$35</f>
        <v>5.1.1</v>
      </c>
      <c r="AQ35" s="1268" t="str">
        <f>$I$35&amp;"."&amp;$M$35&amp;"."&amp;$Q$35&amp;"."&amp;$U$35</f>
        <v>5.1.1.1</v>
      </c>
      <c r="AR35" s="1854"/>
    </row>
    <row customHeight="1" ht="17.25">
      <c r="A36" s="1841"/>
      <c r="B36" s="1854"/>
      <c r="C36" s="1846"/>
      <c r="D36" s="1831"/>
      <c r="E36" s="1848"/>
      <c r="F36" s="1785"/>
      <c r="G36" s="1849"/>
      <c r="H36" s="2530"/>
      <c r="I36" s="2530"/>
      <c r="J36" s="2502"/>
      <c r="K36" s="2187"/>
      <c r="L36" s="2109"/>
      <c r="M36" s="2109"/>
      <c r="N36" s="2505"/>
      <c r="O36" s="2187"/>
      <c r="P36" s="2109"/>
      <c r="Q36" s="2109"/>
      <c r="R36" s="2503"/>
      <c r="S36" s="2108"/>
      <c r="T36" s="318"/>
      <c r="U36" s="319"/>
      <c r="V36" s="319" t="s">
        <v>177</v>
      </c>
      <c r="W36" s="320"/>
      <c r="X36" s="1854"/>
      <c r="Y36" s="1260"/>
      <c r="Z36" s="1260"/>
      <c r="AA36" s="1260"/>
      <c r="AB36" s="1260"/>
      <c r="AC36" s="1260"/>
      <c r="AD36" s="1260"/>
      <c r="AE36" s="1260"/>
      <c r="AF36" s="1260"/>
      <c r="AG36" s="1260"/>
      <c r="AH36" s="1260"/>
      <c r="AI36" s="1260"/>
      <c r="AJ36" s="1260"/>
      <c r="AK36" s="1260"/>
      <c r="AL36" s="1854"/>
      <c r="AM36" s="1854"/>
      <c r="AN36" s="1854"/>
      <c r="AO36" s="1854"/>
      <c r="AP36" s="1854"/>
      <c r="AQ36" s="1854"/>
      <c r="AR36" s="1854"/>
    </row>
    <row customHeight="1" ht="17.25">
      <c r="A37" s="1841"/>
      <c r="B37" s="1854"/>
      <c r="C37" s="1846"/>
      <c r="D37" s="1831"/>
      <c r="E37" s="1848"/>
      <c r="F37" s="1785"/>
      <c r="G37" s="1849"/>
      <c r="H37" s="2504"/>
      <c r="I37" s="2504"/>
      <c r="J37" s="2534"/>
      <c r="K37" s="2187"/>
      <c r="L37" s="2504"/>
      <c r="M37" s="2504"/>
      <c r="N37" s="2506"/>
      <c r="O37" s="2113"/>
      <c r="P37" s="318"/>
      <c r="Q37" s="319"/>
      <c r="R37" s="319" t="s">
        <v>178</v>
      </c>
      <c r="S37" s="1847"/>
      <c r="T37" s="1847"/>
      <c r="U37" s="1847"/>
      <c r="V37" s="1847"/>
      <c r="W37" s="320"/>
      <c r="X37" s="1854"/>
      <c r="Y37" s="1260"/>
      <c r="Z37" s="1260"/>
      <c r="AA37" s="1260"/>
      <c r="AB37" s="1260"/>
      <c r="AC37" s="1260"/>
      <c r="AD37" s="1260"/>
      <c r="AE37" s="1260"/>
      <c r="AF37" s="1260"/>
      <c r="AG37" s="1260"/>
      <c r="AH37" s="1260"/>
      <c r="AI37" s="1260"/>
      <c r="AJ37" s="1260"/>
      <c r="AK37" s="1260"/>
      <c r="AL37" s="1854"/>
      <c r="AM37" s="1854"/>
      <c r="AN37" s="1854"/>
      <c r="AO37" s="1854"/>
      <c r="AP37" s="1854"/>
      <c r="AQ37" s="1854"/>
      <c r="AR37" s="1854"/>
    </row>
    <row customHeight="1" ht="17.25">
      <c r="A38" s="1841"/>
      <c r="B38" s="1854"/>
      <c r="C38" s="1846"/>
      <c r="D38" s="1831"/>
      <c r="E38" s="1848"/>
      <c r="F38" s="1785"/>
      <c r="G38" s="1849"/>
      <c r="H38" s="2504"/>
      <c r="I38" s="2504"/>
      <c r="J38" s="2534"/>
      <c r="K38" s="2113"/>
      <c r="L38" s="318"/>
      <c r="M38" s="319"/>
      <c r="N38" s="319" t="s">
        <v>183</v>
      </c>
      <c r="O38" s="319"/>
      <c r="P38" s="319"/>
      <c r="Q38" s="319"/>
      <c r="R38" s="319"/>
      <c r="S38" s="1847"/>
      <c r="T38" s="1847"/>
      <c r="U38" s="1847"/>
      <c r="V38" s="1847"/>
      <c r="W38" s="320"/>
      <c r="X38" s="1854"/>
      <c r="Y38" s="1260"/>
      <c r="Z38" s="1260"/>
      <c r="AA38" s="1260"/>
      <c r="AB38" s="1260"/>
      <c r="AC38" s="1260"/>
      <c r="AD38" s="1260"/>
      <c r="AE38" s="1260"/>
      <c r="AF38" s="1260"/>
      <c r="AG38" s="1260"/>
      <c r="AH38" s="1260"/>
      <c r="AI38" s="1260"/>
      <c r="AJ38" s="1260"/>
      <c r="AK38" s="1260"/>
      <c r="AL38" s="1854"/>
      <c r="AM38" s="1854"/>
      <c r="AN38" s="1854"/>
      <c r="AO38" s="1854"/>
      <c r="AP38" s="1854"/>
      <c r="AQ38" s="1854"/>
      <c r="AR38" s="1854"/>
    </row>
    <row customHeight="1" ht="17.25">
      <c r="A39" s="1841"/>
      <c r="B39" s="1854"/>
      <c r="C39" s="1843"/>
      <c r="D39" s="1831"/>
      <c r="E39" s="1848"/>
      <c r="F39" s="1785"/>
      <c r="G39" s="1849"/>
      <c r="H39" s="2530" t="s">
        <v>108</v>
      </c>
      <c r="I39" s="2530" t="s">
        <v>96</v>
      </c>
      <c r="J39" s="2502" t="s">
        <v>207</v>
      </c>
      <c r="K39" s="2186" t="s">
        <v>65</v>
      </c>
      <c r="L39" s="2109"/>
      <c r="M39" s="2109" t="s">
        <v>123</v>
      </c>
      <c r="N39" s="2505" t="str">
        <f>IF(Z39="","",INDEX(TERRITORY_MR_LIST,MATCH(Z39,TERRITORY_LIST_ID,0)))</f>
        <v>Территория 1</v>
      </c>
      <c r="O39" s="2186" t="s">
        <v>65</v>
      </c>
      <c r="P39" s="2109"/>
      <c r="Q39" s="2109" t="s">
        <v>123</v>
      </c>
      <c r="R39" s="2503" t="s">
        <v>169</v>
      </c>
      <c r="S39" s="2108" t="s">
        <v>65</v>
      </c>
      <c r="T39" s="1812"/>
      <c r="U39" s="1812" t="s">
        <v>123</v>
      </c>
      <c r="V39" s="1844" t="s">
        <v>170</v>
      </c>
      <c r="W39" s="1802"/>
      <c r="X39" s="1854"/>
      <c r="Y39" s="1268"/>
      <c r="Z39" s="1268" t="s">
        <v>102</v>
      </c>
      <c r="AA39" s="1268"/>
      <c r="AB39" s="1268"/>
      <c r="AC39" s="1975" t="s">
        <v>172</v>
      </c>
      <c r="AD39" s="1268" t="s">
        <v>208</v>
      </c>
      <c r="AE39" s="1268" t="s">
        <v>209</v>
      </c>
      <c r="AF39" s="1268" t="s">
        <v>210</v>
      </c>
      <c r="AG39" s="1268" t="s">
        <v>211</v>
      </c>
      <c r="AH39" s="1268" t="str">
        <f>IF($E$13=0,"",$E$13)</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AI39" s="1268" t="str">
        <f>IF($G$13=0,"",$G$13)</f>
        <v>Производство тепловой энергии. Комбинированная выработка с уст. мощностью производства электрической энергии 25 МВт и более; Передача. Тепловая энергия; Сбыт. Тепловая энергия</v>
      </c>
      <c r="AJ39" s="1268" t="str">
        <f>IF($J$39=0,"",$J$39)</f>
        <v>Тарифы на тепловую энергию, поставляемую потребителям. Для потребителей, подключенных к тепловым сетям ПАО "ТГК-1". Муниципальный  округ город Апатиты с подведомственной территорией Мурманской области</v>
      </c>
      <c r="AK39" s="1268" t="str">
        <f>IF($K$39="нет","без дифференциации",IF($N$39=0,"",$N$39))</f>
        <v>Территория 1</v>
      </c>
      <c r="AL39" s="1845" t="str">
        <f>IF($O$39="нет","без дифференциации",IF($R$39=0,"",$R$39))</f>
        <v>открытая система теплоснабжения г. Апатиты</v>
      </c>
      <c r="AM39" s="1845" t="str">
        <f>IF($S$39="нет","без дифференциации",IF($V$39=0,"",$V$39))</f>
        <v>Апатитская ТЭЦ</v>
      </c>
      <c r="AN39" s="1268" t="str">
        <f>$I$39</f>
        <v>6</v>
      </c>
      <c r="AO39" s="1268" t="str">
        <f>$I$39&amp;"."&amp;$M$39</f>
        <v>6.1</v>
      </c>
      <c r="AP39" s="1268" t="str">
        <f>$I$39&amp;"."&amp;$M$39&amp;"."&amp;$Q$39</f>
        <v>6.1.1</v>
      </c>
      <c r="AQ39" s="1268" t="str">
        <f>$I$39&amp;"."&amp;$M$39&amp;"."&amp;$Q$39&amp;"."&amp;$U$39</f>
        <v>6.1.1.1</v>
      </c>
      <c r="AR39" s="1854"/>
    </row>
    <row customHeight="1" ht="17.25">
      <c r="A40" s="1841"/>
      <c r="B40" s="1854"/>
      <c r="C40" s="1846"/>
      <c r="D40" s="1831"/>
      <c r="E40" s="1848"/>
      <c r="F40" s="1785"/>
      <c r="G40" s="1849"/>
      <c r="H40" s="2530"/>
      <c r="I40" s="2530"/>
      <c r="J40" s="2502"/>
      <c r="K40" s="2187"/>
      <c r="L40" s="2109"/>
      <c r="M40" s="2109"/>
      <c r="N40" s="2505"/>
      <c r="O40" s="2187"/>
      <c r="P40" s="2109"/>
      <c r="Q40" s="2109"/>
      <c r="R40" s="2503"/>
      <c r="S40" s="2108"/>
      <c r="T40" s="318"/>
      <c r="U40" s="319"/>
      <c r="V40" s="319" t="s">
        <v>177</v>
      </c>
      <c r="W40" s="320"/>
      <c r="X40" s="1854"/>
      <c r="Y40" s="1260"/>
      <c r="Z40" s="1260"/>
      <c r="AA40" s="1260"/>
      <c r="AB40" s="1260"/>
      <c r="AC40" s="1260"/>
      <c r="AD40" s="1260"/>
      <c r="AE40" s="1260"/>
      <c r="AF40" s="1260"/>
      <c r="AG40" s="1260"/>
      <c r="AH40" s="1260"/>
      <c r="AI40" s="1260"/>
      <c r="AJ40" s="1260"/>
      <c r="AK40" s="1260"/>
      <c r="AL40" s="1854"/>
      <c r="AM40" s="1854"/>
      <c r="AN40" s="1854"/>
      <c r="AO40" s="1854"/>
      <c r="AP40" s="1854"/>
      <c r="AQ40" s="1854"/>
      <c r="AR40" s="1854"/>
    </row>
    <row customHeight="1" ht="17.25">
      <c r="A41" s="1841"/>
      <c r="B41" s="1854"/>
      <c r="C41" s="1846"/>
      <c r="D41" s="1831"/>
      <c r="E41" s="1848"/>
      <c r="F41" s="1785"/>
      <c r="G41" s="1849"/>
      <c r="H41" s="2504"/>
      <c r="I41" s="2504"/>
      <c r="J41" s="2534"/>
      <c r="K41" s="2187"/>
      <c r="L41" s="2504"/>
      <c r="M41" s="2504"/>
      <c r="N41" s="2506"/>
      <c r="O41" s="2113"/>
      <c r="P41" s="318"/>
      <c r="Q41" s="319"/>
      <c r="R41" s="319" t="s">
        <v>178</v>
      </c>
      <c r="S41" s="1847"/>
      <c r="T41" s="1847"/>
      <c r="U41" s="1847"/>
      <c r="V41" s="1847"/>
      <c r="W41" s="320"/>
      <c r="X41" s="1854"/>
      <c r="Y41" s="1260"/>
      <c r="Z41" s="1260"/>
      <c r="AA41" s="1260"/>
      <c r="AB41" s="1260"/>
      <c r="AC41" s="1260"/>
      <c r="AD41" s="1260"/>
      <c r="AE41" s="1260"/>
      <c r="AF41" s="1260"/>
      <c r="AG41" s="1260"/>
      <c r="AH41" s="1260"/>
      <c r="AI41" s="1260"/>
      <c r="AJ41" s="1260"/>
      <c r="AK41" s="1260"/>
      <c r="AL41" s="1854"/>
      <c r="AM41" s="1854"/>
      <c r="AN41" s="1854"/>
      <c r="AO41" s="1854"/>
      <c r="AP41" s="1854"/>
      <c r="AQ41" s="1854"/>
      <c r="AR41" s="1854"/>
    </row>
    <row customHeight="1" ht="17.25">
      <c r="A42" s="1841"/>
      <c r="B42" s="1854"/>
      <c r="C42" s="1846"/>
      <c r="D42" s="1831"/>
      <c r="E42" s="1848"/>
      <c r="F42" s="1785"/>
      <c r="G42" s="1849"/>
      <c r="H42" s="2504"/>
      <c r="I42" s="2504"/>
      <c r="J42" s="2534"/>
      <c r="K42" s="2113"/>
      <c r="L42" s="318"/>
      <c r="M42" s="319"/>
      <c r="N42" s="319" t="s">
        <v>183</v>
      </c>
      <c r="O42" s="319"/>
      <c r="P42" s="319"/>
      <c r="Q42" s="319"/>
      <c r="R42" s="319"/>
      <c r="S42" s="1847"/>
      <c r="T42" s="1847"/>
      <c r="U42" s="1847"/>
      <c r="V42" s="1847"/>
      <c r="W42" s="320"/>
      <c r="X42" s="1854"/>
      <c r="Y42" s="1260"/>
      <c r="Z42" s="1260"/>
      <c r="AA42" s="1260"/>
      <c r="AB42" s="1260"/>
      <c r="AC42" s="1260"/>
      <c r="AD42" s="1260"/>
      <c r="AE42" s="1260"/>
      <c r="AF42" s="1260"/>
      <c r="AG42" s="1260"/>
      <c r="AH42" s="1260"/>
      <c r="AI42" s="1260"/>
      <c r="AJ42" s="1260"/>
      <c r="AK42" s="1260"/>
      <c r="AL42" s="1854"/>
      <c r="AM42" s="1854"/>
      <c r="AN42" s="1854"/>
      <c r="AO42" s="1854"/>
      <c r="AP42" s="1854"/>
      <c r="AQ42" s="1854"/>
      <c r="AR42" s="1854"/>
    </row>
    <row customHeight="1" ht="17.25">
      <c r="A43" s="1841"/>
      <c r="B43" s="1854"/>
      <c r="C43" s="1843"/>
      <c r="D43" s="1831"/>
      <c r="E43" s="1848"/>
      <c r="F43" s="1785"/>
      <c r="G43" s="1849"/>
      <c r="H43" s="2530" t="s">
        <v>108</v>
      </c>
      <c r="I43" s="2530" t="s">
        <v>97</v>
      </c>
      <c r="J43" s="2502" t="s">
        <v>212</v>
      </c>
      <c r="K43" s="2186" t="s">
        <v>65</v>
      </c>
      <c r="L43" s="2109"/>
      <c r="M43" s="2109" t="s">
        <v>123</v>
      </c>
      <c r="N43" s="2505" t="str">
        <f>IF(Z43="","",INDEX(TERRITORY_MR_LIST,MATCH(Z43,TERRITORY_LIST_ID,0)))</f>
        <v>Территория 1</v>
      </c>
      <c r="O43" s="2186" t="s">
        <v>65</v>
      </c>
      <c r="P43" s="2109"/>
      <c r="Q43" s="2109" t="s">
        <v>123</v>
      </c>
      <c r="R43" s="2503" t="s">
        <v>169</v>
      </c>
      <c r="S43" s="2108" t="s">
        <v>65</v>
      </c>
      <c r="T43" s="1812"/>
      <c r="U43" s="1812" t="s">
        <v>123</v>
      </c>
      <c r="V43" s="1844" t="s">
        <v>170</v>
      </c>
      <c r="W43" s="1802"/>
      <c r="X43" s="1854"/>
      <c r="Y43" s="1268"/>
      <c r="Z43" s="1268" t="s">
        <v>102</v>
      </c>
      <c r="AA43" s="1268"/>
      <c r="AB43" s="1268"/>
      <c r="AC43" s="1975" t="s">
        <v>172</v>
      </c>
      <c r="AD43" s="1268" t="s">
        <v>213</v>
      </c>
      <c r="AE43" s="1268" t="s">
        <v>214</v>
      </c>
      <c r="AF43" s="1268" t="s">
        <v>215</v>
      </c>
      <c r="AG43" s="1268" t="s">
        <v>216</v>
      </c>
      <c r="AH43" s="1268" t="str">
        <f>IF($E$13=0,"",$E$13)</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AI43" s="1268" t="str">
        <f>IF($G$13=0,"",$G$13)</f>
        <v>Производство тепловой энергии. Комбинированная выработка с уст. мощностью производства электрической энергии 25 МВт и более; Передача. Тепловая энергия; Сбыт. Тепловая энергия</v>
      </c>
      <c r="AJ43" s="1268" t="str">
        <f>IF($J$43=0,"",$J$43)</f>
        <v>Тарифы на тепловую энергию, поставляемую потребителям. Для потребителей, подключенных к тепловым сетям АО "Апатитыэнерго". Муниципальный округ город Апатиты с подведомственной территорией Мурманской области</v>
      </c>
      <c r="AK43" s="1268" t="str">
        <f>IF($K$43="нет","без дифференциации",IF($N$43=0,"",$N$43))</f>
        <v>Территория 1</v>
      </c>
      <c r="AL43" s="1845" t="str">
        <f>IF($O$43="нет","без дифференциации",IF($R$43=0,"",$R$43))</f>
        <v>открытая система теплоснабжения г. Апатиты</v>
      </c>
      <c r="AM43" s="1845" t="str">
        <f>IF($S$43="нет","без дифференциации",IF($V$43=0,"",$V$43))</f>
        <v>Апатитская ТЭЦ</v>
      </c>
      <c r="AN43" s="1268" t="str">
        <f>$I$43</f>
        <v>7</v>
      </c>
      <c r="AO43" s="1268" t="str">
        <f>$I$43&amp;"."&amp;$M$43</f>
        <v>7.1</v>
      </c>
      <c r="AP43" s="1268" t="str">
        <f>$I$43&amp;"."&amp;$M$43&amp;"."&amp;$Q$43</f>
        <v>7.1.1</v>
      </c>
      <c r="AQ43" s="1268" t="str">
        <f>$I$43&amp;"."&amp;$M$43&amp;"."&amp;$Q$43&amp;"."&amp;$U$43</f>
        <v>7.1.1.1</v>
      </c>
      <c r="AR43" s="1854"/>
    </row>
    <row customHeight="1" ht="17.25">
      <c r="A44" s="1841"/>
      <c r="B44" s="1854"/>
      <c r="C44" s="1846"/>
      <c r="D44" s="1831"/>
      <c r="E44" s="1848"/>
      <c r="F44" s="1785"/>
      <c r="G44" s="1849"/>
      <c r="H44" s="2530"/>
      <c r="I44" s="2530"/>
      <c r="J44" s="2502"/>
      <c r="K44" s="2187"/>
      <c r="L44" s="2109"/>
      <c r="M44" s="2109"/>
      <c r="N44" s="2505"/>
      <c r="O44" s="2187"/>
      <c r="P44" s="2109"/>
      <c r="Q44" s="2109"/>
      <c r="R44" s="2503"/>
      <c r="S44" s="2108"/>
      <c r="T44" s="318"/>
      <c r="U44" s="319"/>
      <c r="V44" s="319" t="s">
        <v>177</v>
      </c>
      <c r="W44" s="320"/>
      <c r="X44" s="1854"/>
      <c r="Y44" s="1260"/>
      <c r="Z44" s="1260"/>
      <c r="AA44" s="1260"/>
      <c r="AB44" s="1260"/>
      <c r="AC44" s="1260"/>
      <c r="AD44" s="1260"/>
      <c r="AE44" s="1260"/>
      <c r="AF44" s="1260"/>
      <c r="AG44" s="1260"/>
      <c r="AH44" s="1260"/>
      <c r="AI44" s="1260"/>
      <c r="AJ44" s="1260"/>
      <c r="AK44" s="1260"/>
      <c r="AL44" s="1854"/>
      <c r="AM44" s="1854"/>
      <c r="AN44" s="1854"/>
      <c r="AO44" s="1854"/>
      <c r="AP44" s="1854"/>
      <c r="AQ44" s="1854"/>
      <c r="AR44" s="1854"/>
    </row>
    <row customHeight="1" ht="17.25">
      <c r="A45" s="1841"/>
      <c r="B45" s="1854"/>
      <c r="C45" s="1846"/>
      <c r="D45" s="1831"/>
      <c r="E45" s="1848"/>
      <c r="F45" s="1785"/>
      <c r="G45" s="1849"/>
      <c r="H45" s="2504"/>
      <c r="I45" s="2504"/>
      <c r="J45" s="2534"/>
      <c r="K45" s="2187"/>
      <c r="L45" s="2504"/>
      <c r="M45" s="2504"/>
      <c r="N45" s="2506"/>
      <c r="O45" s="2113"/>
      <c r="P45" s="318"/>
      <c r="Q45" s="319"/>
      <c r="R45" s="319" t="s">
        <v>178</v>
      </c>
      <c r="S45" s="1847"/>
      <c r="T45" s="1847"/>
      <c r="U45" s="1847"/>
      <c r="V45" s="1847"/>
      <c r="W45" s="320"/>
      <c r="X45" s="1854"/>
      <c r="Y45" s="1260"/>
      <c r="Z45" s="1260"/>
      <c r="AA45" s="1260"/>
      <c r="AB45" s="1260"/>
      <c r="AC45" s="1260"/>
      <c r="AD45" s="1260"/>
      <c r="AE45" s="1260"/>
      <c r="AF45" s="1260"/>
      <c r="AG45" s="1260"/>
      <c r="AH45" s="1260"/>
      <c r="AI45" s="1260"/>
      <c r="AJ45" s="1260"/>
      <c r="AK45" s="1260"/>
      <c r="AL45" s="1854"/>
      <c r="AM45" s="1854"/>
      <c r="AN45" s="1854"/>
      <c r="AO45" s="1854"/>
      <c r="AP45" s="1854"/>
      <c r="AQ45" s="1854"/>
      <c r="AR45" s="1854"/>
    </row>
    <row customHeight="1" ht="17.25">
      <c r="A46" s="1841"/>
      <c r="B46" s="1854"/>
      <c r="C46" s="1846"/>
      <c r="D46" s="1831"/>
      <c r="E46" s="1848"/>
      <c r="F46" s="1785"/>
      <c r="G46" s="1849"/>
      <c r="H46" s="2504"/>
      <c r="I46" s="2504"/>
      <c r="J46" s="2534"/>
      <c r="K46" s="2113"/>
      <c r="L46" s="318"/>
      <c r="M46" s="319"/>
      <c r="N46" s="319" t="s">
        <v>183</v>
      </c>
      <c r="O46" s="319"/>
      <c r="P46" s="319"/>
      <c r="Q46" s="319"/>
      <c r="R46" s="319"/>
      <c r="S46" s="1847"/>
      <c r="T46" s="1847"/>
      <c r="U46" s="1847"/>
      <c r="V46" s="1847"/>
      <c r="W46" s="320"/>
      <c r="X46" s="1854"/>
      <c r="Y46" s="1260"/>
      <c r="Z46" s="1260"/>
      <c r="AA46" s="1260"/>
      <c r="AB46" s="1260"/>
      <c r="AC46" s="1260"/>
      <c r="AD46" s="1260"/>
      <c r="AE46" s="1260"/>
      <c r="AF46" s="1260"/>
      <c r="AG46" s="1260"/>
      <c r="AH46" s="1260"/>
      <c r="AI46" s="1260"/>
      <c r="AJ46" s="1260"/>
      <c r="AK46" s="1260"/>
      <c r="AL46" s="1854"/>
      <c r="AM46" s="1854"/>
      <c r="AN46" s="1854"/>
      <c r="AO46" s="1854"/>
      <c r="AP46" s="1854"/>
      <c r="AQ46" s="1854"/>
      <c r="AR46" s="1854"/>
    </row>
    <row customHeight="1" ht="17.25">
      <c r="A47" s="1841"/>
      <c r="B47" s="1854"/>
      <c r="C47" s="1843"/>
      <c r="D47" s="1831"/>
      <c r="E47" s="1848"/>
      <c r="F47" s="1785"/>
      <c r="G47" s="1849"/>
      <c r="H47" s="2530" t="s">
        <v>108</v>
      </c>
      <c r="I47" s="2530" t="s">
        <v>125</v>
      </c>
      <c r="J47" s="2502" t="s">
        <v>217</v>
      </c>
      <c r="K47" s="2186" t="s">
        <v>65</v>
      </c>
      <c r="L47" s="2109"/>
      <c r="M47" s="2109" t="s">
        <v>123</v>
      </c>
      <c r="N47" s="2505" t="str">
        <f>IF(Z47="","",INDEX(TERRITORY_MR_LIST,MATCH(Z47,TERRITORY_LIST_ID,0)))</f>
        <v>Территория 2</v>
      </c>
      <c r="O47" s="2186" t="s">
        <v>65</v>
      </c>
      <c r="P47" s="2109"/>
      <c r="Q47" s="2109" t="s">
        <v>123</v>
      </c>
      <c r="R47" s="2503" t="s">
        <v>179</v>
      </c>
      <c r="S47" s="2108" t="s">
        <v>65</v>
      </c>
      <c r="T47" s="1812"/>
      <c r="U47" s="1812" t="s">
        <v>123</v>
      </c>
      <c r="V47" s="1844" t="s">
        <v>170</v>
      </c>
      <c r="W47" s="1802"/>
      <c r="X47" s="1854"/>
      <c r="Y47" s="1268"/>
      <c r="Z47" s="1268" t="s">
        <v>109</v>
      </c>
      <c r="AA47" s="1268"/>
      <c r="AB47" s="1268"/>
      <c r="AC47" s="1975" t="s">
        <v>172</v>
      </c>
      <c r="AD47" s="1268" t="s">
        <v>218</v>
      </c>
      <c r="AE47" s="1268" t="s">
        <v>219</v>
      </c>
      <c r="AF47" s="1268" t="s">
        <v>220</v>
      </c>
      <c r="AG47" s="1268" t="s">
        <v>221</v>
      </c>
      <c r="AH47" s="1268" t="str">
        <f>IF($E$13=0,"",$E$13)</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AI47" s="1268" t="str">
        <f>IF($G$13=0,"",$G$13)</f>
        <v>Производство тепловой энергии. Комбинированная выработка с уст. мощностью производства электрической энергии 25 МВт и более; Передача. Тепловая энергия; Сбыт. Тепловая энергия</v>
      </c>
      <c r="AJ47" s="1268" t="str">
        <f>IF($J$47=0,"",$J$47)</f>
        <v>Тарифы на тепловую энергию, поставляемую потребителям. Для потребителей в случае отсутствия дифференциации тарифов по схеме подключения. Муниципальный округ город Кировск с подведомственной территорией Мурманской области</v>
      </c>
      <c r="AK47" s="1268" t="str">
        <f>IF($K$47="нет","без дифференциации",IF($N$47=0,"",$N$47))</f>
        <v>Территория 2</v>
      </c>
      <c r="AL47" s="1845" t="str">
        <f>IF($O$47="нет","без дифференциации",IF($R$47=0,"",$R$47))</f>
        <v>открытая система теплоснабжения г. Кировск</v>
      </c>
      <c r="AM47" s="1845" t="str">
        <f>IF($S$47="нет","без дифференциации",IF($V$47=0,"",$V$47))</f>
        <v>Апатитская ТЭЦ</v>
      </c>
      <c r="AN47" s="1268" t="str">
        <f>$I$47</f>
        <v>8</v>
      </c>
      <c r="AO47" s="1268" t="str">
        <f>$I$47&amp;"."&amp;$M$47</f>
        <v>8.1</v>
      </c>
      <c r="AP47" s="1268" t="str">
        <f>$I$47&amp;"."&amp;$M$47&amp;"."&amp;$Q$47</f>
        <v>8.1.1</v>
      </c>
      <c r="AQ47" s="1268" t="str">
        <f>$I$47&amp;"."&amp;$M$47&amp;"."&amp;$Q$47&amp;"."&amp;$U$47</f>
        <v>8.1.1.1</v>
      </c>
      <c r="AR47" s="1854"/>
    </row>
    <row customHeight="1" ht="17.25">
      <c r="A48" s="1841"/>
      <c r="B48" s="1854"/>
      <c r="C48" s="1846"/>
      <c r="D48" s="1831"/>
      <c r="E48" s="1848"/>
      <c r="F48" s="1785"/>
      <c r="G48" s="1849"/>
      <c r="H48" s="2530"/>
      <c r="I48" s="2530"/>
      <c r="J48" s="2502"/>
      <c r="K48" s="2187"/>
      <c r="L48" s="2109"/>
      <c r="M48" s="2109"/>
      <c r="N48" s="2505"/>
      <c r="O48" s="2187"/>
      <c r="P48" s="2109"/>
      <c r="Q48" s="2109"/>
      <c r="R48" s="2503"/>
      <c r="S48" s="2108"/>
      <c r="T48" s="318"/>
      <c r="U48" s="319"/>
      <c r="V48" s="319" t="s">
        <v>177</v>
      </c>
      <c r="W48" s="320"/>
      <c r="X48" s="1854"/>
      <c r="Y48" s="1260"/>
      <c r="Z48" s="1260"/>
      <c r="AA48" s="1260"/>
      <c r="AB48" s="1260"/>
      <c r="AC48" s="1260"/>
      <c r="AD48" s="1260"/>
      <c r="AE48" s="1260"/>
      <c r="AF48" s="1260"/>
      <c r="AG48" s="1260"/>
      <c r="AH48" s="1260"/>
      <c r="AI48" s="1260"/>
      <c r="AJ48" s="1260"/>
      <c r="AK48" s="1260"/>
      <c r="AL48" s="1854"/>
      <c r="AM48" s="1854"/>
      <c r="AN48" s="1854"/>
      <c r="AO48" s="1854"/>
      <c r="AP48" s="1854"/>
      <c r="AQ48" s="1854"/>
      <c r="AR48" s="1854"/>
    </row>
    <row customHeight="1" ht="17.25">
      <c r="A49" s="1841"/>
      <c r="B49" s="1854"/>
      <c r="C49" s="1846"/>
      <c r="D49" s="1831"/>
      <c r="E49" s="1848"/>
      <c r="F49" s="1785"/>
      <c r="G49" s="1849"/>
      <c r="H49" s="2504"/>
      <c r="I49" s="2504"/>
      <c r="J49" s="2534"/>
      <c r="K49" s="2187"/>
      <c r="L49" s="2504"/>
      <c r="M49" s="2504"/>
      <c r="N49" s="2506"/>
      <c r="O49" s="2113"/>
      <c r="P49" s="318"/>
      <c r="Q49" s="319"/>
      <c r="R49" s="319" t="s">
        <v>178</v>
      </c>
      <c r="S49" s="1847"/>
      <c r="T49" s="1847"/>
      <c r="U49" s="1847"/>
      <c r="V49" s="1847"/>
      <c r="W49" s="320"/>
      <c r="X49" s="1854"/>
      <c r="Y49" s="1260"/>
      <c r="Z49" s="1260"/>
      <c r="AA49" s="1260"/>
      <c r="AB49" s="1260"/>
      <c r="AC49" s="1260"/>
      <c r="AD49" s="1260"/>
      <c r="AE49" s="1260"/>
      <c r="AF49" s="1260"/>
      <c r="AG49" s="1260"/>
      <c r="AH49" s="1260"/>
      <c r="AI49" s="1260"/>
      <c r="AJ49" s="1260"/>
      <c r="AK49" s="1260"/>
      <c r="AL49" s="1854"/>
      <c r="AM49" s="1854"/>
      <c r="AN49" s="1854"/>
      <c r="AO49" s="1854"/>
      <c r="AP49" s="1854"/>
      <c r="AQ49" s="1854"/>
      <c r="AR49" s="1854"/>
    </row>
    <row customHeight="1" ht="17.25">
      <c r="A50" s="1841"/>
      <c r="B50" s="1854"/>
      <c r="C50" s="1846"/>
      <c r="D50" s="1831"/>
      <c r="E50" s="1848"/>
      <c r="F50" s="1785"/>
      <c r="G50" s="1849"/>
      <c r="H50" s="2504"/>
      <c r="I50" s="2504"/>
      <c r="J50" s="2534"/>
      <c r="K50" s="2113"/>
      <c r="L50" s="318"/>
      <c r="M50" s="319"/>
      <c r="N50" s="319" t="s">
        <v>183</v>
      </c>
      <c r="O50" s="319"/>
      <c r="P50" s="319"/>
      <c r="Q50" s="319"/>
      <c r="R50" s="319"/>
      <c r="S50" s="1847"/>
      <c r="T50" s="1847"/>
      <c r="U50" s="1847"/>
      <c r="V50" s="1847"/>
      <c r="W50" s="320"/>
      <c r="X50" s="1854"/>
      <c r="Y50" s="1260"/>
      <c r="Z50" s="1260"/>
      <c r="AA50" s="1260"/>
      <c r="AB50" s="1260"/>
      <c r="AC50" s="1260"/>
      <c r="AD50" s="1260"/>
      <c r="AE50" s="1260"/>
      <c r="AF50" s="1260"/>
      <c r="AG50" s="1260"/>
      <c r="AH50" s="1260"/>
      <c r="AI50" s="1260"/>
      <c r="AJ50" s="1260"/>
      <c r="AK50" s="1260"/>
      <c r="AL50" s="1854"/>
      <c r="AM50" s="1854"/>
      <c r="AN50" s="1854"/>
      <c r="AO50" s="1854"/>
      <c r="AP50" s="1854"/>
      <c r="AQ50" s="1854"/>
      <c r="AR50" s="1854"/>
    </row>
    <row s="1854" customFormat="1" customHeight="1" ht="17.25">
      <c r="A51" s="322"/>
      <c r="C51" s="321"/>
      <c r="D51" s="2137"/>
      <c r="E51" s="2145"/>
      <c r="F51" s="2148"/>
      <c r="G51" s="2660"/>
      <c r="H51" s="2661"/>
      <c r="I51" s="2662"/>
      <c r="J51" s="2663" t="s">
        <v>222</v>
      </c>
      <c r="K51" s="2664"/>
      <c r="L51" s="2665"/>
      <c r="M51" s="2666"/>
      <c r="N51" s="2667"/>
      <c r="O51" s="2668"/>
      <c r="P51" s="2669"/>
      <c r="Q51" s="2670"/>
      <c r="R51" s="2671"/>
      <c r="S51" s="2672"/>
      <c r="T51" s="2673"/>
      <c r="U51" s="2674"/>
      <c r="V51" s="2675"/>
      <c r="W51" s="2676"/>
      <c r="Y51" s="1260"/>
      <c r="Z51" s="1260"/>
      <c r="AA51" s="1260"/>
      <c r="AB51" s="1260"/>
      <c r="AC51" s="1260"/>
      <c r="AD51" s="1260"/>
      <c r="AE51" s="1260"/>
      <c r="AF51" s="1260"/>
      <c r="AG51" s="1260"/>
      <c r="AH51" s="1260"/>
      <c r="AI51" s="1260"/>
      <c r="AJ51" s="1260"/>
      <c r="AK51" s="1260"/>
      <c r="AL51" s="1260"/>
      <c r="AM51" s="1260"/>
      <c r="AN51" s="1260"/>
      <c r="AO51" s="1260"/>
      <c r="AP51" s="1260"/>
      <c r="AQ51" s="1260"/>
      <c r="AR51" s="751">
        <v>0</v>
      </c>
    </row>
    <row s="1854" customFormat="1" customHeight="1" ht="17.25">
      <c r="A52" s="322"/>
      <c r="C52" s="210"/>
      <c r="D52" s="2136">
        <v>2</v>
      </c>
      <c r="E52" s="2165" t="s">
        <v>223</v>
      </c>
      <c r="F52" s="2146" t="s">
        <v>65</v>
      </c>
      <c r="G52" s="2633" t="str">
        <f>INDEX(VD_NAME_LIST,MATCH("4190064",VD_ID_LIST,0))&amp;"; "&amp;INDEX(VD_NAME_LIST,MATCH("4190066",VD_ID_LIST,0))&amp;"; "&amp;INDEX(VD_NAME_LIST,MATCH("4190068",VD_ID_LIST,0))&amp;"; "&amp;INDEX(VD_NAME_LIST,MATCH("4190070",VD_ID_LIST,0))</f>
        <v>Производство тепловой энергии. Некомбинированная выработка; Производство тепловой энергии. Комбинированная выработка с уст. мощностью производства электрической энергии 25 МВт и более; Передача. Тепловая энергия; Сбыт. Тепловая энергия</v>
      </c>
      <c r="H52" s="2554"/>
      <c r="I52" s="2554">
        <v>1</v>
      </c>
      <c r="J52" s="2502" t="s">
        <v>224</v>
      </c>
      <c r="K52" s="2186" t="s">
        <v>65</v>
      </c>
      <c r="L52" s="2109"/>
      <c r="M52" s="2109" t="s">
        <v>123</v>
      </c>
      <c r="N52" s="2505" t="str">
        <f>IF(Z52="","",INDEX(TERRITORY_MR_LIST,MATCH(Z52,TERRITORY_LIST_ID,0)))</f>
        <v>Территория 3</v>
      </c>
      <c r="O52" s="2186" t="s">
        <v>65</v>
      </c>
      <c r="P52" s="2109"/>
      <c r="Q52" s="2109" t="s">
        <v>123</v>
      </c>
      <c r="R52" s="2572" t="s">
        <v>225</v>
      </c>
      <c r="S52" s="2108" t="s">
        <v>65</v>
      </c>
      <c r="T52" s="2109"/>
      <c r="U52" s="2109" t="s">
        <v>123</v>
      </c>
      <c r="V52" s="2572" t="s">
        <v>226</v>
      </c>
      <c r="W52" s="2502"/>
      <c r="X52" s="1268"/>
      <c r="Y52" s="1268"/>
      <c r="Z52" s="1268" t="s">
        <v>113</v>
      </c>
      <c r="AA52" s="1268"/>
      <c r="AB52" s="1268" t="s">
        <v>227</v>
      </c>
      <c r="AC52" s="1268" t="s">
        <v>228</v>
      </c>
      <c r="AD52" s="1268" t="s">
        <v>229</v>
      </c>
      <c r="AE52" s="1268" t="s">
        <v>230</v>
      </c>
      <c r="AF52" s="1268" t="s">
        <v>231</v>
      </c>
      <c r="AG52" s="1268" t="s">
        <v>232</v>
      </c>
      <c r="AH52" s="1268" t="str">
        <f>IF($E$52=0,"",$E$52)</f>
        <v>Тарифы на тепловую энергию (мощность), поставляемую теплоснабжающими организациями потребителям, другим теплоснабжающим организациям</v>
      </c>
      <c r="AI52" s="1268" t="str">
        <f>IF($G$52=0,"",$G$52)</f>
        <v>Производство тепловой энергии. Некомбинированная выработка; Производство тепловой энергии. Комбинированная выработка с уст. мощностью производства электрической энергии 25 МВт и более; Передача. Тепловая энергия; Сбыт. Тепловая энергия</v>
      </c>
      <c r="AJ52" s="1268" t="str">
        <f>IF($J$52=0,"",$J$52)</f>
        <v>Льготные тарифы на тепловую энергию, поставляемую группе потребителей "население". Для потребителей, в случае отсутствия дифференциации тарифов по схеме подключения. Населенный пункт Раякоски Печенгского муниципального округа Мурманской области
</v>
      </c>
      <c r="AK52" s="1268" t="str">
        <f>IF($K$52="нет","без дифференциации",IF($N$52=0,"",$N$52))</f>
        <v>Территория 3</v>
      </c>
      <c r="AL52" s="1268" t="str">
        <f>IF($O$52="нет","без дифференциации",IF($R$52=0,"",$R$52))</f>
        <v>закрытая система теплоснабжения нп Раякоски</v>
      </c>
      <c r="AM52" s="1268" t="str">
        <f>IF($S$52="нет","без дифференциации",IF($V$52=0,"",$V$52))</f>
        <v>Электрокотельные нп Раякоски</v>
      </c>
      <c r="AN52" s="1773">
        <f>$I$52</f>
        <v>1</v>
      </c>
      <c r="AO52" s="1268" t="str">
        <f>$I$52&amp;"."&amp;$M$52</f>
        <v>1.1</v>
      </c>
      <c r="AP52" s="1260" t="str">
        <f>$I$52&amp;"."&amp;$M$52&amp;"."&amp;$Q$52</f>
        <v>1.1.1</v>
      </c>
      <c r="AQ52" s="1260" t="str">
        <f>$I$52&amp;"."&amp;$M$52&amp;"."&amp;$Q$52&amp;"."&amp;$U$52</f>
        <v>1.1.1.1</v>
      </c>
      <c r="AR52" s="1284">
        <v>0</v>
      </c>
    </row>
    <row s="1854" customFormat="1" customHeight="1" ht="17.25">
      <c r="A53" s="322"/>
      <c r="C53" s="321"/>
      <c r="D53" s="2136"/>
      <c r="E53" s="2165"/>
      <c r="F53" s="2147"/>
      <c r="G53" s="2633"/>
      <c r="H53" s="2554"/>
      <c r="I53" s="2554"/>
      <c r="J53" s="2502"/>
      <c r="K53" s="2187"/>
      <c r="L53" s="2109"/>
      <c r="M53" s="2109"/>
      <c r="N53" s="2505"/>
      <c r="O53" s="2187"/>
      <c r="P53" s="2109"/>
      <c r="Q53" s="2109"/>
      <c r="R53" s="2572"/>
      <c r="S53" s="2108"/>
      <c r="T53" s="2677"/>
      <c r="U53" s="2678"/>
      <c r="V53" s="2679" t="s">
        <v>177</v>
      </c>
      <c r="W53" s="2680"/>
      <c r="X53" s="1260"/>
      <c r="Y53" s="1260"/>
      <c r="Z53" s="1260"/>
      <c r="AA53" s="1260"/>
      <c r="AB53" s="1260"/>
      <c r="AC53" s="1260"/>
      <c r="AD53" s="1260"/>
      <c r="AE53" s="1260"/>
      <c r="AF53" s="1260"/>
      <c r="AG53" s="1260"/>
      <c r="AH53" s="1260"/>
      <c r="AI53" s="1260"/>
      <c r="AJ53" s="1260"/>
      <c r="AK53" s="1260"/>
      <c r="AL53" s="1260"/>
      <c r="AM53" s="1260"/>
      <c r="AN53" s="1260"/>
      <c r="AO53" s="1260"/>
      <c r="AP53" s="1260"/>
      <c r="AQ53" s="1260"/>
      <c r="AR53" s="1284">
        <v>0</v>
      </c>
    </row>
    <row s="1854" customFormat="1" customHeight="1" ht="17.25">
      <c r="A54" s="322"/>
      <c r="C54" s="321"/>
      <c r="D54" s="2137"/>
      <c r="E54" s="2166"/>
      <c r="F54" s="2147"/>
      <c r="G54" s="2660"/>
      <c r="H54" s="2504"/>
      <c r="I54" s="2504"/>
      <c r="J54" s="2534"/>
      <c r="K54" s="2187"/>
      <c r="L54" s="2504"/>
      <c r="M54" s="2504"/>
      <c r="N54" s="2506"/>
      <c r="O54" s="2113"/>
      <c r="P54" s="2681"/>
      <c r="Q54" s="2682"/>
      <c r="R54" s="2683" t="s">
        <v>178</v>
      </c>
      <c r="S54" s="2684"/>
      <c r="T54" s="2685"/>
      <c r="U54" s="2686"/>
      <c r="V54" s="2687"/>
      <c r="W54" s="2688"/>
      <c r="X54" s="1260"/>
      <c r="Y54" s="1260"/>
      <c r="Z54" s="1260"/>
      <c r="AA54" s="1260"/>
      <c r="AB54" s="1260"/>
      <c r="AC54" s="1260"/>
      <c r="AD54" s="1260"/>
      <c r="AE54" s="1260"/>
      <c r="AF54" s="1260"/>
      <c r="AG54" s="1260"/>
      <c r="AH54" s="1260"/>
      <c r="AI54" s="1260"/>
      <c r="AJ54" s="1260"/>
      <c r="AK54" s="1260"/>
      <c r="AL54" s="1260"/>
      <c r="AM54" s="1260"/>
      <c r="AN54" s="1260"/>
      <c r="AO54" s="1260"/>
      <c r="AP54" s="1260"/>
      <c r="AQ54" s="1260"/>
      <c r="AR54" s="1284">
        <v>0</v>
      </c>
    </row>
    <row s="1854" customFormat="1" customHeight="1" ht="17.25">
      <c r="A55" s="322"/>
      <c r="C55" s="321"/>
      <c r="D55" s="2137"/>
      <c r="E55" s="2166"/>
      <c r="F55" s="2147"/>
      <c r="G55" s="2660"/>
      <c r="H55" s="2504"/>
      <c r="I55" s="2504"/>
      <c r="J55" s="2534"/>
      <c r="K55" s="2113"/>
      <c r="L55" s="2689"/>
      <c r="M55" s="2690"/>
      <c r="N55" s="2691" t="s">
        <v>183</v>
      </c>
      <c r="O55" s="2692"/>
      <c r="P55" s="2693"/>
      <c r="Q55" s="2694"/>
      <c r="R55" s="2695"/>
      <c r="S55" s="2696"/>
      <c r="T55" s="2697"/>
      <c r="U55" s="2698"/>
      <c r="V55" s="2699"/>
      <c r="W55" s="2700"/>
      <c r="X55" s="1260"/>
      <c r="Y55" s="1260"/>
      <c r="Z55" s="1260"/>
      <c r="AA55" s="1260"/>
      <c r="AB55" s="1260"/>
      <c r="AC55" s="1260"/>
      <c r="AD55" s="1260"/>
      <c r="AE55" s="1260"/>
      <c r="AF55" s="1260"/>
      <c r="AG55" s="1260"/>
      <c r="AH55" s="1260"/>
      <c r="AI55" s="1260"/>
      <c r="AJ55" s="1260"/>
      <c r="AK55" s="1260"/>
      <c r="AL55" s="1260"/>
      <c r="AM55" s="1260"/>
      <c r="AN55" s="1260"/>
      <c r="AO55" s="1260"/>
      <c r="AP55" s="1260"/>
      <c r="AQ55" s="1260"/>
      <c r="AR55" s="1284">
        <v>0</v>
      </c>
    </row>
    <row customHeight="1" ht="17.25">
      <c r="A56" s="1841"/>
      <c r="B56" s="1854"/>
      <c r="C56" s="1843"/>
      <c r="D56" s="1831"/>
      <c r="E56" s="1848"/>
      <c r="F56" s="1785"/>
      <c r="G56" s="1849"/>
      <c r="H56" s="2530" t="s">
        <v>108</v>
      </c>
      <c r="I56" s="2530" t="s">
        <v>107</v>
      </c>
      <c r="J56" s="2502" t="s">
        <v>233</v>
      </c>
      <c r="K56" s="2186" t="s">
        <v>65</v>
      </c>
      <c r="L56" s="2109"/>
      <c r="M56" s="2109" t="s">
        <v>123</v>
      </c>
      <c r="N56" s="2505" t="str">
        <f>IF(Z56="","",INDEX(TERRITORY_MR_LIST,MATCH(Z56,TERRITORY_LIST_ID,0)))</f>
        <v>Территория 3</v>
      </c>
      <c r="O56" s="2186" t="s">
        <v>65</v>
      </c>
      <c r="P56" s="2109"/>
      <c r="Q56" s="2109" t="s">
        <v>123</v>
      </c>
      <c r="R56" s="2503" t="s">
        <v>225</v>
      </c>
      <c r="S56" s="2108" t="s">
        <v>65</v>
      </c>
      <c r="T56" s="1812"/>
      <c r="U56" s="1812" t="s">
        <v>123</v>
      </c>
      <c r="V56" s="1844" t="s">
        <v>226</v>
      </c>
      <c r="W56" s="1802"/>
      <c r="X56" s="1854"/>
      <c r="Y56" s="1268"/>
      <c r="Z56" s="1268" t="s">
        <v>113</v>
      </c>
      <c r="AA56" s="1268"/>
      <c r="AB56" s="1268"/>
      <c r="AC56" s="1975" t="s">
        <v>228</v>
      </c>
      <c r="AD56" s="1268" t="s">
        <v>234</v>
      </c>
      <c r="AE56" s="1268" t="s">
        <v>235</v>
      </c>
      <c r="AF56" s="1268" t="s">
        <v>236</v>
      </c>
      <c r="AG56" s="1268" t="s">
        <v>237</v>
      </c>
      <c r="AH56" s="1268" t="str">
        <f>IF($E$52=0,"",$E$52)</f>
        <v>Тарифы на тепловую энергию (мощность), поставляемую теплоснабжающими организациями потребителям, другим теплоснабжающим организациям</v>
      </c>
      <c r="AI56" s="1268" t="str">
        <f>IF($G$52=0,"",$G$52)</f>
        <v>Производство тепловой энергии. Некомбинированная выработка; Производство тепловой энергии. Комбинированная выработка с уст. мощностью производства электрической энергии 25 МВт и более; Передача. Тепловая энергия; Сбыт. Тепловая энергия</v>
      </c>
      <c r="AJ56" s="1268" t="str">
        <f>IF($J$56=0,"",$J$56)</f>
        <v>Льготные тарифы на тепловую энергию, поставляемую группе потребителей "потребители (кроме населения)". Для потребителей, в случае отсутствия дифференциации тарифов по схеме подключения. Населенный пункт Раякоски Печенгского муниципального округа Мурманской области</v>
      </c>
      <c r="AK56" s="1268" t="str">
        <f>IF($K$56="нет","без дифференциации",IF($N$56=0,"",$N$56))</f>
        <v>Территория 3</v>
      </c>
      <c r="AL56" s="1845" t="str">
        <f>IF($O$56="нет","без дифференциации",IF($R$56=0,"",$R$56))</f>
        <v>закрытая система теплоснабжения нп Раякоски</v>
      </c>
      <c r="AM56" s="1845" t="str">
        <f>IF($S$56="нет","без дифференциации",IF($V$56=0,"",$V$56))</f>
        <v>Электрокотельные нп Раякоски</v>
      </c>
      <c r="AN56" s="1268" t="str">
        <f>$I$56</f>
        <v>2</v>
      </c>
      <c r="AO56" s="1268" t="str">
        <f>$I$56&amp;"."&amp;$M$56</f>
        <v>2.1</v>
      </c>
      <c r="AP56" s="1268" t="str">
        <f>$I$56&amp;"."&amp;$M$56&amp;"."&amp;$Q$56</f>
        <v>2.1.1</v>
      </c>
      <c r="AQ56" s="1268" t="str">
        <f>$I$56&amp;"."&amp;$M$56&amp;"."&amp;$Q$56&amp;"."&amp;$U$56</f>
        <v>2.1.1.1</v>
      </c>
      <c r="AR56" s="1854"/>
    </row>
    <row customHeight="1" ht="17.25">
      <c r="A57" s="1841"/>
      <c r="B57" s="1854"/>
      <c r="C57" s="1846"/>
      <c r="D57" s="1831"/>
      <c r="E57" s="1848"/>
      <c r="F57" s="1785"/>
      <c r="G57" s="1849"/>
      <c r="H57" s="2530"/>
      <c r="I57" s="2530"/>
      <c r="J57" s="2502"/>
      <c r="K57" s="2187"/>
      <c r="L57" s="2109"/>
      <c r="M57" s="2109"/>
      <c r="N57" s="2505"/>
      <c r="O57" s="2187"/>
      <c r="P57" s="2109"/>
      <c r="Q57" s="2109"/>
      <c r="R57" s="2503"/>
      <c r="S57" s="2108"/>
      <c r="T57" s="318"/>
      <c r="U57" s="319"/>
      <c r="V57" s="319" t="s">
        <v>177</v>
      </c>
      <c r="W57" s="320"/>
      <c r="X57" s="1854"/>
      <c r="Y57" s="1260"/>
      <c r="Z57" s="1260"/>
      <c r="AA57" s="1260"/>
      <c r="AB57" s="1260"/>
      <c r="AC57" s="1260"/>
      <c r="AD57" s="1260"/>
      <c r="AE57" s="1260"/>
      <c r="AF57" s="1260"/>
      <c r="AG57" s="1260"/>
      <c r="AH57" s="1260"/>
      <c r="AI57" s="1260"/>
      <c r="AJ57" s="1260"/>
      <c r="AK57" s="1260"/>
      <c r="AL57" s="1854"/>
      <c r="AM57" s="1854"/>
      <c r="AN57" s="1854"/>
      <c r="AO57" s="1854"/>
      <c r="AP57" s="1854"/>
      <c r="AQ57" s="1854"/>
      <c r="AR57" s="1854"/>
    </row>
    <row customHeight="1" ht="17.25">
      <c r="A58" s="1841"/>
      <c r="B58" s="1854"/>
      <c r="C58" s="1846"/>
      <c r="D58" s="1831"/>
      <c r="E58" s="1848"/>
      <c r="F58" s="1785"/>
      <c r="G58" s="1849"/>
      <c r="H58" s="2504"/>
      <c r="I58" s="2504"/>
      <c r="J58" s="2534"/>
      <c r="K58" s="2187"/>
      <c r="L58" s="2504"/>
      <c r="M58" s="2504"/>
      <c r="N58" s="2506"/>
      <c r="O58" s="2113"/>
      <c r="P58" s="318"/>
      <c r="Q58" s="319"/>
      <c r="R58" s="319" t="s">
        <v>178</v>
      </c>
      <c r="S58" s="1847"/>
      <c r="T58" s="1847"/>
      <c r="U58" s="1847"/>
      <c r="V58" s="1847"/>
      <c r="W58" s="320"/>
      <c r="X58" s="1854"/>
      <c r="Y58" s="1260"/>
      <c r="Z58" s="1260"/>
      <c r="AA58" s="1260"/>
      <c r="AB58" s="1260"/>
      <c r="AC58" s="1260"/>
      <c r="AD58" s="1260"/>
      <c r="AE58" s="1260"/>
      <c r="AF58" s="1260"/>
      <c r="AG58" s="1260"/>
      <c r="AH58" s="1260"/>
      <c r="AI58" s="1260"/>
      <c r="AJ58" s="1260"/>
      <c r="AK58" s="1260"/>
      <c r="AL58" s="1854"/>
      <c r="AM58" s="1854"/>
      <c r="AN58" s="1854"/>
      <c r="AO58" s="1854"/>
      <c r="AP58" s="1854"/>
      <c r="AQ58" s="1854"/>
      <c r="AR58" s="1854"/>
    </row>
    <row customHeight="1" ht="17.25">
      <c r="A59" s="1841"/>
      <c r="B59" s="1854"/>
      <c r="C59" s="1846"/>
      <c r="D59" s="1831"/>
      <c r="E59" s="1848"/>
      <c r="F59" s="1785"/>
      <c r="G59" s="1849"/>
      <c r="H59" s="2504"/>
      <c r="I59" s="2504"/>
      <c r="J59" s="2534"/>
      <c r="K59" s="2113"/>
      <c r="L59" s="318"/>
      <c r="M59" s="319"/>
      <c r="N59" s="319" t="s">
        <v>183</v>
      </c>
      <c r="O59" s="319"/>
      <c r="P59" s="319"/>
      <c r="Q59" s="319"/>
      <c r="R59" s="319"/>
      <c r="S59" s="1847"/>
      <c r="T59" s="1847"/>
      <c r="U59" s="1847"/>
      <c r="V59" s="1847"/>
      <c r="W59" s="320"/>
      <c r="X59" s="1854"/>
      <c r="Y59" s="1260"/>
      <c r="Z59" s="1260"/>
      <c r="AA59" s="1260"/>
      <c r="AB59" s="1260"/>
      <c r="AC59" s="1260"/>
      <c r="AD59" s="1260"/>
      <c r="AE59" s="1260"/>
      <c r="AF59" s="1260"/>
      <c r="AG59" s="1260"/>
      <c r="AH59" s="1260"/>
      <c r="AI59" s="1260"/>
      <c r="AJ59" s="1260"/>
      <c r="AK59" s="1260"/>
      <c r="AL59" s="1854"/>
      <c r="AM59" s="1854"/>
      <c r="AN59" s="1854"/>
      <c r="AO59" s="1854"/>
      <c r="AP59" s="1854"/>
      <c r="AQ59" s="1854"/>
      <c r="AR59" s="1854"/>
    </row>
    <row customHeight="1" ht="17.25">
      <c r="A60" s="1841"/>
      <c r="B60" s="1854"/>
      <c r="C60" s="1843"/>
      <c r="D60" s="1831"/>
      <c r="E60" s="1848"/>
      <c r="F60" s="1785"/>
      <c r="G60" s="1849"/>
      <c r="H60" s="2530" t="s">
        <v>108</v>
      </c>
      <c r="I60" s="2530" t="s">
        <v>94</v>
      </c>
      <c r="J60" s="2502" t="s">
        <v>238</v>
      </c>
      <c r="K60" s="2186" t="s">
        <v>65</v>
      </c>
      <c r="L60" s="2109"/>
      <c r="M60" s="2109" t="s">
        <v>123</v>
      </c>
      <c r="N60" s="2505" t="str">
        <f>IF(Z60="","",INDEX(TERRITORY_MR_LIST,MATCH(Z60,TERRITORY_LIST_ID,0)))</f>
        <v>Территория 3</v>
      </c>
      <c r="O60" s="2186" t="s">
        <v>65</v>
      </c>
      <c r="P60" s="2109"/>
      <c r="Q60" s="2109" t="s">
        <v>123</v>
      </c>
      <c r="R60" s="2503" t="s">
        <v>225</v>
      </c>
      <c r="S60" s="2108" t="s">
        <v>65</v>
      </c>
      <c r="T60" s="1812"/>
      <c r="U60" s="1812" t="s">
        <v>123</v>
      </c>
      <c r="V60" s="1844" t="s">
        <v>226</v>
      </c>
      <c r="W60" s="1802"/>
      <c r="X60" s="1854"/>
      <c r="Y60" s="1268"/>
      <c r="Z60" s="1268" t="s">
        <v>113</v>
      </c>
      <c r="AA60" s="1268"/>
      <c r="AB60" s="1268"/>
      <c r="AC60" s="1975" t="s">
        <v>228</v>
      </c>
      <c r="AD60" s="1268" t="s">
        <v>239</v>
      </c>
      <c r="AE60" s="1268" t="s">
        <v>240</v>
      </c>
      <c r="AF60" s="1268" t="s">
        <v>241</v>
      </c>
      <c r="AG60" s="1268" t="s">
        <v>242</v>
      </c>
      <c r="AH60" s="1268" t="str">
        <f>IF($E$52=0,"",$E$52)</f>
        <v>Тарифы на тепловую энергию (мощность), поставляемую теплоснабжающими организациями потребителям, другим теплоснабжающим организациям</v>
      </c>
      <c r="AI60" s="1268" t="str">
        <f>IF($G$52=0,"",$G$52)</f>
        <v>Производство тепловой энергии. Некомбинированная выработка; Производство тепловой энергии. Комбинированная выработка с уст. мощностью производства электрической энергии 25 МВт и более; Передача. Тепловая энергия; Сбыт. Тепловая энергия</v>
      </c>
      <c r="AJ60" s="1268" t="str">
        <f>IF($J$60=0,"",$J$60)</f>
        <v>Тарифы на тепловую энергию, поставляемую потребителям. Для потребителей в случае отсутствия дифференциации тарифов по схеме подключения. Населенный пункт Раякоски Печенгского муниципального округа Мурманской области</v>
      </c>
      <c r="AK60" s="1268" t="str">
        <f>IF($K$60="нет","без дифференциации",IF($N$60=0,"",$N$60))</f>
        <v>Территория 3</v>
      </c>
      <c r="AL60" s="1845" t="str">
        <f>IF($O$60="нет","без дифференциации",IF($R$60=0,"",$R$60))</f>
        <v>закрытая система теплоснабжения нп Раякоски</v>
      </c>
      <c r="AM60" s="1845" t="str">
        <f>IF($S$60="нет","без дифференциации",IF($V$60=0,"",$V$60))</f>
        <v>Электрокотельные нп Раякоски</v>
      </c>
      <c r="AN60" s="1268" t="str">
        <f>$I$60</f>
        <v>3</v>
      </c>
      <c r="AO60" s="1268" t="str">
        <f>$I$60&amp;"."&amp;$M$60</f>
        <v>3.1</v>
      </c>
      <c r="AP60" s="1268" t="str">
        <f>$I$60&amp;"."&amp;$M$60&amp;"."&amp;$Q$60</f>
        <v>3.1.1</v>
      </c>
      <c r="AQ60" s="1268" t="str">
        <f>$I$60&amp;"."&amp;$M$60&amp;"."&amp;$Q$60&amp;"."&amp;$U$60</f>
        <v>3.1.1.1</v>
      </c>
      <c r="AR60" s="1854"/>
    </row>
    <row customHeight="1" ht="17.25">
      <c r="A61" s="1841"/>
      <c r="B61" s="1854"/>
      <c r="C61" s="1846"/>
      <c r="D61" s="1831"/>
      <c r="E61" s="1848"/>
      <c r="F61" s="1785"/>
      <c r="G61" s="1849"/>
      <c r="H61" s="2530"/>
      <c r="I61" s="2530"/>
      <c r="J61" s="2502"/>
      <c r="K61" s="2187"/>
      <c r="L61" s="2109"/>
      <c r="M61" s="2109"/>
      <c r="N61" s="2505"/>
      <c r="O61" s="2187"/>
      <c r="P61" s="2109"/>
      <c r="Q61" s="2109"/>
      <c r="R61" s="2503"/>
      <c r="S61" s="2108"/>
      <c r="T61" s="318"/>
      <c r="U61" s="319"/>
      <c r="V61" s="319" t="s">
        <v>177</v>
      </c>
      <c r="W61" s="320"/>
      <c r="X61" s="1854"/>
      <c r="Y61" s="1260"/>
      <c r="Z61" s="1260"/>
      <c r="AA61" s="1260"/>
      <c r="AB61" s="1260"/>
      <c r="AC61" s="1260"/>
      <c r="AD61" s="1260"/>
      <c r="AE61" s="1260"/>
      <c r="AF61" s="1260"/>
      <c r="AG61" s="1260"/>
      <c r="AH61" s="1260"/>
      <c r="AI61" s="1260"/>
      <c r="AJ61" s="1260"/>
      <c r="AK61" s="1260"/>
      <c r="AL61" s="1854"/>
      <c r="AM61" s="1854"/>
      <c r="AN61" s="1854"/>
      <c r="AO61" s="1854"/>
      <c r="AP61" s="1854"/>
      <c r="AQ61" s="1854"/>
      <c r="AR61" s="1854"/>
    </row>
    <row customHeight="1" ht="17.25">
      <c r="A62" s="1841"/>
      <c r="B62" s="1854"/>
      <c r="C62" s="1846"/>
      <c r="D62" s="1831"/>
      <c r="E62" s="1848"/>
      <c r="F62" s="1785"/>
      <c r="G62" s="1849"/>
      <c r="H62" s="2504"/>
      <c r="I62" s="2504"/>
      <c r="J62" s="2534"/>
      <c r="K62" s="2187"/>
      <c r="L62" s="2504"/>
      <c r="M62" s="2504"/>
      <c r="N62" s="2506"/>
      <c r="O62" s="2113"/>
      <c r="P62" s="318"/>
      <c r="Q62" s="319"/>
      <c r="R62" s="319" t="s">
        <v>178</v>
      </c>
      <c r="S62" s="1847"/>
      <c r="T62" s="1847"/>
      <c r="U62" s="1847"/>
      <c r="V62" s="1847"/>
      <c r="W62" s="320"/>
      <c r="X62" s="1854"/>
      <c r="Y62" s="1260"/>
      <c r="Z62" s="1260"/>
      <c r="AA62" s="1260"/>
      <c r="AB62" s="1260"/>
      <c r="AC62" s="1260"/>
      <c r="AD62" s="1260"/>
      <c r="AE62" s="1260"/>
      <c r="AF62" s="1260"/>
      <c r="AG62" s="1260"/>
      <c r="AH62" s="1260"/>
      <c r="AI62" s="1260"/>
      <c r="AJ62" s="1260"/>
      <c r="AK62" s="1260"/>
      <c r="AL62" s="1854"/>
      <c r="AM62" s="1854"/>
      <c r="AN62" s="1854"/>
      <c r="AO62" s="1854"/>
      <c r="AP62" s="1854"/>
      <c r="AQ62" s="1854"/>
      <c r="AR62" s="1854"/>
    </row>
    <row customHeight="1" ht="17.25">
      <c r="A63" s="1841"/>
      <c r="B63" s="1854"/>
      <c r="C63" s="1846"/>
      <c r="D63" s="1831"/>
      <c r="E63" s="1848"/>
      <c r="F63" s="1785"/>
      <c r="G63" s="1849"/>
      <c r="H63" s="2504"/>
      <c r="I63" s="2504"/>
      <c r="J63" s="2534"/>
      <c r="K63" s="2113"/>
      <c r="L63" s="318"/>
      <c r="M63" s="319"/>
      <c r="N63" s="319" t="s">
        <v>183</v>
      </c>
      <c r="O63" s="319"/>
      <c r="P63" s="319"/>
      <c r="Q63" s="319"/>
      <c r="R63" s="319"/>
      <c r="S63" s="1847"/>
      <c r="T63" s="1847"/>
      <c r="U63" s="1847"/>
      <c r="V63" s="1847"/>
      <c r="W63" s="320"/>
      <c r="X63" s="1854"/>
      <c r="Y63" s="1260"/>
      <c r="Z63" s="1260"/>
      <c r="AA63" s="1260"/>
      <c r="AB63" s="1260"/>
      <c r="AC63" s="1260"/>
      <c r="AD63" s="1260"/>
      <c r="AE63" s="1260"/>
      <c r="AF63" s="1260"/>
      <c r="AG63" s="1260"/>
      <c r="AH63" s="1260"/>
      <c r="AI63" s="1260"/>
      <c r="AJ63" s="1260"/>
      <c r="AK63" s="1260"/>
      <c r="AL63" s="1854"/>
      <c r="AM63" s="1854"/>
      <c r="AN63" s="1854"/>
      <c r="AO63" s="1854"/>
      <c r="AP63" s="1854"/>
      <c r="AQ63" s="1854"/>
      <c r="AR63" s="1854"/>
    </row>
    <row customHeight="1" ht="17.25">
      <c r="A64" s="1841"/>
      <c r="B64" s="1854"/>
      <c r="C64" s="1843"/>
      <c r="D64" s="1831"/>
      <c r="E64" s="1848"/>
      <c r="F64" s="1785"/>
      <c r="G64" s="1849"/>
      <c r="H64" s="2530" t="s">
        <v>108</v>
      </c>
      <c r="I64" s="2530" t="s">
        <v>95</v>
      </c>
      <c r="J64" s="2502" t="s">
        <v>243</v>
      </c>
      <c r="K64" s="2186" t="s">
        <v>65</v>
      </c>
      <c r="L64" s="2109"/>
      <c r="M64" s="2109" t="s">
        <v>123</v>
      </c>
      <c r="N64" s="2505" t="str">
        <f>IF(Z64="","",INDEX(TERRITORY_MR_LIST,MATCH(Z64,TERRITORY_LIST_ID,0)))</f>
        <v>Территория 1</v>
      </c>
      <c r="O64" s="2186" t="s">
        <v>65</v>
      </c>
      <c r="P64" s="2109"/>
      <c r="Q64" s="2109" t="s">
        <v>123</v>
      </c>
      <c r="R64" s="2503" t="s">
        <v>169</v>
      </c>
      <c r="S64" s="2108" t="s">
        <v>65</v>
      </c>
      <c r="T64" s="1812"/>
      <c r="U64" s="1812" t="s">
        <v>123</v>
      </c>
      <c r="V64" s="1844" t="s">
        <v>170</v>
      </c>
      <c r="W64" s="1802"/>
      <c r="X64" s="1854"/>
      <c r="Y64" s="1268"/>
      <c r="Z64" s="1268" t="s">
        <v>102</v>
      </c>
      <c r="AA64" s="1268"/>
      <c r="AB64" s="1268"/>
      <c r="AC64" s="1975" t="s">
        <v>228</v>
      </c>
      <c r="AD64" s="1268" t="s">
        <v>244</v>
      </c>
      <c r="AE64" s="1268" t="s">
        <v>245</v>
      </c>
      <c r="AF64" s="1268" t="s">
        <v>246</v>
      </c>
      <c r="AG64" s="1268" t="s">
        <v>247</v>
      </c>
      <c r="AH64" s="1268" t="str">
        <f>IF($E$52=0,"",$E$52)</f>
        <v>Тарифы на тепловую энергию (мощность), поставляемую теплоснабжающими организациями потребителям, другим теплоснабжающим организациям</v>
      </c>
      <c r="AI64" s="1268" t="str">
        <f>IF($G$52=0,"",$G$52)</f>
        <v>Производство тепловой энергии. Некомбинированная выработка; Производство тепловой энергии. Комбинированная выработка с уст. мощностью производства электрической энергии 25 МВт и более; Передача. Тепловая энергия; Сбыт. Тепловая энергия</v>
      </c>
      <c r="AJ64" s="1268" t="str">
        <f>IF($J$64=0,"",$J$64)</f>
        <v>Тарифы на тепловую энергию, поставляемую теплоснабжающим, теплосетевым организациям, приобретающим тепловую энергию с целью компенсации потерь. Для теплоснабжающих, теплосетевых организаций, приобретающих тепловую энергию на коллекторах источника тепловой энергии (Апатитская ТЭЦ). Муниципальный округ город Кировск с подведомственной территорией Мурманской области, Муниципальный округ город Апатиты с подведомственной территорией Мурманской области</v>
      </c>
      <c r="AK64" s="1268" t="str">
        <f>IF($K$64="нет","без дифференциации",IF($N$64=0,"",$N$64))</f>
        <v>Территория 1</v>
      </c>
      <c r="AL64" s="1845" t="str">
        <f>IF($O$64="нет","без дифференциации",IF($R$64=0,"",$R$64))</f>
        <v>открытая система теплоснабжения г. Апатиты</v>
      </c>
      <c r="AM64" s="1845" t="str">
        <f>IF($S$64="нет","без дифференциации",IF($V$64=0,"",$V$64))</f>
        <v>Апатитская ТЭЦ</v>
      </c>
      <c r="AN64" s="1268" t="str">
        <f>$I$64</f>
        <v>4</v>
      </c>
      <c r="AO64" s="1268" t="str">
        <f>$I$64&amp;"."&amp;$M$64</f>
        <v>4.1</v>
      </c>
      <c r="AP64" s="1268" t="str">
        <f>$I$64&amp;"."&amp;$M$64&amp;"."&amp;$Q$64</f>
        <v>4.1.1</v>
      </c>
      <c r="AQ64" s="1268" t="str">
        <f>$I$64&amp;"."&amp;$M$64&amp;"."&amp;$Q$64&amp;"."&amp;$U$64</f>
        <v>4.1.1.1</v>
      </c>
      <c r="AR64" s="1854"/>
    </row>
    <row customHeight="1" ht="30.75">
      <c r="A65" s="1841"/>
      <c r="B65" s="1854"/>
      <c r="C65" s="1846"/>
      <c r="D65" s="1831"/>
      <c r="E65" s="1848"/>
      <c r="F65" s="1785"/>
      <c r="G65" s="1849"/>
      <c r="H65" s="2530"/>
      <c r="I65" s="2530"/>
      <c r="J65" s="2502"/>
      <c r="K65" s="2187"/>
      <c r="L65" s="2109"/>
      <c r="M65" s="2109"/>
      <c r="N65" s="2505"/>
      <c r="O65" s="2187"/>
      <c r="P65" s="2109"/>
      <c r="Q65" s="2109"/>
      <c r="R65" s="2503"/>
      <c r="S65" s="2108"/>
      <c r="T65" s="318"/>
      <c r="U65" s="319"/>
      <c r="V65" s="319" t="s">
        <v>177</v>
      </c>
      <c r="W65" s="320"/>
      <c r="X65" s="1854"/>
      <c r="Y65" s="1260"/>
      <c r="Z65" s="1260"/>
      <c r="AA65" s="1260"/>
      <c r="AB65" s="1260"/>
      <c r="AC65" s="1260"/>
      <c r="AD65" s="1260"/>
      <c r="AE65" s="1260"/>
      <c r="AF65" s="1260"/>
      <c r="AG65" s="1260"/>
      <c r="AH65" s="1260"/>
      <c r="AI65" s="1260"/>
      <c r="AJ65" s="1260"/>
      <c r="AK65" s="1260"/>
      <c r="AL65" s="1854"/>
      <c r="AM65" s="1854"/>
      <c r="AN65" s="1854"/>
      <c r="AO65" s="1854"/>
      <c r="AP65" s="1854"/>
      <c r="AQ65" s="1854"/>
      <c r="AR65" s="1854"/>
    </row>
    <row customHeight="1" ht="27.75">
      <c r="A66" s="1841"/>
      <c r="B66" s="1854"/>
      <c r="C66" s="1846"/>
      <c r="D66" s="1831"/>
      <c r="E66" s="1848"/>
      <c r="F66" s="1785"/>
      <c r="G66" s="1849"/>
      <c r="H66" s="2504"/>
      <c r="I66" s="2504"/>
      <c r="J66" s="2534"/>
      <c r="K66" s="2187"/>
      <c r="L66" s="2504"/>
      <c r="M66" s="2504"/>
      <c r="N66" s="2506"/>
      <c r="O66" s="2113"/>
      <c r="P66" s="318"/>
      <c r="Q66" s="319"/>
      <c r="R66" s="319" t="s">
        <v>178</v>
      </c>
      <c r="S66" s="1847"/>
      <c r="T66" s="1847"/>
      <c r="U66" s="1847"/>
      <c r="V66" s="1847"/>
      <c r="W66" s="320"/>
      <c r="X66" s="1854"/>
      <c r="Y66" s="1260"/>
      <c r="Z66" s="1260"/>
      <c r="AA66" s="1260"/>
      <c r="AB66" s="1260"/>
      <c r="AC66" s="1260"/>
      <c r="AD66" s="1260"/>
      <c r="AE66" s="1260"/>
      <c r="AF66" s="1260"/>
      <c r="AG66" s="1260"/>
      <c r="AH66" s="1260"/>
      <c r="AI66" s="1260"/>
      <c r="AJ66" s="1260"/>
      <c r="AK66" s="1260"/>
      <c r="AL66" s="1854"/>
      <c r="AM66" s="1854"/>
      <c r="AN66" s="1854"/>
      <c r="AO66" s="1854"/>
      <c r="AP66" s="1854"/>
      <c r="AQ66" s="1854"/>
      <c r="AR66" s="1854"/>
    </row>
    <row customHeight="1" ht="17.25">
      <c r="A67" s="1841"/>
      <c r="B67" s="1854"/>
      <c r="C67" s="1843"/>
      <c r="D67" s="1831"/>
      <c r="E67" s="1848"/>
      <c r="F67" s="1785"/>
      <c r="G67" s="1849"/>
      <c r="H67" s="1831"/>
      <c r="I67" s="1831"/>
      <c r="J67" s="1850"/>
      <c r="K67" s="1761"/>
      <c r="L67" s="2109" t="s">
        <v>108</v>
      </c>
      <c r="M67" s="2109" t="s">
        <v>107</v>
      </c>
      <c r="N67" s="2505" t="str">
        <f>IF(Z67="","",INDEX(TERRITORY_MR_LIST,MATCH(Z67,TERRITORY_LIST_ID,0)))</f>
        <v>Территория 2</v>
      </c>
      <c r="O67" s="2186" t="s">
        <v>65</v>
      </c>
      <c r="P67" s="2109"/>
      <c r="Q67" s="2109" t="s">
        <v>123</v>
      </c>
      <c r="R67" s="2503" t="s">
        <v>179</v>
      </c>
      <c r="S67" s="2108" t="s">
        <v>65</v>
      </c>
      <c r="T67" s="1812"/>
      <c r="U67" s="1812" t="s">
        <v>123</v>
      </c>
      <c r="V67" s="1844" t="s">
        <v>170</v>
      </c>
      <c r="W67" s="1802"/>
      <c r="X67" s="1854"/>
      <c r="Y67" s="1268"/>
      <c r="Z67" s="1268" t="s">
        <v>109</v>
      </c>
      <c r="AA67" s="1268"/>
      <c r="AB67" s="1268"/>
      <c r="AC67" s="1975" t="s">
        <v>228</v>
      </c>
      <c r="AD67" s="1975" t="s">
        <v>244</v>
      </c>
      <c r="AE67" s="1268" t="s">
        <v>248</v>
      </c>
      <c r="AF67" s="1268" t="s">
        <v>249</v>
      </c>
      <c r="AG67" s="1268" t="s">
        <v>250</v>
      </c>
      <c r="AH67" s="1268" t="str">
        <f>IF($E$52=0,"",$E$52)</f>
        <v>Тарифы на тепловую энергию (мощность), поставляемую теплоснабжающими организациями потребителям, другим теплоснабжающим организациям</v>
      </c>
      <c r="AI67" s="1268" t="str">
        <f>IF($G$52=0,"",$G$52)</f>
        <v>Производство тепловой энергии. Некомбинированная выработка; Производство тепловой энергии. Комбинированная выработка с уст. мощностью производства электрической энергии 25 МВт и более; Передача. Тепловая энергия; Сбыт. Тепловая энергия</v>
      </c>
      <c r="AJ67" s="1268" t="str">
        <f>IF($J$64=0,"",$J$64)</f>
        <v>Тарифы на тепловую энергию, поставляемую теплоснабжающим, теплосетевым организациям, приобретающим тепловую энергию с целью компенсации потерь. Для теплоснабжающих, теплосетевых организаций, приобретающих тепловую энергию на коллекторах источника тепловой энергии (Апатитская ТЭЦ). Муниципальный округ город Кировск с подведомственной территорией Мурманской области, Муниципальный округ город Апатиты с подведомственной территорией Мурманской области</v>
      </c>
      <c r="AK67" s="1268" t="str">
        <f>IF($K$67="нет","без дифференциации",IF($N$67=0,"",$N$67))</f>
        <v>Территория 2</v>
      </c>
      <c r="AL67" s="1845" t="str">
        <f>IF($O$67="нет","без дифференциации",IF($R$67=0,"",$R$67))</f>
        <v>открытая система теплоснабжения г. Кировск</v>
      </c>
      <c r="AM67" s="1845" t="str">
        <f>IF($S$67="нет","без дифференциации",IF($V$67=0,"",$V$67))</f>
        <v>Апатитская ТЭЦ</v>
      </c>
      <c r="AN67" s="1268" t="str">
        <f>$I$64</f>
        <v>4</v>
      </c>
      <c r="AO67" s="1268" t="str">
        <f>$I$64&amp;"."&amp;$M$67</f>
        <v>4.2</v>
      </c>
      <c r="AP67" s="1268" t="str">
        <f>$I$64&amp;"."&amp;$M$67&amp;"."&amp;$Q$67</f>
        <v>4.2.1</v>
      </c>
      <c r="AQ67" s="1268" t="str">
        <f>$I$64&amp;"."&amp;$M$67&amp;"."&amp;$Q$67&amp;"."&amp;$U$67</f>
        <v>4.2.1.1</v>
      </c>
      <c r="AR67" s="1854"/>
    </row>
    <row customHeight="1" ht="17.25">
      <c r="A68" s="1841"/>
      <c r="B68" s="1854"/>
      <c r="C68" s="1846"/>
      <c r="D68" s="1831"/>
      <c r="E68" s="1848"/>
      <c r="F68" s="1785"/>
      <c r="G68" s="1849"/>
      <c r="H68" s="1831"/>
      <c r="I68" s="1831"/>
      <c r="J68" s="1850"/>
      <c r="K68" s="1761"/>
      <c r="L68" s="2109"/>
      <c r="M68" s="2109"/>
      <c r="N68" s="2505"/>
      <c r="O68" s="2187"/>
      <c r="P68" s="2109"/>
      <c r="Q68" s="2109"/>
      <c r="R68" s="2503"/>
      <c r="S68" s="2108"/>
      <c r="T68" s="318"/>
      <c r="U68" s="319"/>
      <c r="V68" s="319" t="s">
        <v>177</v>
      </c>
      <c r="W68" s="320"/>
      <c r="X68" s="1854"/>
      <c r="Y68" s="1260"/>
      <c r="Z68" s="1260"/>
      <c r="AA68" s="1260"/>
      <c r="AB68" s="1260"/>
      <c r="AC68" s="1260"/>
      <c r="AD68" s="1260"/>
      <c r="AE68" s="1260"/>
      <c r="AF68" s="1260"/>
      <c r="AG68" s="1260"/>
      <c r="AH68" s="1260"/>
      <c r="AI68" s="1260"/>
      <c r="AJ68" s="1260"/>
      <c r="AK68" s="1260"/>
      <c r="AL68" s="1854"/>
      <c r="AM68" s="1854"/>
      <c r="AN68" s="1854"/>
      <c r="AO68" s="1854"/>
      <c r="AP68" s="1854"/>
      <c r="AQ68" s="1854"/>
      <c r="AR68" s="1854"/>
    </row>
    <row customHeight="1" ht="17.25">
      <c r="A69" s="1841"/>
      <c r="B69" s="1854"/>
      <c r="C69" s="1846"/>
      <c r="D69" s="1831"/>
      <c r="E69" s="1848"/>
      <c r="F69" s="1785"/>
      <c r="G69" s="1849"/>
      <c r="H69" s="1831"/>
      <c r="I69" s="1831"/>
      <c r="J69" s="1850"/>
      <c r="K69" s="1761"/>
      <c r="L69" s="2504"/>
      <c r="M69" s="2504"/>
      <c r="N69" s="2506"/>
      <c r="O69" s="2113"/>
      <c r="P69" s="318"/>
      <c r="Q69" s="319"/>
      <c r="R69" s="319" t="s">
        <v>178</v>
      </c>
      <c r="S69" s="1847"/>
      <c r="T69" s="1847"/>
      <c r="U69" s="1847"/>
      <c r="V69" s="1847"/>
      <c r="W69" s="320"/>
      <c r="X69" s="1854"/>
      <c r="Y69" s="1260"/>
      <c r="Z69" s="1260"/>
      <c r="AA69" s="1260"/>
      <c r="AB69" s="1260"/>
      <c r="AC69" s="1260"/>
      <c r="AD69" s="1260"/>
      <c r="AE69" s="1260"/>
      <c r="AF69" s="1260"/>
      <c r="AG69" s="1260"/>
      <c r="AH69" s="1260"/>
      <c r="AI69" s="1260"/>
      <c r="AJ69" s="1260"/>
      <c r="AK69" s="1260"/>
      <c r="AL69" s="1854"/>
      <c r="AM69" s="1854"/>
      <c r="AN69" s="1854"/>
      <c r="AO69" s="1854"/>
      <c r="AP69" s="1854"/>
      <c r="AQ69" s="1854"/>
      <c r="AR69" s="1854"/>
    </row>
    <row customHeight="1" ht="37.5">
      <c r="A70" s="1841"/>
      <c r="B70" s="1854"/>
      <c r="C70" s="1846"/>
      <c r="D70" s="1831"/>
      <c r="E70" s="1848"/>
      <c r="F70" s="1785"/>
      <c r="G70" s="1849"/>
      <c r="H70" s="2504"/>
      <c r="I70" s="2504"/>
      <c r="J70" s="2534"/>
      <c r="K70" s="2113"/>
      <c r="L70" s="318"/>
      <c r="M70" s="319"/>
      <c r="N70" s="319" t="s">
        <v>183</v>
      </c>
      <c r="O70" s="319"/>
      <c r="P70" s="319"/>
      <c r="Q70" s="319"/>
      <c r="R70" s="319"/>
      <c r="S70" s="1847"/>
      <c r="T70" s="1847"/>
      <c r="U70" s="1847"/>
      <c r="V70" s="1847"/>
      <c r="W70" s="320"/>
      <c r="X70" s="1854"/>
      <c r="Y70" s="1260"/>
      <c r="Z70" s="1260"/>
      <c r="AA70" s="1260"/>
      <c r="AB70" s="1260"/>
      <c r="AC70" s="1260"/>
      <c r="AD70" s="1260"/>
      <c r="AE70" s="1260"/>
      <c r="AF70" s="1260"/>
      <c r="AG70" s="1260"/>
      <c r="AH70" s="1260"/>
      <c r="AI70" s="1260"/>
      <c r="AJ70" s="1260"/>
      <c r="AK70" s="1260"/>
      <c r="AL70" s="1854"/>
      <c r="AM70" s="1854"/>
      <c r="AN70" s="1854"/>
      <c r="AO70" s="1854"/>
      <c r="AP70" s="1854"/>
      <c r="AQ70" s="1854"/>
      <c r="AR70" s="1854"/>
    </row>
    <row s="1854" customFormat="1" customHeight="1" ht="17.25">
      <c r="A71" s="322"/>
      <c r="C71" s="321"/>
      <c r="D71" s="2137"/>
      <c r="E71" s="2166"/>
      <c r="F71" s="2148"/>
      <c r="G71" s="2660"/>
      <c r="H71" s="2701"/>
      <c r="I71" s="2702"/>
      <c r="J71" s="2703" t="s">
        <v>222</v>
      </c>
      <c r="K71" s="2704"/>
      <c r="L71" s="2705"/>
      <c r="M71" s="2706"/>
      <c r="N71" s="2707"/>
      <c r="O71" s="2708"/>
      <c r="P71" s="2709"/>
      <c r="Q71" s="2710"/>
      <c r="R71" s="2711"/>
      <c r="S71" s="2712"/>
      <c r="T71" s="2713"/>
      <c r="U71" s="2714"/>
      <c r="V71" s="2715"/>
      <c r="W71" s="2716"/>
      <c r="X71" s="1260"/>
      <c r="Y71" s="1260"/>
      <c r="Z71" s="1260"/>
      <c r="AA71" s="1260"/>
      <c r="AB71" s="1260"/>
      <c r="AC71" s="1260"/>
      <c r="AD71" s="1260"/>
      <c r="AE71" s="1260"/>
      <c r="AF71" s="1260"/>
      <c r="AG71" s="1260"/>
      <c r="AH71" s="1260"/>
      <c r="AI71" s="1260"/>
      <c r="AJ71" s="1260"/>
      <c r="AK71" s="1260"/>
      <c r="AL71" s="1260"/>
      <c r="AM71" s="1260"/>
      <c r="AN71" s="1260"/>
      <c r="AO71" s="1260"/>
      <c r="AP71" s="1260"/>
      <c r="AQ71" s="1260"/>
      <c r="AR71" s="1284">
        <v>0</v>
      </c>
    </row>
    <row s="1854" customFormat="1" customHeight="1" ht="17.25" hidden="1">
      <c r="A72" s="322"/>
      <c r="C72" s="210"/>
      <c r="D72" s="2136">
        <v>2</v>
      </c>
      <c r="E72" s="2144" t="s">
        <v>223</v>
      </c>
      <c r="F72" s="2146" t="s">
        <v>19</v>
      </c>
      <c r="G72" s="2144"/>
      <c r="H72" s="2149"/>
      <c r="I72" s="2151"/>
      <c r="J72" s="2153"/>
      <c r="K72" s="2138"/>
      <c r="L72" s="2138"/>
      <c r="M72" s="2138"/>
      <c r="N72" s="2140"/>
      <c r="O72" s="2138"/>
      <c r="P72" s="2138"/>
      <c r="Q72" s="2138"/>
      <c r="R72" s="2143"/>
      <c r="S72" s="2138"/>
      <c r="T72" s="1999"/>
      <c r="U72" s="1999"/>
      <c r="V72" s="2001"/>
      <c r="W72" s="1297"/>
      <c r="X72" s="1268"/>
      <c r="Y72" s="1268"/>
      <c r="Z72" s="1268" t="s">
        <v>28</v>
      </c>
      <c r="AA72" s="1268" t="s">
        <v>28</v>
      </c>
      <c r="AB72" s="1268" t="s">
        <v>28</v>
      </c>
      <c r="AC72" s="1268" t="s">
        <v>28</v>
      </c>
      <c r="AD72" s="1268" t="s">
        <v>28</v>
      </c>
      <c r="AE72" s="1268" t="s">
        <v>28</v>
      </c>
      <c r="AF72" s="1268" t="s">
        <v>28</v>
      </c>
      <c r="AG72" s="1268" t="s">
        <v>28</v>
      </c>
      <c r="AH72" s="1268" t="s">
        <v>28</v>
      </c>
      <c r="AI72" s="1268" t="s">
        <v>28</v>
      </c>
      <c r="AJ72" s="1268" t="s">
        <v>28</v>
      </c>
      <c r="AK72" s="1268" t="s">
        <v>28</v>
      </c>
      <c r="AL72" s="1268" t="s">
        <v>28</v>
      </c>
      <c r="AM72" s="1268" t="s">
        <v>28</v>
      </c>
      <c r="AN72" s="1773" t="s">
        <v>28</v>
      </c>
      <c r="AO72" s="1268" t="s">
        <v>28</v>
      </c>
      <c r="AP72" s="1267" t="s">
        <v>28</v>
      </c>
      <c r="AQ72" s="1267" t="s">
        <v>28</v>
      </c>
      <c r="AR72" s="1468">
        <v>0</v>
      </c>
    </row>
    <row s="1854" customFormat="1" customHeight="1" ht="17.25" hidden="1">
      <c r="A73" s="322"/>
      <c r="C73" s="321"/>
      <c r="D73" s="2136"/>
      <c r="E73" s="2144"/>
      <c r="F73" s="2147"/>
      <c r="G73" s="2144"/>
      <c r="H73" s="2150"/>
      <c r="I73" s="2152"/>
      <c r="J73" s="2154"/>
      <c r="K73" s="2139"/>
      <c r="L73" s="2139"/>
      <c r="M73" s="2139"/>
      <c r="N73" s="2141"/>
      <c r="O73" s="2139"/>
      <c r="P73" s="2139"/>
      <c r="Q73" s="2139"/>
      <c r="R73" s="2142"/>
      <c r="S73" s="2139"/>
      <c r="T73" s="2004"/>
      <c r="U73" s="2004"/>
      <c r="V73" s="2004"/>
      <c r="W73" s="2005"/>
      <c r="X73" s="1267"/>
      <c r="Y73" s="1267"/>
      <c r="Z73" s="1267"/>
      <c r="AA73" s="1267"/>
      <c r="AB73" s="1267"/>
      <c r="AC73" s="1267"/>
      <c r="AD73" s="1267"/>
      <c r="AE73" s="1267"/>
      <c r="AF73" s="1267"/>
      <c r="AG73" s="1267"/>
      <c r="AH73" s="1267"/>
      <c r="AI73" s="1267"/>
      <c r="AJ73" s="1267"/>
      <c r="AK73" s="1267"/>
      <c r="AL73" s="1267"/>
      <c r="AM73" s="1267"/>
      <c r="AN73" s="1267"/>
      <c r="AO73" s="1267"/>
      <c r="AP73" s="1267"/>
      <c r="AQ73" s="1267"/>
      <c r="AR73" s="1468">
        <v>0</v>
      </c>
    </row>
    <row s="1854" customFormat="1" customHeight="1" ht="17.25" hidden="1">
      <c r="A74" s="322"/>
      <c r="C74" s="321"/>
      <c r="D74" s="2137"/>
      <c r="E74" s="2145"/>
      <c r="F74" s="2147"/>
      <c r="G74" s="2145"/>
      <c r="H74" s="2150"/>
      <c r="I74" s="2152"/>
      <c r="J74" s="2155"/>
      <c r="K74" s="2139"/>
      <c r="L74" s="2139"/>
      <c r="M74" s="2139"/>
      <c r="N74" s="2142"/>
      <c r="O74" s="2139"/>
      <c r="P74" s="2000"/>
      <c r="Q74" s="2004"/>
      <c r="R74" s="2004"/>
      <c r="S74" s="330"/>
      <c r="T74" s="330"/>
      <c r="U74" s="330"/>
      <c r="V74" s="330"/>
      <c r="W74" s="2005"/>
      <c r="X74" s="1267"/>
      <c r="Y74" s="1267"/>
      <c r="Z74" s="1267"/>
      <c r="AA74" s="1267"/>
      <c r="AB74" s="1267"/>
      <c r="AC74" s="1267"/>
      <c r="AD74" s="1267"/>
      <c r="AE74" s="1267"/>
      <c r="AF74" s="1267"/>
      <c r="AG74" s="1267"/>
      <c r="AH74" s="1267"/>
      <c r="AI74" s="1267"/>
      <c r="AJ74" s="1267"/>
      <c r="AK74" s="1267"/>
      <c r="AL74" s="1267"/>
      <c r="AM74" s="1267"/>
      <c r="AN74" s="1267"/>
      <c r="AO74" s="1267"/>
      <c r="AP74" s="1267"/>
      <c r="AQ74" s="1267"/>
      <c r="AR74" s="1468">
        <v>0</v>
      </c>
    </row>
    <row s="1854" customFormat="1" customHeight="1" ht="17.25" hidden="1">
      <c r="A75" s="322"/>
      <c r="C75" s="321"/>
      <c r="D75" s="2137"/>
      <c r="E75" s="2145"/>
      <c r="F75" s="2147"/>
      <c r="G75" s="2145"/>
      <c r="H75" s="2150"/>
      <c r="I75" s="2152"/>
      <c r="J75" s="2155"/>
      <c r="K75" s="2139"/>
      <c r="L75" s="2004"/>
      <c r="M75" s="2004"/>
      <c r="N75" s="2004"/>
      <c r="O75" s="2004"/>
      <c r="P75" s="2004"/>
      <c r="Q75" s="2004"/>
      <c r="R75" s="2004"/>
      <c r="S75" s="330"/>
      <c r="T75" s="330"/>
      <c r="U75" s="330"/>
      <c r="V75" s="330"/>
      <c r="W75" s="2005"/>
      <c r="X75" s="1267"/>
      <c r="Y75" s="1267"/>
      <c r="Z75" s="1267"/>
      <c r="AA75" s="1267"/>
      <c r="AB75" s="1267"/>
      <c r="AC75" s="1267"/>
      <c r="AD75" s="1267"/>
      <c r="AE75" s="1267"/>
      <c r="AF75" s="1267"/>
      <c r="AG75" s="1267"/>
      <c r="AH75" s="1267"/>
      <c r="AI75" s="1267"/>
      <c r="AJ75" s="1267"/>
      <c r="AK75" s="1267"/>
      <c r="AL75" s="1267"/>
      <c r="AM75" s="1267"/>
      <c r="AN75" s="1267"/>
      <c r="AO75" s="1267"/>
      <c r="AP75" s="1267"/>
      <c r="AQ75" s="1267"/>
      <c r="AR75" s="1468">
        <v>0</v>
      </c>
    </row>
    <row s="1854" customFormat="1" customHeight="1" ht="17.25" hidden="1">
      <c r="A76" s="322"/>
      <c r="C76" s="321"/>
      <c r="D76" s="2137"/>
      <c r="E76" s="2145"/>
      <c r="F76" s="2148"/>
      <c r="G76" s="2145"/>
      <c r="H76" s="1300"/>
      <c r="I76" s="2002"/>
      <c r="J76" s="2002"/>
      <c r="K76" s="2002"/>
      <c r="L76" s="2002"/>
      <c r="M76" s="2002"/>
      <c r="N76" s="2002"/>
      <c r="O76" s="2002"/>
      <c r="P76" s="2002"/>
      <c r="Q76" s="2002"/>
      <c r="R76" s="2002"/>
      <c r="S76" s="1302"/>
      <c r="T76" s="1302"/>
      <c r="U76" s="1302"/>
      <c r="V76" s="1302"/>
      <c r="W76" s="2003"/>
      <c r="X76" s="1267"/>
      <c r="Y76" s="1267"/>
      <c r="Z76" s="1267"/>
      <c r="AA76" s="1267"/>
      <c r="AB76" s="1267"/>
      <c r="AC76" s="1267"/>
      <c r="AD76" s="1267"/>
      <c r="AE76" s="1267"/>
      <c r="AF76" s="1267"/>
      <c r="AG76" s="1267"/>
      <c r="AH76" s="1267"/>
      <c r="AI76" s="1267"/>
      <c r="AJ76" s="1267"/>
      <c r="AK76" s="1267"/>
      <c r="AL76" s="1267"/>
      <c r="AM76" s="1267"/>
      <c r="AN76" s="1267"/>
      <c r="AO76" s="1267"/>
      <c r="AP76" s="1267"/>
      <c r="AQ76" s="1267"/>
      <c r="AR76" s="1468">
        <v>0</v>
      </c>
    </row>
    <row s="1854" customFormat="1" customHeight="1" ht="17.25">
      <c r="A77" s="322"/>
      <c r="C77" s="210"/>
      <c r="D77" s="2136">
        <v>3</v>
      </c>
      <c r="E77" s="2144" t="s">
        <v>251</v>
      </c>
      <c r="F77" s="2146" t="s">
        <v>65</v>
      </c>
      <c r="G77" s="2633" t="str">
        <f>INDEX(VD_NAME_LIST,MATCH("4190067",VD_ID_LIST,0))&amp;"; "&amp;INDEX(VD_NAME_LIST,MATCH("4190069",VD_ID_LIST,0))&amp;"; "&amp;INDEX(VD_NAME_LIST,MATCH("4190070",VD_ID_LIST,0))</f>
        <v>Производство. Теплоноситель; Передача. Теплоноситель; Сбыт. Тепловая энергия</v>
      </c>
      <c r="H77" s="2554"/>
      <c r="I77" s="2554">
        <v>1</v>
      </c>
      <c r="J77" s="2502" t="s">
        <v>252</v>
      </c>
      <c r="K77" s="2186" t="s">
        <v>65</v>
      </c>
      <c r="L77" s="2109"/>
      <c r="M77" s="2109" t="s">
        <v>123</v>
      </c>
      <c r="N77" s="2505" t="str">
        <f>IF(Z77="","",INDEX(TERRITORY_MR_LIST,MATCH(Z77,TERRITORY_LIST_ID,0)))</f>
        <v>Территория 1</v>
      </c>
      <c r="O77" s="2186" t="s">
        <v>65</v>
      </c>
      <c r="P77" s="2109"/>
      <c r="Q77" s="2109" t="s">
        <v>123</v>
      </c>
      <c r="R77" s="2572" t="s">
        <v>169</v>
      </c>
      <c r="S77" s="2108" t="s">
        <v>65</v>
      </c>
      <c r="T77" s="2109"/>
      <c r="U77" s="2109" t="s">
        <v>123</v>
      </c>
      <c r="V77" s="2572" t="s">
        <v>170</v>
      </c>
      <c r="W77" s="2502"/>
      <c r="X77" s="1268"/>
      <c r="Y77" s="1268"/>
      <c r="Z77" s="1268" t="s">
        <v>102</v>
      </c>
      <c r="AA77" s="1268"/>
      <c r="AB77" s="1268" t="s">
        <v>253</v>
      </c>
      <c r="AC77" s="1268" t="s">
        <v>254</v>
      </c>
      <c r="AD77" s="1268" t="s">
        <v>255</v>
      </c>
      <c r="AE77" s="1268" t="s">
        <v>256</v>
      </c>
      <c r="AF77" s="1268" t="s">
        <v>257</v>
      </c>
      <c r="AG77" s="1268" t="s">
        <v>258</v>
      </c>
      <c r="AH77" s="1268" t="str">
        <f>IF($E$77=0,"",$E$77)</f>
        <v>Тарифы на теплоноситель, поставляемый теплоснабжающими организациями потребителям, другим теплоснабжающим организациям</v>
      </c>
      <c r="AI77" s="1268" t="str">
        <f>IF($G$77=0,"",$G$77)</f>
        <v>Производство. Теплоноситель; Передача. Теплоноситель; Сбыт. Тепловая энергия</v>
      </c>
      <c r="AJ77" s="1268" t="str">
        <f>IF($J$77=0,"",$J$77)</f>
        <v>Тарифы на теплоноситель, поставляемый группе потребителей "население". Муниципальный округ город Апатиты с подведомственной территорией Мурманской области, муниципальный округ город Кировск с подведомственной территорией Мурманской области</v>
      </c>
      <c r="AK77" s="1268" t="str">
        <f>IF($K$77="нет","без дифференциации",IF($N$77=0,"",$N$77))</f>
        <v>Территория 1</v>
      </c>
      <c r="AL77" s="1268" t="str">
        <f>IF($O$77="нет","без дифференциации",IF($R$77=0,"",$R$77))</f>
        <v>открытая система теплоснабжения г. Апатиты</v>
      </c>
      <c r="AM77" s="1268" t="str">
        <f>IF($S$77="нет","без дифференциации",IF($V$77=0,"",$V$77))</f>
        <v>Апатитская ТЭЦ</v>
      </c>
      <c r="AN77" s="1773">
        <f>$I$77</f>
        <v>1</v>
      </c>
      <c r="AO77" s="1268" t="str">
        <f>$I$77&amp;"."&amp;$M$77</f>
        <v>1.1</v>
      </c>
      <c r="AP77" s="1260" t="str">
        <f>$I$77&amp;"."&amp;$M$77&amp;"."&amp;$Q$77</f>
        <v>1.1.1</v>
      </c>
      <c r="AQ77" s="1260" t="str">
        <f>$I$77&amp;"."&amp;$M$77&amp;"."&amp;$Q$77&amp;"."&amp;$U$77</f>
        <v>1.1.1.1</v>
      </c>
      <c r="AR77" s="1284">
        <v>0</v>
      </c>
    </row>
    <row s="1854" customFormat="1" customHeight="1" ht="17.25">
      <c r="A78" s="322"/>
      <c r="C78" s="321"/>
      <c r="D78" s="2136"/>
      <c r="E78" s="2144"/>
      <c r="F78" s="2147"/>
      <c r="G78" s="2633"/>
      <c r="H78" s="2554"/>
      <c r="I78" s="2554"/>
      <c r="J78" s="2502"/>
      <c r="K78" s="2187"/>
      <c r="L78" s="2109"/>
      <c r="M78" s="2109"/>
      <c r="N78" s="2505"/>
      <c r="O78" s="2187"/>
      <c r="P78" s="2109"/>
      <c r="Q78" s="2109"/>
      <c r="R78" s="2572"/>
      <c r="S78" s="2108"/>
      <c r="T78" s="2717"/>
      <c r="U78" s="2718"/>
      <c r="V78" s="2719" t="s">
        <v>177</v>
      </c>
      <c r="W78" s="2720"/>
      <c r="X78" s="1260"/>
      <c r="Y78" s="1260"/>
      <c r="Z78" s="1260"/>
      <c r="AA78" s="1260"/>
      <c r="AB78" s="1260"/>
      <c r="AC78" s="1260"/>
      <c r="AD78" s="1260"/>
      <c r="AE78" s="1260"/>
      <c r="AF78" s="1260"/>
      <c r="AG78" s="1260"/>
      <c r="AH78" s="1260"/>
      <c r="AI78" s="1260"/>
      <c r="AJ78" s="1260"/>
      <c r="AK78" s="1260"/>
      <c r="AL78" s="1260"/>
      <c r="AM78" s="1260"/>
      <c r="AN78" s="1260"/>
      <c r="AO78" s="1260"/>
      <c r="AP78" s="1260"/>
      <c r="AQ78" s="1260"/>
      <c r="AR78" s="1284">
        <v>0</v>
      </c>
    </row>
    <row s="1854" customFormat="1" customHeight="1" ht="17.25">
      <c r="A79" s="322"/>
      <c r="C79" s="321"/>
      <c r="D79" s="2137"/>
      <c r="E79" s="2145"/>
      <c r="F79" s="2147"/>
      <c r="G79" s="2660"/>
      <c r="H79" s="2504"/>
      <c r="I79" s="2504"/>
      <c r="J79" s="2534"/>
      <c r="K79" s="2187"/>
      <c r="L79" s="2504"/>
      <c r="M79" s="2504"/>
      <c r="N79" s="2506"/>
      <c r="O79" s="2113"/>
      <c r="P79" s="2721"/>
      <c r="Q79" s="2722"/>
      <c r="R79" s="2723" t="s">
        <v>178</v>
      </c>
      <c r="S79" s="2724"/>
      <c r="T79" s="2725"/>
      <c r="U79" s="2726"/>
      <c r="V79" s="2727"/>
      <c r="W79" s="2728"/>
      <c r="X79" s="1260"/>
      <c r="Y79" s="1260"/>
      <c r="Z79" s="1260"/>
      <c r="AA79" s="1260"/>
      <c r="AB79" s="1260"/>
      <c r="AC79" s="1260"/>
      <c r="AD79" s="1260"/>
      <c r="AE79" s="1260"/>
      <c r="AF79" s="1260"/>
      <c r="AG79" s="1260"/>
      <c r="AH79" s="1260"/>
      <c r="AI79" s="1260"/>
      <c r="AJ79" s="1260"/>
      <c r="AK79" s="1260"/>
      <c r="AL79" s="1260"/>
      <c r="AM79" s="1260"/>
      <c r="AN79" s="1260"/>
      <c r="AO79" s="1260"/>
      <c r="AP79" s="1260"/>
      <c r="AQ79" s="1260"/>
      <c r="AR79" s="1284">
        <v>0</v>
      </c>
    </row>
    <row customHeight="1" ht="17.25">
      <c r="A80" s="1841"/>
      <c r="B80" s="1854"/>
      <c r="C80" s="1843"/>
      <c r="D80" s="1831"/>
      <c r="E80" s="1848"/>
      <c r="F80" s="1785"/>
      <c r="G80" s="1849"/>
      <c r="H80" s="1831"/>
      <c r="I80" s="1831"/>
      <c r="J80" s="1850"/>
      <c r="K80" s="1761"/>
      <c r="L80" s="2109" t="s">
        <v>108</v>
      </c>
      <c r="M80" s="2109" t="s">
        <v>107</v>
      </c>
      <c r="N80" s="2505" t="str">
        <f>IF(Z80="","",INDEX(TERRITORY_MR_LIST,MATCH(Z80,TERRITORY_LIST_ID,0)))</f>
        <v>Территория 2</v>
      </c>
      <c r="O80" s="2186" t="s">
        <v>65</v>
      </c>
      <c r="P80" s="2109"/>
      <c r="Q80" s="2109" t="s">
        <v>123</v>
      </c>
      <c r="R80" s="2503" t="s">
        <v>179</v>
      </c>
      <c r="S80" s="2108" t="s">
        <v>65</v>
      </c>
      <c r="T80" s="1812"/>
      <c r="U80" s="1812" t="s">
        <v>123</v>
      </c>
      <c r="V80" s="1844" t="s">
        <v>170</v>
      </c>
      <c r="W80" s="1802"/>
      <c r="X80" s="1854"/>
      <c r="Y80" s="1268"/>
      <c r="Z80" s="1268" t="s">
        <v>109</v>
      </c>
      <c r="AA80" s="1268"/>
      <c r="AB80" s="1268"/>
      <c r="AC80" s="1975" t="s">
        <v>254</v>
      </c>
      <c r="AD80" s="1975" t="s">
        <v>255</v>
      </c>
      <c r="AE80" s="1268" t="s">
        <v>259</v>
      </c>
      <c r="AF80" s="1268" t="s">
        <v>260</v>
      </c>
      <c r="AG80" s="1268" t="s">
        <v>261</v>
      </c>
      <c r="AH80" s="1268" t="str">
        <f>IF($E$77=0,"",$E$77)</f>
        <v>Тарифы на теплоноситель, поставляемый теплоснабжающими организациями потребителям, другим теплоснабжающим организациям</v>
      </c>
      <c r="AI80" s="1268" t="str">
        <f>IF($G$77=0,"",$G$77)</f>
        <v>Производство. Теплоноситель; Передача. Теплоноситель; Сбыт. Тепловая энергия</v>
      </c>
      <c r="AJ80" s="1268" t="str">
        <f>IF($J$77=0,"",$J$77)</f>
        <v>Тарифы на теплоноситель, поставляемый группе потребителей "население". Муниципальный округ город Апатиты с подведомственной территорией Мурманской области, муниципальный округ город Кировск с подведомственной территорией Мурманской области</v>
      </c>
      <c r="AK80" s="1268" t="str">
        <f>IF($K$80="нет","без дифференциации",IF($N$80=0,"",$N$80))</f>
        <v>Территория 2</v>
      </c>
      <c r="AL80" s="1845" t="str">
        <f>IF($O$80="нет","без дифференциации",IF($R$80=0,"",$R$80))</f>
        <v>открытая система теплоснабжения г. Кировск</v>
      </c>
      <c r="AM80" s="1845" t="str">
        <f>IF($S$80="нет","без дифференциации",IF($V$80=0,"",$V$80))</f>
        <v>Апатитская ТЭЦ</v>
      </c>
      <c r="AN80" s="1268">
        <f>$I$77</f>
        <v>1</v>
      </c>
      <c r="AO80" s="1268" t="str">
        <f>$I$77&amp;"."&amp;$M$80</f>
        <v>1.2</v>
      </c>
      <c r="AP80" s="1268" t="str">
        <f>$I$77&amp;"."&amp;$M$80&amp;"."&amp;$Q$80</f>
        <v>1.2.1</v>
      </c>
      <c r="AQ80" s="1268" t="str">
        <f>$I$77&amp;"."&amp;$M$80&amp;"."&amp;$Q$80&amp;"."&amp;$U$80</f>
        <v>1.2.1.1</v>
      </c>
      <c r="AR80" s="1854"/>
    </row>
    <row customHeight="1" ht="17.25">
      <c r="A81" s="1841"/>
      <c r="B81" s="1854"/>
      <c r="C81" s="1846"/>
      <c r="D81" s="1831"/>
      <c r="E81" s="1848"/>
      <c r="F81" s="1785"/>
      <c r="G81" s="1849"/>
      <c r="H81" s="1831"/>
      <c r="I81" s="1831"/>
      <c r="J81" s="1850"/>
      <c r="K81" s="1761"/>
      <c r="L81" s="2109"/>
      <c r="M81" s="2109"/>
      <c r="N81" s="2505"/>
      <c r="O81" s="2187"/>
      <c r="P81" s="2109"/>
      <c r="Q81" s="2109"/>
      <c r="R81" s="2503"/>
      <c r="S81" s="2108"/>
      <c r="T81" s="318"/>
      <c r="U81" s="319"/>
      <c r="V81" s="319" t="s">
        <v>177</v>
      </c>
      <c r="W81" s="320"/>
      <c r="X81" s="1854"/>
      <c r="Y81" s="1260"/>
      <c r="Z81" s="1260"/>
      <c r="AA81" s="1260"/>
      <c r="AB81" s="1260"/>
      <c r="AC81" s="1260"/>
      <c r="AD81" s="1260"/>
      <c r="AE81" s="1260"/>
      <c r="AF81" s="1260"/>
      <c r="AG81" s="1260"/>
      <c r="AH81" s="1260"/>
      <c r="AI81" s="1260"/>
      <c r="AJ81" s="1260"/>
      <c r="AK81" s="1260"/>
      <c r="AL81" s="1854"/>
      <c r="AM81" s="1854"/>
      <c r="AN81" s="1854"/>
      <c r="AO81" s="1854"/>
      <c r="AP81" s="1854"/>
      <c r="AQ81" s="1854"/>
      <c r="AR81" s="1854"/>
    </row>
    <row customHeight="1" ht="17.25">
      <c r="A82" s="1841"/>
      <c r="B82" s="1854"/>
      <c r="C82" s="1846"/>
      <c r="D82" s="1831"/>
      <c r="E82" s="1848"/>
      <c r="F82" s="1785"/>
      <c r="G82" s="1849"/>
      <c r="H82" s="1831"/>
      <c r="I82" s="1831"/>
      <c r="J82" s="1850"/>
      <c r="K82" s="1761"/>
      <c r="L82" s="2504"/>
      <c r="M82" s="2504"/>
      <c r="N82" s="2506"/>
      <c r="O82" s="2113"/>
      <c r="P82" s="318"/>
      <c r="Q82" s="319"/>
      <c r="R82" s="319" t="s">
        <v>178</v>
      </c>
      <c r="S82" s="1847"/>
      <c r="T82" s="1847"/>
      <c r="U82" s="1847"/>
      <c r="V82" s="1847"/>
      <c r="W82" s="320"/>
      <c r="X82" s="1854"/>
      <c r="Y82" s="1260"/>
      <c r="Z82" s="1260"/>
      <c r="AA82" s="1260"/>
      <c r="AB82" s="1260"/>
      <c r="AC82" s="1260"/>
      <c r="AD82" s="1260"/>
      <c r="AE82" s="1260"/>
      <c r="AF82" s="1260"/>
      <c r="AG82" s="1260"/>
      <c r="AH82" s="1260"/>
      <c r="AI82" s="1260"/>
      <c r="AJ82" s="1260"/>
      <c r="AK82" s="1260"/>
      <c r="AL82" s="1854"/>
      <c r="AM82" s="1854"/>
      <c r="AN82" s="1854"/>
      <c r="AO82" s="1854"/>
      <c r="AP82" s="1854"/>
      <c r="AQ82" s="1854"/>
      <c r="AR82" s="1854"/>
    </row>
    <row s="1854" customFormat="1" customHeight="1" ht="17.25">
      <c r="A83" s="322"/>
      <c r="C83" s="321"/>
      <c r="D83" s="2137"/>
      <c r="E83" s="2145"/>
      <c r="F83" s="2147"/>
      <c r="G83" s="2660"/>
      <c r="H83" s="2504"/>
      <c r="I83" s="2504"/>
      <c r="J83" s="2534"/>
      <c r="K83" s="2113"/>
      <c r="L83" s="2729"/>
      <c r="M83" s="2730"/>
      <c r="N83" s="2731" t="s">
        <v>183</v>
      </c>
      <c r="O83" s="2732"/>
      <c r="P83" s="2733"/>
      <c r="Q83" s="2734"/>
      <c r="R83" s="2735"/>
      <c r="S83" s="2736"/>
      <c r="T83" s="2737"/>
      <c r="U83" s="2738"/>
      <c r="V83" s="2739"/>
      <c r="W83" s="2740"/>
      <c r="X83" s="1260"/>
      <c r="Y83" s="1260"/>
      <c r="Z83" s="1260"/>
      <c r="AA83" s="1260"/>
      <c r="AB83" s="1260"/>
      <c r="AC83" s="1260"/>
      <c r="AD83" s="1260"/>
      <c r="AE83" s="1260"/>
      <c r="AF83" s="1260"/>
      <c r="AG83" s="1260"/>
      <c r="AH83" s="1260"/>
      <c r="AI83" s="1260"/>
      <c r="AJ83" s="1260"/>
      <c r="AK83" s="1260"/>
      <c r="AL83" s="1260"/>
      <c r="AM83" s="1260"/>
      <c r="AN83" s="1260"/>
      <c r="AO83" s="1260"/>
      <c r="AP83" s="1260"/>
      <c r="AQ83" s="1260"/>
      <c r="AR83" s="1284">
        <v>0</v>
      </c>
    </row>
    <row customHeight="1" ht="17.25">
      <c r="A84" s="1841"/>
      <c r="B84" s="1854"/>
      <c r="C84" s="1843"/>
      <c r="D84" s="1831"/>
      <c r="E84" s="1848"/>
      <c r="F84" s="1785"/>
      <c r="G84" s="1849"/>
      <c r="H84" s="2530" t="s">
        <v>108</v>
      </c>
      <c r="I84" s="2530" t="s">
        <v>107</v>
      </c>
      <c r="J84" s="2502" t="s">
        <v>262</v>
      </c>
      <c r="K84" s="2186" t="s">
        <v>65</v>
      </c>
      <c r="L84" s="2109"/>
      <c r="M84" s="2109" t="s">
        <v>123</v>
      </c>
      <c r="N84" s="2505" t="str">
        <f>IF(Z84="","",INDEX(TERRITORY_MR_LIST,MATCH(Z84,TERRITORY_LIST_ID,0)))</f>
        <v>Территория 1</v>
      </c>
      <c r="O84" s="2186" t="s">
        <v>65</v>
      </c>
      <c r="P84" s="2109"/>
      <c r="Q84" s="2109" t="s">
        <v>123</v>
      </c>
      <c r="R84" s="2503" t="s">
        <v>169</v>
      </c>
      <c r="S84" s="2108" t="s">
        <v>65</v>
      </c>
      <c r="T84" s="1812"/>
      <c r="U84" s="1812" t="s">
        <v>123</v>
      </c>
      <c r="V84" s="1844" t="s">
        <v>170</v>
      </c>
      <c r="W84" s="1802"/>
      <c r="X84" s="1854"/>
      <c r="Y84" s="1268"/>
      <c r="Z84" s="1268" t="s">
        <v>102</v>
      </c>
      <c r="AA84" s="1268"/>
      <c r="AB84" s="1268"/>
      <c r="AC84" s="1975" t="s">
        <v>254</v>
      </c>
      <c r="AD84" s="1268" t="s">
        <v>263</v>
      </c>
      <c r="AE84" s="1268" t="s">
        <v>264</v>
      </c>
      <c r="AF84" s="1268" t="s">
        <v>265</v>
      </c>
      <c r="AG84" s="1268" t="s">
        <v>266</v>
      </c>
      <c r="AH84" s="1268" t="str">
        <f>IF($E$77=0,"",$E$77)</f>
        <v>Тарифы на теплоноситель, поставляемый теплоснабжающими организациями потребителям, другим теплоснабжающим организациям</v>
      </c>
      <c r="AI84" s="1268" t="str">
        <f>IF($G$77=0,"",$G$77)</f>
        <v>Производство. Теплоноситель; Передача. Теплоноситель; Сбыт. Тепловая энергия</v>
      </c>
      <c r="AJ84" s="1268" t="str">
        <f>IF($J$84=0,"",$J$84)</f>
        <v>Тарифы на теплоноситель, поставляемый потребителям. Муниципальный округ город Апатиты с подведомственной территорией Мурманской области, муниципальный округ город Кировск с подведомственной территорией Мурманской области</v>
      </c>
      <c r="AK84" s="1268" t="str">
        <f>IF($K$84="нет","без дифференциации",IF($N$84=0,"",$N$84))</f>
        <v>Территория 1</v>
      </c>
      <c r="AL84" s="1845" t="str">
        <f>IF($O$84="нет","без дифференциации",IF($R$84=0,"",$R$84))</f>
        <v>открытая система теплоснабжения г. Апатиты</v>
      </c>
      <c r="AM84" s="1845" t="str">
        <f>IF($S$84="нет","без дифференциации",IF($V$84=0,"",$V$84))</f>
        <v>Апатитская ТЭЦ</v>
      </c>
      <c r="AN84" s="1268" t="str">
        <f>$I$84</f>
        <v>2</v>
      </c>
      <c r="AO84" s="1268" t="str">
        <f>$I$84&amp;"."&amp;$M$84</f>
        <v>2.1</v>
      </c>
      <c r="AP84" s="1268" t="str">
        <f>$I$84&amp;"."&amp;$M$84&amp;"."&amp;$Q$84</f>
        <v>2.1.1</v>
      </c>
      <c r="AQ84" s="1268" t="str">
        <f>$I$84&amp;"."&amp;$M$84&amp;"."&amp;$Q$84&amp;"."&amp;$U$84</f>
        <v>2.1.1.1</v>
      </c>
      <c r="AR84" s="1854"/>
    </row>
    <row customHeight="1" ht="17.25">
      <c r="A85" s="1841"/>
      <c r="B85" s="1854"/>
      <c r="C85" s="1846"/>
      <c r="D85" s="1831"/>
      <c r="E85" s="1848"/>
      <c r="F85" s="1785"/>
      <c r="G85" s="1849"/>
      <c r="H85" s="2530"/>
      <c r="I85" s="2530"/>
      <c r="J85" s="2502"/>
      <c r="K85" s="2187"/>
      <c r="L85" s="2109"/>
      <c r="M85" s="2109"/>
      <c r="N85" s="2505"/>
      <c r="O85" s="2187"/>
      <c r="P85" s="2109"/>
      <c r="Q85" s="2109"/>
      <c r="R85" s="2503"/>
      <c r="S85" s="2108"/>
      <c r="T85" s="318"/>
      <c r="U85" s="319"/>
      <c r="V85" s="319" t="s">
        <v>177</v>
      </c>
      <c r="W85" s="320"/>
      <c r="X85" s="1854"/>
      <c r="Y85" s="1260"/>
      <c r="Z85" s="1260"/>
      <c r="AA85" s="1260"/>
      <c r="AB85" s="1260"/>
      <c r="AC85" s="1260"/>
      <c r="AD85" s="1260"/>
      <c r="AE85" s="1260"/>
      <c r="AF85" s="1260"/>
      <c r="AG85" s="1260"/>
      <c r="AH85" s="1260"/>
      <c r="AI85" s="1260"/>
      <c r="AJ85" s="1260"/>
      <c r="AK85" s="1260"/>
      <c r="AL85" s="1854"/>
      <c r="AM85" s="1854"/>
      <c r="AN85" s="1854"/>
      <c r="AO85" s="1854"/>
      <c r="AP85" s="1854"/>
      <c r="AQ85" s="1854"/>
      <c r="AR85" s="1854"/>
    </row>
    <row customHeight="1" ht="17.25">
      <c r="A86" s="1841"/>
      <c r="B86" s="1854"/>
      <c r="C86" s="1846"/>
      <c r="D86" s="1831"/>
      <c r="E86" s="1848"/>
      <c r="F86" s="1785"/>
      <c r="G86" s="1849"/>
      <c r="H86" s="2504"/>
      <c r="I86" s="2504"/>
      <c r="J86" s="2534"/>
      <c r="K86" s="2187"/>
      <c r="L86" s="2504"/>
      <c r="M86" s="2504"/>
      <c r="N86" s="2506"/>
      <c r="O86" s="2113"/>
      <c r="P86" s="318"/>
      <c r="Q86" s="319"/>
      <c r="R86" s="319" t="s">
        <v>178</v>
      </c>
      <c r="S86" s="1847"/>
      <c r="T86" s="1847"/>
      <c r="U86" s="1847"/>
      <c r="V86" s="1847"/>
      <c r="W86" s="320"/>
      <c r="X86" s="1854"/>
      <c r="Y86" s="1260"/>
      <c r="Z86" s="1260"/>
      <c r="AA86" s="1260"/>
      <c r="AB86" s="1260"/>
      <c r="AC86" s="1260"/>
      <c r="AD86" s="1260"/>
      <c r="AE86" s="1260"/>
      <c r="AF86" s="1260"/>
      <c r="AG86" s="1260"/>
      <c r="AH86" s="1260"/>
      <c r="AI86" s="1260"/>
      <c r="AJ86" s="1260"/>
      <c r="AK86" s="1260"/>
      <c r="AL86" s="1854"/>
      <c r="AM86" s="1854"/>
      <c r="AN86" s="1854"/>
      <c r="AO86" s="1854"/>
      <c r="AP86" s="1854"/>
      <c r="AQ86" s="1854"/>
      <c r="AR86" s="1854"/>
    </row>
    <row customHeight="1" ht="17.25">
      <c r="A87" s="1841"/>
      <c r="B87" s="1854"/>
      <c r="C87" s="1843"/>
      <c r="D87" s="1831"/>
      <c r="E87" s="1848"/>
      <c r="F87" s="1785"/>
      <c r="G87" s="1849"/>
      <c r="H87" s="1831"/>
      <c r="I87" s="1831"/>
      <c r="J87" s="1850"/>
      <c r="K87" s="1761"/>
      <c r="L87" s="2109" t="s">
        <v>108</v>
      </c>
      <c r="M87" s="2109" t="s">
        <v>107</v>
      </c>
      <c r="N87" s="2505" t="str">
        <f>IF(Z87="","",INDEX(TERRITORY_MR_LIST,MATCH(Z87,TERRITORY_LIST_ID,0)))</f>
        <v>Территория 2</v>
      </c>
      <c r="O87" s="2186" t="s">
        <v>65</v>
      </c>
      <c r="P87" s="2109"/>
      <c r="Q87" s="2109" t="s">
        <v>123</v>
      </c>
      <c r="R87" s="2503" t="s">
        <v>179</v>
      </c>
      <c r="S87" s="2108" t="s">
        <v>65</v>
      </c>
      <c r="T87" s="1812"/>
      <c r="U87" s="1812" t="s">
        <v>123</v>
      </c>
      <c r="V87" s="1844" t="s">
        <v>170</v>
      </c>
      <c r="W87" s="1802"/>
      <c r="X87" s="1854"/>
      <c r="Y87" s="1268"/>
      <c r="Z87" s="1268" t="s">
        <v>109</v>
      </c>
      <c r="AA87" s="1268"/>
      <c r="AB87" s="1268"/>
      <c r="AC87" s="1975" t="s">
        <v>254</v>
      </c>
      <c r="AD87" s="1975" t="s">
        <v>263</v>
      </c>
      <c r="AE87" s="1268" t="s">
        <v>267</v>
      </c>
      <c r="AF87" s="1268" t="s">
        <v>268</v>
      </c>
      <c r="AG87" s="1268" t="s">
        <v>269</v>
      </c>
      <c r="AH87" s="1268" t="str">
        <f>IF($E$77=0,"",$E$77)</f>
        <v>Тарифы на теплоноситель, поставляемый теплоснабжающими организациями потребителям, другим теплоснабжающим организациям</v>
      </c>
      <c r="AI87" s="1268" t="str">
        <f>IF($G$77=0,"",$G$77)</f>
        <v>Производство. Теплоноситель; Передача. Теплоноситель; Сбыт. Тепловая энергия</v>
      </c>
      <c r="AJ87" s="1268" t="str">
        <f>IF($J$84=0,"",$J$84)</f>
        <v>Тарифы на теплоноситель, поставляемый потребителям. Муниципальный округ город Апатиты с подведомственной территорией Мурманской области, муниципальный округ город Кировск с подведомственной территорией Мурманской области</v>
      </c>
      <c r="AK87" s="1268" t="str">
        <f>IF($K$87="нет","без дифференциации",IF($N$87=0,"",$N$87))</f>
        <v>Территория 2</v>
      </c>
      <c r="AL87" s="1845" t="str">
        <f>IF($O$87="нет","без дифференциации",IF($R$87=0,"",$R$87))</f>
        <v>открытая система теплоснабжения г. Кировск</v>
      </c>
      <c r="AM87" s="1845" t="str">
        <f>IF($S$87="нет","без дифференциации",IF($V$87=0,"",$V$87))</f>
        <v>Апатитская ТЭЦ</v>
      </c>
      <c r="AN87" s="1268" t="str">
        <f>$I$84</f>
        <v>2</v>
      </c>
      <c r="AO87" s="1268" t="str">
        <f>$I$84&amp;"."&amp;$M$87</f>
        <v>2.2</v>
      </c>
      <c r="AP87" s="1268" t="str">
        <f>$I$84&amp;"."&amp;$M$87&amp;"."&amp;$Q$87</f>
        <v>2.2.1</v>
      </c>
      <c r="AQ87" s="1268" t="str">
        <f>$I$84&amp;"."&amp;$M$87&amp;"."&amp;$Q$87&amp;"."&amp;$U$87</f>
        <v>2.2.1.1</v>
      </c>
      <c r="AR87" s="1854"/>
    </row>
    <row customHeight="1" ht="17.25">
      <c r="A88" s="1841"/>
      <c r="B88" s="1854"/>
      <c r="C88" s="1846"/>
      <c r="D88" s="1831"/>
      <c r="E88" s="1848"/>
      <c r="F88" s="1785"/>
      <c r="G88" s="1849"/>
      <c r="H88" s="1831"/>
      <c r="I88" s="1831"/>
      <c r="J88" s="1850"/>
      <c r="K88" s="1761"/>
      <c r="L88" s="2109"/>
      <c r="M88" s="2109"/>
      <c r="N88" s="2505"/>
      <c r="O88" s="2187"/>
      <c r="P88" s="2109"/>
      <c r="Q88" s="2109"/>
      <c r="R88" s="2503"/>
      <c r="S88" s="2108"/>
      <c r="T88" s="318"/>
      <c r="U88" s="319"/>
      <c r="V88" s="319" t="s">
        <v>177</v>
      </c>
      <c r="W88" s="320"/>
      <c r="X88" s="1854"/>
      <c r="Y88" s="1260"/>
      <c r="Z88" s="1260"/>
      <c r="AA88" s="1260"/>
      <c r="AB88" s="1260"/>
      <c r="AC88" s="1260"/>
      <c r="AD88" s="1260"/>
      <c r="AE88" s="1260"/>
      <c r="AF88" s="1260"/>
      <c r="AG88" s="1260"/>
      <c r="AH88" s="1260"/>
      <c r="AI88" s="1260"/>
      <c r="AJ88" s="1260"/>
      <c r="AK88" s="1260"/>
      <c r="AL88" s="1854"/>
      <c r="AM88" s="1854"/>
      <c r="AN88" s="1854"/>
      <c r="AO88" s="1854"/>
      <c r="AP88" s="1854"/>
      <c r="AQ88" s="1854"/>
      <c r="AR88" s="1854"/>
    </row>
    <row customHeight="1" ht="17.25">
      <c r="A89" s="1841"/>
      <c r="B89" s="1854"/>
      <c r="C89" s="1846"/>
      <c r="D89" s="1831"/>
      <c r="E89" s="1848"/>
      <c r="F89" s="1785"/>
      <c r="G89" s="1849"/>
      <c r="H89" s="1831"/>
      <c r="I89" s="1831"/>
      <c r="J89" s="1850"/>
      <c r="K89" s="1761"/>
      <c r="L89" s="2504"/>
      <c r="M89" s="2504"/>
      <c r="N89" s="2506"/>
      <c r="O89" s="2113"/>
      <c r="P89" s="318"/>
      <c r="Q89" s="319"/>
      <c r="R89" s="319" t="s">
        <v>178</v>
      </c>
      <c r="S89" s="1847"/>
      <c r="T89" s="1847"/>
      <c r="U89" s="1847"/>
      <c r="V89" s="1847"/>
      <c r="W89" s="320"/>
      <c r="X89" s="1854"/>
      <c r="Y89" s="1260"/>
      <c r="Z89" s="1260"/>
      <c r="AA89" s="1260"/>
      <c r="AB89" s="1260"/>
      <c r="AC89" s="1260"/>
      <c r="AD89" s="1260"/>
      <c r="AE89" s="1260"/>
      <c r="AF89" s="1260"/>
      <c r="AG89" s="1260"/>
      <c r="AH89" s="1260"/>
      <c r="AI89" s="1260"/>
      <c r="AJ89" s="1260"/>
      <c r="AK89" s="1260"/>
      <c r="AL89" s="1854"/>
      <c r="AM89" s="1854"/>
      <c r="AN89" s="1854"/>
      <c r="AO89" s="1854"/>
      <c r="AP89" s="1854"/>
      <c r="AQ89" s="1854"/>
      <c r="AR89" s="1854"/>
    </row>
    <row customHeight="1" ht="17.25">
      <c r="A90" s="1841"/>
      <c r="B90" s="1854"/>
      <c r="C90" s="1846"/>
      <c r="D90" s="1831"/>
      <c r="E90" s="1848"/>
      <c r="F90" s="1785"/>
      <c r="G90" s="1849"/>
      <c r="H90" s="2504"/>
      <c r="I90" s="2504"/>
      <c r="J90" s="2534"/>
      <c r="K90" s="2113"/>
      <c r="L90" s="318"/>
      <c r="M90" s="319"/>
      <c r="N90" s="319" t="s">
        <v>183</v>
      </c>
      <c r="O90" s="319"/>
      <c r="P90" s="319"/>
      <c r="Q90" s="319"/>
      <c r="R90" s="319"/>
      <c r="S90" s="1847"/>
      <c r="T90" s="1847"/>
      <c r="U90" s="1847"/>
      <c r="V90" s="1847"/>
      <c r="W90" s="320"/>
      <c r="X90" s="1854"/>
      <c r="Y90" s="1260"/>
      <c r="Z90" s="1260"/>
      <c r="AA90" s="1260"/>
      <c r="AB90" s="1260"/>
      <c r="AC90" s="1260"/>
      <c r="AD90" s="1260"/>
      <c r="AE90" s="1260"/>
      <c r="AF90" s="1260"/>
      <c r="AG90" s="1260"/>
      <c r="AH90" s="1260"/>
      <c r="AI90" s="1260"/>
      <c r="AJ90" s="1260"/>
      <c r="AK90" s="1260"/>
      <c r="AL90" s="1854"/>
      <c r="AM90" s="1854"/>
      <c r="AN90" s="1854"/>
      <c r="AO90" s="1854"/>
      <c r="AP90" s="1854"/>
      <c r="AQ90" s="1854"/>
      <c r="AR90" s="1854"/>
    </row>
    <row s="1854" customFormat="1" customHeight="1" ht="17.25">
      <c r="A91" s="322"/>
      <c r="C91" s="321"/>
      <c r="D91" s="2137"/>
      <c r="E91" s="2145"/>
      <c r="F91" s="2148"/>
      <c r="G91" s="2660"/>
      <c r="H91" s="2741"/>
      <c r="I91" s="2742"/>
      <c r="J91" s="2743" t="s">
        <v>222</v>
      </c>
      <c r="K91" s="2744"/>
      <c r="L91" s="2745"/>
      <c r="M91" s="2746"/>
      <c r="N91" s="2747"/>
      <c r="O91" s="2748"/>
      <c r="P91" s="2749"/>
      <c r="Q91" s="2750"/>
      <c r="R91" s="2751"/>
      <c r="S91" s="2752"/>
      <c r="T91" s="2753"/>
      <c r="U91" s="2754"/>
      <c r="V91" s="2755"/>
      <c r="W91" s="2756"/>
      <c r="X91" s="1260"/>
      <c r="Y91" s="1260"/>
      <c r="Z91" s="1260"/>
      <c r="AA91" s="1260"/>
      <c r="AB91" s="1260"/>
      <c r="AC91" s="1260"/>
      <c r="AD91" s="1260"/>
      <c r="AE91" s="1260"/>
      <c r="AF91" s="1260"/>
      <c r="AG91" s="1260"/>
      <c r="AH91" s="1260"/>
      <c r="AI91" s="1260"/>
      <c r="AJ91" s="1260"/>
      <c r="AK91" s="1260"/>
      <c r="AL91" s="1260"/>
      <c r="AM91" s="1260"/>
      <c r="AN91" s="1260"/>
      <c r="AO91" s="1260"/>
      <c r="AP91" s="1260"/>
      <c r="AQ91" s="1260"/>
      <c r="AR91" s="1284">
        <v>0</v>
      </c>
    </row>
    <row s="1854" customFormat="1" customHeight="1" ht="17.25">
      <c r="A92" s="322"/>
      <c r="C92" s="210"/>
      <c r="D92" s="2136">
        <v>4</v>
      </c>
      <c r="E92" s="2144" t="s">
        <v>270</v>
      </c>
      <c r="F92" s="2146" t="s">
        <v>65</v>
      </c>
      <c r="G92" s="2633" t="str">
        <f>INDEX(VD_NAME_LIST,MATCH("4190066",VD_ID_LIST,0))&amp;"; "&amp;INDEX(VD_NAME_LIST,MATCH("4190068",VD_ID_LIST,0))&amp;"; "&amp;INDEX(VD_NAME_LIST,MATCH("4190070",VD_ID_LIST,0))</f>
        <v>Производство тепловой энергии. Комбинированная выработка с уст. мощностью производства электрической энергии 25 МВт и более; Передача. Тепловая энергия; Сбыт. Тепловая энергия</v>
      </c>
      <c r="H92" s="2554"/>
      <c r="I92" s="2554">
        <v>1</v>
      </c>
      <c r="J92" s="2502" t="s">
        <v>271</v>
      </c>
      <c r="K92" s="2186" t="s">
        <v>65</v>
      </c>
      <c r="L92" s="2109"/>
      <c r="M92" s="2109" t="s">
        <v>123</v>
      </c>
      <c r="N92" s="2505" t="str">
        <f>IF(Z92="","",INDEX(TERRITORY_MR_LIST,MATCH(Z92,TERRITORY_LIST_ID,0)))</f>
        <v>Территория 1</v>
      </c>
      <c r="O92" s="2186" t="s">
        <v>65</v>
      </c>
      <c r="P92" s="2109"/>
      <c r="Q92" s="2109" t="s">
        <v>123</v>
      </c>
      <c r="R92" s="2572" t="s">
        <v>169</v>
      </c>
      <c r="S92" s="2108" t="s">
        <v>65</v>
      </c>
      <c r="T92" s="2109"/>
      <c r="U92" s="2109" t="s">
        <v>123</v>
      </c>
      <c r="V92" s="2572" t="s">
        <v>170</v>
      </c>
      <c r="W92" s="2502"/>
      <c r="X92" s="1268"/>
      <c r="Y92" s="1268"/>
      <c r="Z92" s="1268" t="s">
        <v>102</v>
      </c>
      <c r="AA92" s="1268"/>
      <c r="AB92" s="1268" t="s">
        <v>171</v>
      </c>
      <c r="AC92" s="1268" t="s">
        <v>272</v>
      </c>
      <c r="AD92" s="1268" t="s">
        <v>273</v>
      </c>
      <c r="AE92" s="1268" t="s">
        <v>274</v>
      </c>
      <c r="AF92" s="1268" t="s">
        <v>275</v>
      </c>
      <c r="AG92" s="1268" t="s">
        <v>276</v>
      </c>
      <c r="AH92" s="1268" t="str">
        <f>IF($E$92=0,"",$E$92)</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AI92" s="1268" t="str">
        <f>IF($G$92=0,"",$G$92)</f>
        <v>Производство тепловой энергии. Комбинированная выработка с уст. мощностью производства электрической энергии 25 МВт и более; Передача. Тепловая энергия; Сбыт. Тепловая энергия</v>
      </c>
      <c r="AJ92" s="1268" t="str">
        <f>IF($J$92=0,"",$J$92)</f>
        <v>Тарифы на горячую воду в открытых системах теплоснабжения (горячее водоснабжение), поставляемую группе потребителей "население". Муниципальный округ город Апатиты с подведомственной территорией Мурманской области.</v>
      </c>
      <c r="AK92" s="1268" t="str">
        <f>IF($K$92="нет","без дифференциации",IF($N$92=0,"",$N$92))</f>
        <v>Территория 1</v>
      </c>
      <c r="AL92" s="1268" t="str">
        <f>IF($O$92="нет","без дифференциации",IF($R$92=0,"",$R$92))</f>
        <v>открытая система теплоснабжения г. Апатиты</v>
      </c>
      <c r="AM92" s="1268" t="str">
        <f>IF($S$92="нет","без дифференциации",IF($V$92=0,"",$V$92))</f>
        <v>Апатитская ТЭЦ</v>
      </c>
      <c r="AN92" s="1773">
        <f>$I$92</f>
        <v>1</v>
      </c>
      <c r="AO92" s="1268" t="str">
        <f>$I$92&amp;"."&amp;$M$92</f>
        <v>1.1</v>
      </c>
      <c r="AP92" s="1260" t="str">
        <f>$I$92&amp;"."&amp;$M$92&amp;"."&amp;$Q$92</f>
        <v>1.1.1</v>
      </c>
      <c r="AQ92" s="1260" t="str">
        <f>$I$92&amp;"."&amp;$M$92&amp;"."&amp;$Q$92&amp;"."&amp;$U$92</f>
        <v>1.1.1.1</v>
      </c>
      <c r="AR92" s="1284">
        <v>0</v>
      </c>
    </row>
    <row s="1854" customFormat="1" customHeight="1" ht="17.25">
      <c r="A93" s="322"/>
      <c r="C93" s="321"/>
      <c r="D93" s="2136"/>
      <c r="E93" s="2144"/>
      <c r="F93" s="2147"/>
      <c r="G93" s="2633"/>
      <c r="H93" s="2554"/>
      <c r="I93" s="2554"/>
      <c r="J93" s="2502"/>
      <c r="K93" s="2187"/>
      <c r="L93" s="2109"/>
      <c r="M93" s="2109"/>
      <c r="N93" s="2505"/>
      <c r="O93" s="2187"/>
      <c r="P93" s="2109"/>
      <c r="Q93" s="2109"/>
      <c r="R93" s="2572"/>
      <c r="S93" s="2108"/>
      <c r="T93" s="2757"/>
      <c r="U93" s="2758"/>
      <c r="V93" s="2759" t="s">
        <v>177</v>
      </c>
      <c r="W93" s="2760"/>
      <c r="X93" s="1260"/>
      <c r="Y93" s="1260"/>
      <c r="Z93" s="1260"/>
      <c r="AA93" s="1260"/>
      <c r="AB93" s="1260"/>
      <c r="AC93" s="1260"/>
      <c r="AD93" s="1260"/>
      <c r="AE93" s="1260"/>
      <c r="AF93" s="1260"/>
      <c r="AG93" s="1260"/>
      <c r="AH93" s="1260"/>
      <c r="AI93" s="1260"/>
      <c r="AJ93" s="1260"/>
      <c r="AK93" s="1260"/>
      <c r="AL93" s="1260"/>
      <c r="AM93" s="1260"/>
      <c r="AN93" s="1260"/>
      <c r="AO93" s="1260"/>
      <c r="AP93" s="1260"/>
      <c r="AQ93" s="1260"/>
      <c r="AR93" s="1284">
        <v>0</v>
      </c>
    </row>
    <row s="1854" customFormat="1" customHeight="1" ht="17.25">
      <c r="A94" s="322"/>
      <c r="C94" s="321"/>
      <c r="D94" s="2137"/>
      <c r="E94" s="2145"/>
      <c r="F94" s="2147"/>
      <c r="G94" s="2660"/>
      <c r="H94" s="2504"/>
      <c r="I94" s="2504"/>
      <c r="J94" s="2534"/>
      <c r="K94" s="2187"/>
      <c r="L94" s="2504"/>
      <c r="M94" s="2504"/>
      <c r="N94" s="2506"/>
      <c r="O94" s="2113"/>
      <c r="P94" s="2761"/>
      <c r="Q94" s="2762"/>
      <c r="R94" s="2763" t="s">
        <v>178</v>
      </c>
      <c r="S94" s="2764"/>
      <c r="T94" s="2765"/>
      <c r="U94" s="2766"/>
      <c r="V94" s="2767"/>
      <c r="W94" s="2768"/>
      <c r="X94" s="1260"/>
      <c r="Y94" s="1260"/>
      <c r="Z94" s="1260"/>
      <c r="AA94" s="1260"/>
      <c r="AB94" s="1260"/>
      <c r="AC94" s="1260"/>
      <c r="AD94" s="1260"/>
      <c r="AE94" s="1260"/>
      <c r="AF94" s="1260"/>
      <c r="AG94" s="1260"/>
      <c r="AH94" s="1260"/>
      <c r="AI94" s="1260"/>
      <c r="AJ94" s="1260"/>
      <c r="AK94" s="1260"/>
      <c r="AL94" s="1260"/>
      <c r="AM94" s="1260"/>
      <c r="AN94" s="1260"/>
      <c r="AO94" s="1260"/>
      <c r="AP94" s="1260"/>
      <c r="AQ94" s="1260"/>
      <c r="AR94" s="1284">
        <v>0</v>
      </c>
    </row>
    <row s="1854" customFormat="1" customHeight="1" ht="17.25">
      <c r="A95" s="322"/>
      <c r="C95" s="321"/>
      <c r="D95" s="2137"/>
      <c r="E95" s="2145"/>
      <c r="F95" s="2147"/>
      <c r="G95" s="2660"/>
      <c r="H95" s="2504"/>
      <c r="I95" s="2504"/>
      <c r="J95" s="2534"/>
      <c r="K95" s="2113"/>
      <c r="L95" s="2769"/>
      <c r="M95" s="2770"/>
      <c r="N95" s="2771" t="s">
        <v>183</v>
      </c>
      <c r="O95" s="2772"/>
      <c r="P95" s="2773"/>
      <c r="Q95" s="2774"/>
      <c r="R95" s="2775"/>
      <c r="S95" s="2776"/>
      <c r="T95" s="2777"/>
      <c r="U95" s="2778"/>
      <c r="V95" s="2779"/>
      <c r="W95" s="2780"/>
      <c r="X95" s="1260"/>
      <c r="Y95" s="1260"/>
      <c r="Z95" s="1260"/>
      <c r="AA95" s="1260"/>
      <c r="AB95" s="1260"/>
      <c r="AC95" s="1260"/>
      <c r="AD95" s="1260"/>
      <c r="AE95" s="1260"/>
      <c r="AF95" s="1260"/>
      <c r="AG95" s="1260"/>
      <c r="AH95" s="1260"/>
      <c r="AI95" s="1260"/>
      <c r="AJ95" s="1260"/>
      <c r="AK95" s="1260"/>
      <c r="AL95" s="1260"/>
      <c r="AM95" s="1260"/>
      <c r="AN95" s="1260"/>
      <c r="AO95" s="1260"/>
      <c r="AP95" s="1260"/>
      <c r="AQ95" s="1260"/>
      <c r="AR95" s="1284">
        <v>0</v>
      </c>
    </row>
    <row customHeight="1" ht="17.25">
      <c r="A96" s="1841"/>
      <c r="B96" s="1854"/>
      <c r="C96" s="1843"/>
      <c r="D96" s="1831"/>
      <c r="E96" s="1848"/>
      <c r="F96" s="1785"/>
      <c r="G96" s="1849"/>
      <c r="H96" s="2530" t="s">
        <v>108</v>
      </c>
      <c r="I96" s="2530" t="s">
        <v>107</v>
      </c>
      <c r="J96" s="2502" t="s">
        <v>277</v>
      </c>
      <c r="K96" s="2186" t="s">
        <v>65</v>
      </c>
      <c r="L96" s="2109"/>
      <c r="M96" s="2109" t="s">
        <v>123</v>
      </c>
      <c r="N96" s="2505" t="str">
        <f>IF(Z96="","",INDEX(TERRITORY_MR_LIST,MATCH(Z96,TERRITORY_LIST_ID,0)))</f>
        <v>Территория 2</v>
      </c>
      <c r="O96" s="2186" t="s">
        <v>65</v>
      </c>
      <c r="P96" s="2109"/>
      <c r="Q96" s="2109" t="s">
        <v>123</v>
      </c>
      <c r="R96" s="2503" t="s">
        <v>179</v>
      </c>
      <c r="S96" s="2108" t="s">
        <v>65</v>
      </c>
      <c r="T96" s="1812"/>
      <c r="U96" s="1812" t="s">
        <v>123</v>
      </c>
      <c r="V96" s="1844" t="s">
        <v>170</v>
      </c>
      <c r="W96" s="1802"/>
      <c r="X96" s="1854"/>
      <c r="Y96" s="1268"/>
      <c r="Z96" s="1268" t="s">
        <v>109</v>
      </c>
      <c r="AA96" s="1268"/>
      <c r="AB96" s="1268"/>
      <c r="AC96" s="1975" t="s">
        <v>272</v>
      </c>
      <c r="AD96" s="1268" t="s">
        <v>278</v>
      </c>
      <c r="AE96" s="1268" t="s">
        <v>279</v>
      </c>
      <c r="AF96" s="1268" t="s">
        <v>280</v>
      </c>
      <c r="AG96" s="1268" t="s">
        <v>281</v>
      </c>
      <c r="AH96" s="1268" t="str">
        <f>IF($E$92=0,"",$E$92)</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AI96" s="1268" t="str">
        <f>IF($G$92=0,"",$G$92)</f>
        <v>Производство тепловой энергии. Комбинированная выработка с уст. мощностью производства электрической энергии 25 МВт и более; Передача. Тепловая энергия; Сбыт. Тепловая энергия</v>
      </c>
      <c r="AJ96" s="1268" t="str">
        <f>IF($J$96=0,"",$J$96)</f>
        <v>Тарифы на горячую воду в открытых системах теплоснабжения (горячее водоснабжение), поставляемую группе потребителей "население". Муниципальный округ город Кировск с подведомственной территорией Мурманской области.</v>
      </c>
      <c r="AK96" s="1268" t="str">
        <f>IF($K$96="нет","без дифференциации",IF($N$96=0,"",$N$96))</f>
        <v>Территория 2</v>
      </c>
      <c r="AL96" s="1845" t="str">
        <f>IF($O$96="нет","без дифференциации",IF($R$96=0,"",$R$96))</f>
        <v>открытая система теплоснабжения г. Кировск</v>
      </c>
      <c r="AM96" s="1845" t="str">
        <f>IF($S$96="нет","без дифференциации",IF($V$96=0,"",$V$96))</f>
        <v>Апатитская ТЭЦ</v>
      </c>
      <c r="AN96" s="1268" t="str">
        <f>$I$96</f>
        <v>2</v>
      </c>
      <c r="AO96" s="1268" t="str">
        <f>$I$96&amp;"."&amp;$M$96</f>
        <v>2.1</v>
      </c>
      <c r="AP96" s="1268" t="str">
        <f>$I$96&amp;"."&amp;$M$96&amp;"."&amp;$Q$96</f>
        <v>2.1.1</v>
      </c>
      <c r="AQ96" s="1268" t="str">
        <f>$I$96&amp;"."&amp;$M$96&amp;"."&amp;$Q$96&amp;"."&amp;$U$96</f>
        <v>2.1.1.1</v>
      </c>
      <c r="AR96" s="1854"/>
    </row>
    <row customHeight="1" ht="17.25">
      <c r="A97" s="1841"/>
      <c r="B97" s="1854"/>
      <c r="C97" s="1846"/>
      <c r="D97" s="1831"/>
      <c r="E97" s="1848"/>
      <c r="F97" s="1785"/>
      <c r="G97" s="1849"/>
      <c r="H97" s="2530"/>
      <c r="I97" s="2530"/>
      <c r="J97" s="2502"/>
      <c r="K97" s="2187"/>
      <c r="L97" s="2109"/>
      <c r="M97" s="2109"/>
      <c r="N97" s="2505"/>
      <c r="O97" s="2187"/>
      <c r="P97" s="2109"/>
      <c r="Q97" s="2109"/>
      <c r="R97" s="2503"/>
      <c r="S97" s="2108"/>
      <c r="T97" s="318"/>
      <c r="U97" s="319"/>
      <c r="V97" s="319" t="s">
        <v>177</v>
      </c>
      <c r="W97" s="320"/>
      <c r="X97" s="1854"/>
      <c r="Y97" s="1260"/>
      <c r="Z97" s="1260"/>
      <c r="AA97" s="1260"/>
      <c r="AB97" s="1260"/>
      <c r="AC97" s="1260"/>
      <c r="AD97" s="1260"/>
      <c r="AE97" s="1260"/>
      <c r="AF97" s="1260"/>
      <c r="AG97" s="1260"/>
      <c r="AH97" s="1260"/>
      <c r="AI97" s="1260"/>
      <c r="AJ97" s="1260"/>
      <c r="AK97" s="1260"/>
      <c r="AL97" s="1854"/>
      <c r="AM97" s="1854"/>
      <c r="AN97" s="1854"/>
      <c r="AO97" s="1854"/>
      <c r="AP97" s="1854"/>
      <c r="AQ97" s="1854"/>
      <c r="AR97" s="1854"/>
    </row>
    <row customHeight="1" ht="17.25">
      <c r="A98" s="1841"/>
      <c r="B98" s="1854"/>
      <c r="C98" s="1846"/>
      <c r="D98" s="1831"/>
      <c r="E98" s="1848"/>
      <c r="F98" s="1785"/>
      <c r="G98" s="1849"/>
      <c r="H98" s="2504"/>
      <c r="I98" s="2504"/>
      <c r="J98" s="2534"/>
      <c r="K98" s="2187"/>
      <c r="L98" s="2504"/>
      <c r="M98" s="2504"/>
      <c r="N98" s="2506"/>
      <c r="O98" s="2113"/>
      <c r="P98" s="318"/>
      <c r="Q98" s="319"/>
      <c r="R98" s="319" t="s">
        <v>178</v>
      </c>
      <c r="S98" s="1847"/>
      <c r="T98" s="1847"/>
      <c r="U98" s="1847"/>
      <c r="V98" s="1847"/>
      <c r="W98" s="320"/>
      <c r="X98" s="1854"/>
      <c r="Y98" s="1260"/>
      <c r="Z98" s="1260"/>
      <c r="AA98" s="1260"/>
      <c r="AB98" s="1260"/>
      <c r="AC98" s="1260"/>
      <c r="AD98" s="1260"/>
      <c r="AE98" s="1260"/>
      <c r="AF98" s="1260"/>
      <c r="AG98" s="1260"/>
      <c r="AH98" s="1260"/>
      <c r="AI98" s="1260"/>
      <c r="AJ98" s="1260"/>
      <c r="AK98" s="1260"/>
      <c r="AL98" s="1854"/>
      <c r="AM98" s="1854"/>
      <c r="AN98" s="1854"/>
      <c r="AO98" s="1854"/>
      <c r="AP98" s="1854"/>
      <c r="AQ98" s="1854"/>
      <c r="AR98" s="1854"/>
    </row>
    <row customHeight="1" ht="17.25">
      <c r="A99" s="1841"/>
      <c r="B99" s="1854"/>
      <c r="C99" s="1846"/>
      <c r="D99" s="1831"/>
      <c r="E99" s="1848"/>
      <c r="F99" s="1785"/>
      <c r="G99" s="1849"/>
      <c r="H99" s="2504"/>
      <c r="I99" s="2504"/>
      <c r="J99" s="2534"/>
      <c r="K99" s="2113"/>
      <c r="L99" s="318"/>
      <c r="M99" s="319"/>
      <c r="N99" s="319" t="s">
        <v>183</v>
      </c>
      <c r="O99" s="319"/>
      <c r="P99" s="319"/>
      <c r="Q99" s="319"/>
      <c r="R99" s="319"/>
      <c r="S99" s="1847"/>
      <c r="T99" s="1847"/>
      <c r="U99" s="1847"/>
      <c r="V99" s="1847"/>
      <c r="W99" s="320"/>
      <c r="X99" s="1854"/>
      <c r="Y99" s="1260"/>
      <c r="Z99" s="1260"/>
      <c r="AA99" s="1260"/>
      <c r="AB99" s="1260"/>
      <c r="AC99" s="1260"/>
      <c r="AD99" s="1260"/>
      <c r="AE99" s="1260"/>
      <c r="AF99" s="1260"/>
      <c r="AG99" s="1260"/>
      <c r="AH99" s="1260"/>
      <c r="AI99" s="1260"/>
      <c r="AJ99" s="1260"/>
      <c r="AK99" s="1260"/>
      <c r="AL99" s="1854"/>
      <c r="AM99" s="1854"/>
      <c r="AN99" s="1854"/>
      <c r="AO99" s="1854"/>
      <c r="AP99" s="1854"/>
      <c r="AQ99" s="1854"/>
      <c r="AR99" s="1854"/>
    </row>
    <row customHeight="1" ht="17.25">
      <c r="A100" s="1841"/>
      <c r="B100" s="1854"/>
      <c r="C100" s="1843"/>
      <c r="D100" s="1831"/>
      <c r="E100" s="1848"/>
      <c r="F100" s="1785"/>
      <c r="G100" s="1849"/>
      <c r="H100" s="2530" t="s">
        <v>108</v>
      </c>
      <c r="I100" s="2530" t="s">
        <v>94</v>
      </c>
      <c r="J100" s="2502" t="s">
        <v>282</v>
      </c>
      <c r="K100" s="2186" t="s">
        <v>65</v>
      </c>
      <c r="L100" s="2109"/>
      <c r="M100" s="2109" t="s">
        <v>123</v>
      </c>
      <c r="N100" s="2505" t="str">
        <f>IF(Z100="","",INDEX(TERRITORY_MR_LIST,MATCH(Z100,TERRITORY_LIST_ID,0)))</f>
        <v>Территория 1</v>
      </c>
      <c r="O100" s="2186" t="s">
        <v>65</v>
      </c>
      <c r="P100" s="2109"/>
      <c r="Q100" s="2109" t="s">
        <v>123</v>
      </c>
      <c r="R100" s="2503" t="s">
        <v>169</v>
      </c>
      <c r="S100" s="2108" t="s">
        <v>65</v>
      </c>
      <c r="T100" s="1812"/>
      <c r="U100" s="1812" t="s">
        <v>123</v>
      </c>
      <c r="V100" s="1844" t="s">
        <v>170</v>
      </c>
      <c r="W100" s="1802"/>
      <c r="X100" s="1854"/>
      <c r="Y100" s="1268"/>
      <c r="Z100" s="1268" t="s">
        <v>102</v>
      </c>
      <c r="AA100" s="1268"/>
      <c r="AB100" s="1268"/>
      <c r="AC100" s="1975" t="s">
        <v>272</v>
      </c>
      <c r="AD100" s="1268" t="s">
        <v>283</v>
      </c>
      <c r="AE100" s="1268" t="s">
        <v>284</v>
      </c>
      <c r="AF100" s="1268" t="s">
        <v>285</v>
      </c>
      <c r="AG100" s="1268" t="s">
        <v>286</v>
      </c>
      <c r="AH100" s="1268" t="str">
        <f>IF($E$92=0,"",$E$92)</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AI100" s="1268" t="str">
        <f>IF($G$92=0,"",$G$92)</f>
        <v>Производство тепловой энергии. Комбинированная выработка с уст. мощностью производства электрической энергии 25 МВт и более; Передача. Тепловая энергия; Сбыт. Тепловая энергия</v>
      </c>
      <c r="AJ100" s="1268" t="str">
        <f>IF($J$100=0,"",$J$100)</f>
        <v>Тарифы на горячую воду в открытых системах теплоснабжения (горячее водоснабжение), поставляемую потребителям. Муниципальный округ город Апатиты с подведомственной территорией Мурманской области. Для потребителей на коллекторах источника тепловой энергии Апатитская ТЭЦ</v>
      </c>
      <c r="AK100" s="1268" t="str">
        <f>IF($K$100="нет","без дифференциации",IF($N$100=0,"",$N$100))</f>
        <v>Территория 1</v>
      </c>
      <c r="AL100" s="1845" t="str">
        <f>IF($O$100="нет","без дифференциации",IF($R$100=0,"",$R$100))</f>
        <v>открытая система теплоснабжения г. Апатиты</v>
      </c>
      <c r="AM100" s="1845" t="str">
        <f>IF($S$100="нет","без дифференциации",IF($V$100=0,"",$V$100))</f>
        <v>Апатитская ТЭЦ</v>
      </c>
      <c r="AN100" s="1268" t="str">
        <f>$I$100</f>
        <v>3</v>
      </c>
      <c r="AO100" s="1268" t="str">
        <f>$I$100&amp;"."&amp;$M$100</f>
        <v>3.1</v>
      </c>
      <c r="AP100" s="1268" t="str">
        <f>$I$100&amp;"."&amp;$M$100&amp;"."&amp;$Q$100</f>
        <v>3.1.1</v>
      </c>
      <c r="AQ100" s="1268" t="str">
        <f>$I$100&amp;"."&amp;$M$100&amp;"."&amp;$Q$100&amp;"."&amp;$U$100</f>
        <v>3.1.1.1</v>
      </c>
      <c r="AR100" s="1854"/>
    </row>
    <row customHeight="1" ht="17.25">
      <c r="A101" s="1841"/>
      <c r="B101" s="1854"/>
      <c r="C101" s="1846"/>
      <c r="D101" s="1831"/>
      <c r="E101" s="1848"/>
      <c r="F101" s="1785"/>
      <c r="G101" s="1849"/>
      <c r="H101" s="2530"/>
      <c r="I101" s="2530"/>
      <c r="J101" s="2502"/>
      <c r="K101" s="2187"/>
      <c r="L101" s="2109"/>
      <c r="M101" s="2109"/>
      <c r="N101" s="2505"/>
      <c r="O101" s="2187"/>
      <c r="P101" s="2109"/>
      <c r="Q101" s="2109"/>
      <c r="R101" s="2503"/>
      <c r="S101" s="2108"/>
      <c r="T101" s="318"/>
      <c r="U101" s="319"/>
      <c r="V101" s="319" t="s">
        <v>177</v>
      </c>
      <c r="W101" s="320"/>
      <c r="X101" s="1854"/>
      <c r="Y101" s="1260"/>
      <c r="Z101" s="1260"/>
      <c r="AA101" s="1260"/>
      <c r="AB101" s="1260"/>
      <c r="AC101" s="1260"/>
      <c r="AD101" s="1260"/>
      <c r="AE101" s="1260"/>
      <c r="AF101" s="1260"/>
      <c r="AG101" s="1260"/>
      <c r="AH101" s="1260"/>
      <c r="AI101" s="1260"/>
      <c r="AJ101" s="1260"/>
      <c r="AK101" s="1260"/>
      <c r="AL101" s="1854"/>
      <c r="AM101" s="1854"/>
      <c r="AN101" s="1854"/>
      <c r="AO101" s="1854"/>
      <c r="AP101" s="1854"/>
      <c r="AQ101" s="1854"/>
      <c r="AR101" s="1854"/>
    </row>
    <row customHeight="1" ht="17.25">
      <c r="A102" s="1841"/>
      <c r="B102" s="1854"/>
      <c r="C102" s="1846"/>
      <c r="D102" s="1831"/>
      <c r="E102" s="1848"/>
      <c r="F102" s="1785"/>
      <c r="G102" s="1849"/>
      <c r="H102" s="2504"/>
      <c r="I102" s="2504"/>
      <c r="J102" s="2534"/>
      <c r="K102" s="2187"/>
      <c r="L102" s="2504"/>
      <c r="M102" s="2504"/>
      <c r="N102" s="2506"/>
      <c r="O102" s="2113"/>
      <c r="P102" s="318"/>
      <c r="Q102" s="319"/>
      <c r="R102" s="319" t="s">
        <v>178</v>
      </c>
      <c r="S102" s="1847"/>
      <c r="T102" s="1847"/>
      <c r="U102" s="1847"/>
      <c r="V102" s="1847"/>
      <c r="W102" s="320"/>
      <c r="X102" s="1854"/>
      <c r="Y102" s="1260"/>
      <c r="Z102" s="1260"/>
      <c r="AA102" s="1260"/>
      <c r="AB102" s="1260"/>
      <c r="AC102" s="1260"/>
      <c r="AD102" s="1260"/>
      <c r="AE102" s="1260"/>
      <c r="AF102" s="1260"/>
      <c r="AG102" s="1260"/>
      <c r="AH102" s="1260"/>
      <c r="AI102" s="1260"/>
      <c r="AJ102" s="1260"/>
      <c r="AK102" s="1260"/>
      <c r="AL102" s="1854"/>
      <c r="AM102" s="1854"/>
      <c r="AN102" s="1854"/>
      <c r="AO102" s="1854"/>
      <c r="AP102" s="1854"/>
      <c r="AQ102" s="1854"/>
      <c r="AR102" s="1854"/>
    </row>
    <row customHeight="1" ht="17.25">
      <c r="A103" s="1841"/>
      <c r="B103" s="1854"/>
      <c r="C103" s="1846"/>
      <c r="D103" s="1831"/>
      <c r="E103" s="1848"/>
      <c r="F103" s="1785"/>
      <c r="G103" s="1849"/>
      <c r="H103" s="2504"/>
      <c r="I103" s="2504"/>
      <c r="J103" s="2534"/>
      <c r="K103" s="2113"/>
      <c r="L103" s="318"/>
      <c r="M103" s="319"/>
      <c r="N103" s="319" t="s">
        <v>183</v>
      </c>
      <c r="O103" s="319"/>
      <c r="P103" s="319"/>
      <c r="Q103" s="319"/>
      <c r="R103" s="319"/>
      <c r="S103" s="1847"/>
      <c r="T103" s="1847"/>
      <c r="U103" s="1847"/>
      <c r="V103" s="1847"/>
      <c r="W103" s="320"/>
      <c r="X103" s="1854"/>
      <c r="Y103" s="1260"/>
      <c r="Z103" s="1260"/>
      <c r="AA103" s="1260"/>
      <c r="AB103" s="1260"/>
      <c r="AC103" s="1260"/>
      <c r="AD103" s="1260"/>
      <c r="AE103" s="1260"/>
      <c r="AF103" s="1260"/>
      <c r="AG103" s="1260"/>
      <c r="AH103" s="1260"/>
      <c r="AI103" s="1260"/>
      <c r="AJ103" s="1260"/>
      <c r="AK103" s="1260"/>
      <c r="AL103" s="1854"/>
      <c r="AM103" s="1854"/>
      <c r="AN103" s="1854"/>
      <c r="AO103" s="1854"/>
      <c r="AP103" s="1854"/>
      <c r="AQ103" s="1854"/>
      <c r="AR103" s="1854"/>
    </row>
    <row customHeight="1" ht="17.25">
      <c r="A104" s="1841"/>
      <c r="B104" s="1854"/>
      <c r="C104" s="1843"/>
      <c r="D104" s="1831"/>
      <c r="E104" s="1848"/>
      <c r="F104" s="1785"/>
      <c r="G104" s="1849"/>
      <c r="H104" s="2530" t="s">
        <v>108</v>
      </c>
      <c r="I104" s="2530" t="s">
        <v>95</v>
      </c>
      <c r="J104" s="2502" t="s">
        <v>287</v>
      </c>
      <c r="K104" s="2186" t="s">
        <v>65</v>
      </c>
      <c r="L104" s="2109"/>
      <c r="M104" s="2109" t="s">
        <v>123</v>
      </c>
      <c r="N104" s="2505" t="str">
        <f>IF(Z104="","",INDEX(TERRITORY_MR_LIST,MATCH(Z104,TERRITORY_LIST_ID,0)))</f>
        <v>Территория 1</v>
      </c>
      <c r="O104" s="2186" t="s">
        <v>65</v>
      </c>
      <c r="P104" s="2109"/>
      <c r="Q104" s="2109" t="s">
        <v>123</v>
      </c>
      <c r="R104" s="2503" t="s">
        <v>169</v>
      </c>
      <c r="S104" s="2108" t="s">
        <v>65</v>
      </c>
      <c r="T104" s="1812"/>
      <c r="U104" s="1812" t="s">
        <v>123</v>
      </c>
      <c r="V104" s="1844" t="s">
        <v>170</v>
      </c>
      <c r="W104" s="1802"/>
      <c r="X104" s="1854"/>
      <c r="Y104" s="1268"/>
      <c r="Z104" s="1268" t="s">
        <v>102</v>
      </c>
      <c r="AA104" s="1268"/>
      <c r="AB104" s="1268"/>
      <c r="AC104" s="1975" t="s">
        <v>272</v>
      </c>
      <c r="AD104" s="1268" t="s">
        <v>288</v>
      </c>
      <c r="AE104" s="1268" t="s">
        <v>289</v>
      </c>
      <c r="AF104" s="1268" t="s">
        <v>290</v>
      </c>
      <c r="AG104" s="1268" t="s">
        <v>291</v>
      </c>
      <c r="AH104" s="1268" t="str">
        <f>IF($E$92=0,"",$E$92)</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AI104" s="1268" t="str">
        <f>IF($G$92=0,"",$G$92)</f>
        <v>Производство тепловой энергии. Комбинированная выработка с уст. мощностью производства электрической энергии 25 МВт и более; Передача. Тепловая энергия; Сбыт. Тепловая энергия</v>
      </c>
      <c r="AJ104" s="1268" t="str">
        <f>IF($J$104=0,"",$J$104)</f>
        <v>Тарифы на горячую воду в открытых системах теплоснабжения (горячее водоснабжение), поставляемую потребителям. Муниципальный округ город Апатиты с подведомственной территорией Мурманской области. Для потребителей, подключенных к тепловым сетям ПАО "ТГК-1"</v>
      </c>
      <c r="AK104" s="1268" t="str">
        <f>IF($K$104="нет","без дифференциации",IF($N$104=0,"",$N$104))</f>
        <v>Территория 1</v>
      </c>
      <c r="AL104" s="1845" t="str">
        <f>IF($O$104="нет","без дифференциации",IF($R$104=0,"",$R$104))</f>
        <v>открытая система теплоснабжения г. Апатиты</v>
      </c>
      <c r="AM104" s="1845" t="str">
        <f>IF($S$104="нет","без дифференциации",IF($V$104=0,"",$V$104))</f>
        <v>Апатитская ТЭЦ</v>
      </c>
      <c r="AN104" s="1268" t="str">
        <f>$I$104</f>
        <v>4</v>
      </c>
      <c r="AO104" s="1268" t="str">
        <f>$I$104&amp;"."&amp;$M$104</f>
        <v>4.1</v>
      </c>
      <c r="AP104" s="1268" t="str">
        <f>$I$104&amp;"."&amp;$M$104&amp;"."&amp;$Q$104</f>
        <v>4.1.1</v>
      </c>
      <c r="AQ104" s="1268" t="str">
        <f>$I$104&amp;"."&amp;$M$104&amp;"."&amp;$Q$104&amp;"."&amp;$U$104</f>
        <v>4.1.1.1</v>
      </c>
      <c r="AR104" s="1854"/>
    </row>
    <row customHeight="1" ht="17.25">
      <c r="A105" s="1841"/>
      <c r="B105" s="1854"/>
      <c r="C105" s="1846"/>
      <c r="D105" s="1831"/>
      <c r="E105" s="1848"/>
      <c r="F105" s="1785"/>
      <c r="G105" s="1849"/>
      <c r="H105" s="2530"/>
      <c r="I105" s="2530"/>
      <c r="J105" s="2502"/>
      <c r="K105" s="2187"/>
      <c r="L105" s="2109"/>
      <c r="M105" s="2109"/>
      <c r="N105" s="2505"/>
      <c r="O105" s="2187"/>
      <c r="P105" s="2109"/>
      <c r="Q105" s="2109"/>
      <c r="R105" s="2503"/>
      <c r="S105" s="2108"/>
      <c r="T105" s="318"/>
      <c r="U105" s="319"/>
      <c r="V105" s="319" t="s">
        <v>177</v>
      </c>
      <c r="W105" s="320"/>
      <c r="X105" s="1854"/>
      <c r="Y105" s="1260"/>
      <c r="Z105" s="1260"/>
      <c r="AA105" s="1260"/>
      <c r="AB105" s="1260"/>
      <c r="AC105" s="1260"/>
      <c r="AD105" s="1260"/>
      <c r="AE105" s="1260"/>
      <c r="AF105" s="1260"/>
      <c r="AG105" s="1260"/>
      <c r="AH105" s="1260"/>
      <c r="AI105" s="1260"/>
      <c r="AJ105" s="1260"/>
      <c r="AK105" s="1260"/>
      <c r="AL105" s="1854"/>
      <c r="AM105" s="1854"/>
      <c r="AN105" s="1854"/>
      <c r="AO105" s="1854"/>
      <c r="AP105" s="1854"/>
      <c r="AQ105" s="1854"/>
      <c r="AR105" s="1854"/>
    </row>
    <row customHeight="1" ht="17.25">
      <c r="A106" s="1841"/>
      <c r="B106" s="1854"/>
      <c r="C106" s="1846"/>
      <c r="D106" s="1831"/>
      <c r="E106" s="1848"/>
      <c r="F106" s="1785"/>
      <c r="G106" s="1849"/>
      <c r="H106" s="2504"/>
      <c r="I106" s="2504"/>
      <c r="J106" s="2534"/>
      <c r="K106" s="2187"/>
      <c r="L106" s="2504"/>
      <c r="M106" s="2504"/>
      <c r="N106" s="2506"/>
      <c r="O106" s="2113"/>
      <c r="P106" s="318"/>
      <c r="Q106" s="319"/>
      <c r="R106" s="319" t="s">
        <v>178</v>
      </c>
      <c r="S106" s="1847"/>
      <c r="T106" s="1847"/>
      <c r="U106" s="1847"/>
      <c r="V106" s="1847"/>
      <c r="W106" s="320"/>
      <c r="X106" s="1854"/>
      <c r="Y106" s="1260"/>
      <c r="Z106" s="1260"/>
      <c r="AA106" s="1260"/>
      <c r="AB106" s="1260"/>
      <c r="AC106" s="1260"/>
      <c r="AD106" s="1260"/>
      <c r="AE106" s="1260"/>
      <c r="AF106" s="1260"/>
      <c r="AG106" s="1260"/>
      <c r="AH106" s="1260"/>
      <c r="AI106" s="1260"/>
      <c r="AJ106" s="1260"/>
      <c r="AK106" s="1260"/>
      <c r="AL106" s="1854"/>
      <c r="AM106" s="1854"/>
      <c r="AN106" s="1854"/>
      <c r="AO106" s="1854"/>
      <c r="AP106" s="1854"/>
      <c r="AQ106" s="1854"/>
      <c r="AR106" s="1854"/>
    </row>
    <row customHeight="1" ht="17.25">
      <c r="A107" s="1841"/>
      <c r="B107" s="1854"/>
      <c r="C107" s="1846"/>
      <c r="D107" s="1831"/>
      <c r="E107" s="1848"/>
      <c r="F107" s="1785"/>
      <c r="G107" s="1849"/>
      <c r="H107" s="2504"/>
      <c r="I107" s="2504"/>
      <c r="J107" s="2534"/>
      <c r="K107" s="2113"/>
      <c r="L107" s="318"/>
      <c r="M107" s="319"/>
      <c r="N107" s="319" t="s">
        <v>183</v>
      </c>
      <c r="O107" s="319"/>
      <c r="P107" s="319"/>
      <c r="Q107" s="319"/>
      <c r="R107" s="319"/>
      <c r="S107" s="1847"/>
      <c r="T107" s="1847"/>
      <c r="U107" s="1847"/>
      <c r="V107" s="1847"/>
      <c r="W107" s="320"/>
      <c r="X107" s="1854"/>
      <c r="Y107" s="1260"/>
      <c r="Z107" s="1260"/>
      <c r="AA107" s="1260"/>
      <c r="AB107" s="1260"/>
      <c r="AC107" s="1260"/>
      <c r="AD107" s="1260"/>
      <c r="AE107" s="1260"/>
      <c r="AF107" s="1260"/>
      <c r="AG107" s="1260"/>
      <c r="AH107" s="1260"/>
      <c r="AI107" s="1260"/>
      <c r="AJ107" s="1260"/>
      <c r="AK107" s="1260"/>
      <c r="AL107" s="1854"/>
      <c r="AM107" s="1854"/>
      <c r="AN107" s="1854"/>
      <c r="AO107" s="1854"/>
      <c r="AP107" s="1854"/>
      <c r="AQ107" s="1854"/>
      <c r="AR107" s="1854"/>
    </row>
    <row customHeight="1" ht="17.25">
      <c r="A108" s="1841"/>
      <c r="B108" s="1854"/>
      <c r="C108" s="1843"/>
      <c r="D108" s="1831"/>
      <c r="E108" s="1848"/>
      <c r="F108" s="1785"/>
      <c r="G108" s="1849"/>
      <c r="H108" s="2530" t="s">
        <v>108</v>
      </c>
      <c r="I108" s="2530" t="s">
        <v>124</v>
      </c>
      <c r="J108" s="2502" t="s">
        <v>292</v>
      </c>
      <c r="K108" s="2186" t="s">
        <v>65</v>
      </c>
      <c r="L108" s="2109"/>
      <c r="M108" s="2109" t="s">
        <v>123</v>
      </c>
      <c r="N108" s="2505" t="str">
        <f>IF(Z108="","",INDEX(TERRITORY_MR_LIST,MATCH(Z108,TERRITORY_LIST_ID,0)))</f>
        <v>Территория 1</v>
      </c>
      <c r="O108" s="2186" t="s">
        <v>65</v>
      </c>
      <c r="P108" s="2109"/>
      <c r="Q108" s="2109" t="s">
        <v>123</v>
      </c>
      <c r="R108" s="2503" t="s">
        <v>169</v>
      </c>
      <c r="S108" s="2108" t="s">
        <v>65</v>
      </c>
      <c r="T108" s="1812"/>
      <c r="U108" s="1812" t="s">
        <v>123</v>
      </c>
      <c r="V108" s="1844" t="s">
        <v>170</v>
      </c>
      <c r="W108" s="1802"/>
      <c r="X108" s="1854"/>
      <c r="Y108" s="1268"/>
      <c r="Z108" s="1268" t="s">
        <v>102</v>
      </c>
      <c r="AA108" s="1268"/>
      <c r="AB108" s="1268"/>
      <c r="AC108" s="1975" t="s">
        <v>272</v>
      </c>
      <c r="AD108" s="1268" t="s">
        <v>293</v>
      </c>
      <c r="AE108" s="1268" t="s">
        <v>294</v>
      </c>
      <c r="AF108" s="1268" t="s">
        <v>295</v>
      </c>
      <c r="AG108" s="1268" t="s">
        <v>296</v>
      </c>
      <c r="AH108" s="1268" t="str">
        <f>IF($E$92=0,"",$E$92)</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AI108" s="1268" t="str">
        <f>IF($G$92=0,"",$G$92)</f>
        <v>Производство тепловой энергии. Комбинированная выработка с уст. мощностью производства электрической энергии 25 МВт и более; Передача. Тепловая энергия; Сбыт. Тепловая энергия</v>
      </c>
      <c r="AJ108" s="1268" t="str">
        <f>IF($J$108=0,"",$J$108)</f>
        <v>Тарифы на горячую воду в открытых системах теплоснабжения (горячее водоснабжение), поставляемую потребителям. Муниципальный округ город Апатиты с подведомственной территорией Мурманской области. Для потребителей, подключенных к тепловым сетям АО "Апатитыэнерго"</v>
      </c>
      <c r="AK108" s="1268" t="str">
        <f>IF($K$108="нет","без дифференциации",IF($N$108=0,"",$N$108))</f>
        <v>Территория 1</v>
      </c>
      <c r="AL108" s="1845" t="str">
        <f>IF($O$108="нет","без дифференциации",IF($R$108=0,"",$R$108))</f>
        <v>открытая система теплоснабжения г. Апатиты</v>
      </c>
      <c r="AM108" s="1845" t="str">
        <f>IF($S$108="нет","без дифференциации",IF($V$108=0,"",$V$108))</f>
        <v>Апатитская ТЭЦ</v>
      </c>
      <c r="AN108" s="1268" t="str">
        <f>$I$108</f>
        <v>5</v>
      </c>
      <c r="AO108" s="1268" t="str">
        <f>$I$108&amp;"."&amp;$M$108</f>
        <v>5.1</v>
      </c>
      <c r="AP108" s="1268" t="str">
        <f>$I$108&amp;"."&amp;$M$108&amp;"."&amp;$Q$108</f>
        <v>5.1.1</v>
      </c>
      <c r="AQ108" s="1268" t="str">
        <f>$I$108&amp;"."&amp;$M$108&amp;"."&amp;$Q$108&amp;"."&amp;$U$108</f>
        <v>5.1.1.1</v>
      </c>
      <c r="AR108" s="1854"/>
    </row>
    <row customHeight="1" ht="17.25">
      <c r="A109" s="1841"/>
      <c r="B109" s="1854"/>
      <c r="C109" s="1846"/>
      <c r="D109" s="1831"/>
      <c r="E109" s="1848"/>
      <c r="F109" s="1785"/>
      <c r="G109" s="1849"/>
      <c r="H109" s="2530"/>
      <c r="I109" s="2530"/>
      <c r="J109" s="2502"/>
      <c r="K109" s="2187"/>
      <c r="L109" s="2109"/>
      <c r="M109" s="2109"/>
      <c r="N109" s="2505"/>
      <c r="O109" s="2187"/>
      <c r="P109" s="2109"/>
      <c r="Q109" s="2109"/>
      <c r="R109" s="2503"/>
      <c r="S109" s="2108"/>
      <c r="T109" s="318"/>
      <c r="U109" s="319"/>
      <c r="V109" s="319" t="s">
        <v>177</v>
      </c>
      <c r="W109" s="320"/>
      <c r="X109" s="1854"/>
      <c r="Y109" s="1260"/>
      <c r="Z109" s="1260"/>
      <c r="AA109" s="1260"/>
      <c r="AB109" s="1260"/>
      <c r="AC109" s="1260"/>
      <c r="AD109" s="1260"/>
      <c r="AE109" s="1260"/>
      <c r="AF109" s="1260"/>
      <c r="AG109" s="1260"/>
      <c r="AH109" s="1260"/>
      <c r="AI109" s="1260"/>
      <c r="AJ109" s="1260"/>
      <c r="AK109" s="1260"/>
      <c r="AL109" s="1854"/>
      <c r="AM109" s="1854"/>
      <c r="AN109" s="1854"/>
      <c r="AO109" s="1854"/>
      <c r="AP109" s="1854"/>
      <c r="AQ109" s="1854"/>
      <c r="AR109" s="1854"/>
    </row>
    <row customHeight="1" ht="17.25">
      <c r="A110" s="1841"/>
      <c r="B110" s="1854"/>
      <c r="C110" s="1846"/>
      <c r="D110" s="1831"/>
      <c r="E110" s="1848"/>
      <c r="F110" s="1785"/>
      <c r="G110" s="1849"/>
      <c r="H110" s="2504"/>
      <c r="I110" s="2504"/>
      <c r="J110" s="2534"/>
      <c r="K110" s="2187"/>
      <c r="L110" s="2504"/>
      <c r="M110" s="2504"/>
      <c r="N110" s="2506"/>
      <c r="O110" s="2113"/>
      <c r="P110" s="318"/>
      <c r="Q110" s="319"/>
      <c r="R110" s="319" t="s">
        <v>178</v>
      </c>
      <c r="S110" s="1847"/>
      <c r="T110" s="1847"/>
      <c r="U110" s="1847"/>
      <c r="V110" s="1847"/>
      <c r="W110" s="320"/>
      <c r="X110" s="1854"/>
      <c r="Y110" s="1260"/>
      <c r="Z110" s="1260"/>
      <c r="AA110" s="1260"/>
      <c r="AB110" s="1260"/>
      <c r="AC110" s="1260"/>
      <c r="AD110" s="1260"/>
      <c r="AE110" s="1260"/>
      <c r="AF110" s="1260"/>
      <c r="AG110" s="1260"/>
      <c r="AH110" s="1260"/>
      <c r="AI110" s="1260"/>
      <c r="AJ110" s="1260"/>
      <c r="AK110" s="1260"/>
      <c r="AL110" s="1854"/>
      <c r="AM110" s="1854"/>
      <c r="AN110" s="1854"/>
      <c r="AO110" s="1854"/>
      <c r="AP110" s="1854"/>
      <c r="AQ110" s="1854"/>
      <c r="AR110" s="1854"/>
    </row>
    <row customHeight="1" ht="17.25">
      <c r="A111" s="1841"/>
      <c r="B111" s="1854"/>
      <c r="C111" s="1846"/>
      <c r="D111" s="1831"/>
      <c r="E111" s="1848"/>
      <c r="F111" s="1785"/>
      <c r="G111" s="1849"/>
      <c r="H111" s="2504"/>
      <c r="I111" s="2504"/>
      <c r="J111" s="2534"/>
      <c r="K111" s="2113"/>
      <c r="L111" s="318"/>
      <c r="M111" s="319"/>
      <c r="N111" s="319" t="s">
        <v>183</v>
      </c>
      <c r="O111" s="319"/>
      <c r="P111" s="319"/>
      <c r="Q111" s="319"/>
      <c r="R111" s="319"/>
      <c r="S111" s="1847"/>
      <c r="T111" s="1847"/>
      <c r="U111" s="1847"/>
      <c r="V111" s="1847"/>
      <c r="W111" s="320"/>
      <c r="X111" s="1854"/>
      <c r="Y111" s="1260"/>
      <c r="Z111" s="1260"/>
      <c r="AA111" s="1260"/>
      <c r="AB111" s="1260"/>
      <c r="AC111" s="1260"/>
      <c r="AD111" s="1260"/>
      <c r="AE111" s="1260"/>
      <c r="AF111" s="1260"/>
      <c r="AG111" s="1260"/>
      <c r="AH111" s="1260"/>
      <c r="AI111" s="1260"/>
      <c r="AJ111" s="1260"/>
      <c r="AK111" s="1260"/>
      <c r="AL111" s="1854"/>
      <c r="AM111" s="1854"/>
      <c r="AN111" s="1854"/>
      <c r="AO111" s="1854"/>
      <c r="AP111" s="1854"/>
      <c r="AQ111" s="1854"/>
      <c r="AR111" s="1854"/>
    </row>
    <row customHeight="1" ht="17.25">
      <c r="A112" s="1841"/>
      <c r="B112" s="1854"/>
      <c r="C112" s="1843"/>
      <c r="D112" s="1831"/>
      <c r="E112" s="1848"/>
      <c r="F112" s="1785"/>
      <c r="G112" s="1849"/>
      <c r="H112" s="2530" t="s">
        <v>108</v>
      </c>
      <c r="I112" s="2530" t="s">
        <v>96</v>
      </c>
      <c r="J112" s="2502" t="s">
        <v>297</v>
      </c>
      <c r="K112" s="2186" t="s">
        <v>65</v>
      </c>
      <c r="L112" s="2109"/>
      <c r="M112" s="2109" t="s">
        <v>123</v>
      </c>
      <c r="N112" s="2505" t="str">
        <f>IF(Z112="","",INDEX(TERRITORY_MR_LIST,MATCH(Z112,TERRITORY_LIST_ID,0)))</f>
        <v>Территория 2</v>
      </c>
      <c r="O112" s="2186" t="s">
        <v>65</v>
      </c>
      <c r="P112" s="2109"/>
      <c r="Q112" s="2109" t="s">
        <v>123</v>
      </c>
      <c r="R112" s="2503" t="s">
        <v>179</v>
      </c>
      <c r="S112" s="2108" t="s">
        <v>65</v>
      </c>
      <c r="T112" s="1812"/>
      <c r="U112" s="1812" t="s">
        <v>123</v>
      </c>
      <c r="V112" s="1844" t="s">
        <v>170</v>
      </c>
      <c r="W112" s="1802"/>
      <c r="X112" s="1854"/>
      <c r="Y112" s="1268"/>
      <c r="Z112" s="1268" t="s">
        <v>109</v>
      </c>
      <c r="AA112" s="1268"/>
      <c r="AB112" s="1268"/>
      <c r="AC112" s="1975" t="s">
        <v>272</v>
      </c>
      <c r="AD112" s="1268" t="s">
        <v>298</v>
      </c>
      <c r="AE112" s="1268" t="s">
        <v>299</v>
      </c>
      <c r="AF112" s="1268" t="s">
        <v>300</v>
      </c>
      <c r="AG112" s="1268" t="s">
        <v>301</v>
      </c>
      <c r="AH112" s="1268" t="str">
        <f>IF($E$92=0,"",$E$92)</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AI112" s="1268" t="str">
        <f>IF($G$92=0,"",$G$92)</f>
        <v>Производство тепловой энергии. Комбинированная выработка с уст. мощностью производства электрической энергии 25 МВт и более; Передача. Тепловая энергия; Сбыт. Тепловая энергия</v>
      </c>
      <c r="AJ112" s="1268" t="str">
        <f>IF($J$112=0,"",$J$112)</f>
        <v>Тарифы на горячую воду в открытых системах теплоснабжения (горячее водоснабжение), поставляемую потребителям. Муниципальный округ город Кировск с подведомственной территорией Мурманской области. Для потребителей в случае отсутствия дифференциации тарифов по схеме подключения</v>
      </c>
      <c r="AK112" s="1268" t="str">
        <f>IF($K$112="нет","без дифференциации",IF($N$112=0,"",$N$112))</f>
        <v>Территория 2</v>
      </c>
      <c r="AL112" s="1845" t="str">
        <f>IF($O$112="нет","без дифференциации",IF($R$112=0,"",$R$112))</f>
        <v>открытая система теплоснабжения г. Кировск</v>
      </c>
      <c r="AM112" s="1845" t="str">
        <f>IF($S$112="нет","без дифференциации",IF($V$112=0,"",$V$112))</f>
        <v>Апатитская ТЭЦ</v>
      </c>
      <c r="AN112" s="1268" t="str">
        <f>$I$112</f>
        <v>6</v>
      </c>
      <c r="AO112" s="1268" t="str">
        <f>$I$112&amp;"."&amp;$M$112</f>
        <v>6.1</v>
      </c>
      <c r="AP112" s="1268" t="str">
        <f>$I$112&amp;"."&amp;$M$112&amp;"."&amp;$Q$112</f>
        <v>6.1.1</v>
      </c>
      <c r="AQ112" s="1268" t="str">
        <f>$I$112&amp;"."&amp;$M$112&amp;"."&amp;$Q$112&amp;"."&amp;$U$112</f>
        <v>6.1.1.1</v>
      </c>
      <c r="AR112" s="1854"/>
    </row>
    <row customHeight="1" ht="17.25">
      <c r="A113" s="1841"/>
      <c r="B113" s="1854"/>
      <c r="C113" s="1846"/>
      <c r="D113" s="1831"/>
      <c r="E113" s="1848"/>
      <c r="F113" s="1785"/>
      <c r="G113" s="1849"/>
      <c r="H113" s="2530"/>
      <c r="I113" s="2530"/>
      <c r="J113" s="2502"/>
      <c r="K113" s="2187"/>
      <c r="L113" s="2109"/>
      <c r="M113" s="2109"/>
      <c r="N113" s="2505"/>
      <c r="O113" s="2187"/>
      <c r="P113" s="2109"/>
      <c r="Q113" s="2109"/>
      <c r="R113" s="2503"/>
      <c r="S113" s="2108"/>
      <c r="T113" s="318"/>
      <c r="U113" s="319"/>
      <c r="V113" s="319" t="s">
        <v>177</v>
      </c>
      <c r="W113" s="320"/>
      <c r="X113" s="1854"/>
      <c r="Y113" s="1260"/>
      <c r="Z113" s="1260"/>
      <c r="AA113" s="1260"/>
      <c r="AB113" s="1260"/>
      <c r="AC113" s="1260"/>
      <c r="AD113" s="1260"/>
      <c r="AE113" s="1260"/>
      <c r="AF113" s="1260"/>
      <c r="AG113" s="1260"/>
      <c r="AH113" s="1260"/>
      <c r="AI113" s="1260"/>
      <c r="AJ113" s="1260"/>
      <c r="AK113" s="1260"/>
      <c r="AL113" s="1854"/>
      <c r="AM113" s="1854"/>
      <c r="AN113" s="1854"/>
      <c r="AO113" s="1854"/>
      <c r="AP113" s="1854"/>
      <c r="AQ113" s="1854"/>
      <c r="AR113" s="1854"/>
    </row>
    <row customHeight="1" ht="17.25">
      <c r="A114" s="1841"/>
      <c r="B114" s="1854"/>
      <c r="C114" s="1846"/>
      <c r="D114" s="1831"/>
      <c r="E114" s="1848"/>
      <c r="F114" s="1785"/>
      <c r="G114" s="1849"/>
      <c r="H114" s="2504"/>
      <c r="I114" s="2504"/>
      <c r="J114" s="2534"/>
      <c r="K114" s="2187"/>
      <c r="L114" s="2504"/>
      <c r="M114" s="2504"/>
      <c r="N114" s="2506"/>
      <c r="O114" s="2113"/>
      <c r="P114" s="318"/>
      <c r="Q114" s="319"/>
      <c r="R114" s="319" t="s">
        <v>178</v>
      </c>
      <c r="S114" s="1847"/>
      <c r="T114" s="1847"/>
      <c r="U114" s="1847"/>
      <c r="V114" s="1847"/>
      <c r="W114" s="320"/>
      <c r="X114" s="1854"/>
      <c r="Y114" s="1260"/>
      <c r="Z114" s="1260"/>
      <c r="AA114" s="1260"/>
      <c r="AB114" s="1260"/>
      <c r="AC114" s="1260"/>
      <c r="AD114" s="1260"/>
      <c r="AE114" s="1260"/>
      <c r="AF114" s="1260"/>
      <c r="AG114" s="1260"/>
      <c r="AH114" s="1260"/>
      <c r="AI114" s="1260"/>
      <c r="AJ114" s="1260"/>
      <c r="AK114" s="1260"/>
      <c r="AL114" s="1854"/>
      <c r="AM114" s="1854"/>
      <c r="AN114" s="1854"/>
      <c r="AO114" s="1854"/>
      <c r="AP114" s="1854"/>
      <c r="AQ114" s="1854"/>
      <c r="AR114" s="1854"/>
    </row>
    <row customHeight="1" ht="17.25">
      <c r="A115" s="1841"/>
      <c r="B115" s="1854"/>
      <c r="C115" s="1846"/>
      <c r="D115" s="1831"/>
      <c r="E115" s="1848"/>
      <c r="F115" s="1785"/>
      <c r="G115" s="1849"/>
      <c r="H115" s="2504"/>
      <c r="I115" s="2504"/>
      <c r="J115" s="2534"/>
      <c r="K115" s="2113"/>
      <c r="L115" s="318"/>
      <c r="M115" s="319"/>
      <c r="N115" s="319" t="s">
        <v>183</v>
      </c>
      <c r="O115" s="319"/>
      <c r="P115" s="319"/>
      <c r="Q115" s="319"/>
      <c r="R115" s="319"/>
      <c r="S115" s="1847"/>
      <c r="T115" s="1847"/>
      <c r="U115" s="1847"/>
      <c r="V115" s="1847"/>
      <c r="W115" s="320"/>
      <c r="X115" s="1854"/>
      <c r="Y115" s="1260"/>
      <c r="Z115" s="1260"/>
      <c r="AA115" s="1260"/>
      <c r="AB115" s="1260"/>
      <c r="AC115" s="1260"/>
      <c r="AD115" s="1260"/>
      <c r="AE115" s="1260"/>
      <c r="AF115" s="1260"/>
      <c r="AG115" s="1260"/>
      <c r="AH115" s="1260"/>
      <c r="AI115" s="1260"/>
      <c r="AJ115" s="1260"/>
      <c r="AK115" s="1260"/>
      <c r="AL115" s="1854"/>
      <c r="AM115" s="1854"/>
      <c r="AN115" s="1854"/>
      <c r="AO115" s="1854"/>
      <c r="AP115" s="1854"/>
      <c r="AQ115" s="1854"/>
      <c r="AR115" s="1854"/>
    </row>
    <row s="1854" customFormat="1" customHeight="1" ht="17.25">
      <c r="A116" s="322"/>
      <c r="C116" s="321"/>
      <c r="D116" s="2137"/>
      <c r="E116" s="2145"/>
      <c r="F116" s="2148"/>
      <c r="G116" s="2660"/>
      <c r="H116" s="2781"/>
      <c r="I116" s="2782"/>
      <c r="J116" s="2783" t="s">
        <v>222</v>
      </c>
      <c r="K116" s="2784"/>
      <c r="L116" s="2785"/>
      <c r="M116" s="2786"/>
      <c r="N116" s="2787"/>
      <c r="O116" s="2788"/>
      <c r="P116" s="2789"/>
      <c r="Q116" s="2790"/>
      <c r="R116" s="2791"/>
      <c r="S116" s="2792"/>
      <c r="T116" s="2793"/>
      <c r="U116" s="2794"/>
      <c r="V116" s="2795"/>
      <c r="W116" s="2796"/>
      <c r="X116" s="1260"/>
      <c r="Y116" s="1260"/>
      <c r="Z116" s="1260"/>
      <c r="AA116" s="1260"/>
      <c r="AB116" s="1260"/>
      <c r="AC116" s="1260"/>
      <c r="AD116" s="1260"/>
      <c r="AE116" s="1260"/>
      <c r="AF116" s="1260"/>
      <c r="AG116" s="1260"/>
      <c r="AH116" s="1260"/>
      <c r="AI116" s="1260"/>
      <c r="AJ116" s="1260"/>
      <c r="AK116" s="1260"/>
      <c r="AL116" s="1260"/>
      <c r="AM116" s="1260"/>
      <c r="AN116" s="1260"/>
      <c r="AO116" s="1260"/>
      <c r="AP116" s="1260"/>
      <c r="AQ116" s="1260"/>
      <c r="AR116" s="1284">
        <v>0</v>
      </c>
    </row>
    <row s="1854" customFormat="1" customHeight="1" ht="17.25">
      <c r="A117" s="322"/>
      <c r="C117" s="210"/>
      <c r="D117" s="2136">
        <v>5</v>
      </c>
      <c r="E117" s="2144" t="s">
        <v>302</v>
      </c>
      <c r="F117" s="2146" t="s">
        <v>19</v>
      </c>
      <c r="G117" s="2144"/>
      <c r="H117" s="2149"/>
      <c r="I117" s="2151"/>
      <c r="J117" s="2153"/>
      <c r="K117" s="2138"/>
      <c r="L117" s="2138"/>
      <c r="M117" s="2138"/>
      <c r="N117" s="2140"/>
      <c r="O117" s="2138"/>
      <c r="P117" s="2138"/>
      <c r="Q117" s="2138"/>
      <c r="R117" s="2143"/>
      <c r="S117" s="2138"/>
      <c r="T117" s="1421"/>
      <c r="U117" s="1421"/>
      <c r="V117" s="1420"/>
      <c r="W117" s="1297"/>
      <c r="X117" s="1268"/>
      <c r="Y117" s="1268"/>
      <c r="Z117" s="1268"/>
      <c r="AA117" s="1268"/>
      <c r="AB117" s="1268"/>
      <c r="AC117" s="1268" t="s">
        <v>303</v>
      </c>
      <c r="AD117" s="1268" t="s">
        <v>304</v>
      </c>
      <c r="AE117" s="1268" t="s">
        <v>305</v>
      </c>
      <c r="AF117" s="1268" t="s">
        <v>306</v>
      </c>
      <c r="AG117" s="1268" t="s">
        <v>307</v>
      </c>
      <c r="AH117" s="1268" t="str">
        <f>IF($E$117=0,"",$E$117)</f>
        <v>Тарифы на услуги по передаче тепловой энергии</v>
      </c>
      <c r="AI117" s="1268" t="str">
        <f>IF($G$117=0,"",$G$117)</f>
        <v/>
      </c>
      <c r="AJ117" s="1268" t="str">
        <f>IF($J$117=0,"",$J$117)</f>
        <v/>
      </c>
      <c r="AK117" s="1268" t="str">
        <f>IF($K$117="нет","без дифференциации",IF($N$117=0,"",$N$117))</f>
        <v/>
      </c>
      <c r="AL117" s="1268" t="str">
        <f>IF($O$117="нет","без дифференциации",IF($R$117=0,"",$R$117))</f>
        <v/>
      </c>
      <c r="AM117" s="1268" t="str">
        <f>IF($S$117="нет","без дифференциации",IF($V$117=0,"",$V$117))</f>
        <v/>
      </c>
      <c r="AN117" s="1773">
        <f>$I$117</f>
        <v>0</v>
      </c>
      <c r="AO117" s="1268" t="str">
        <f>$I$117&amp;"."&amp;$M$117</f>
        <v>.</v>
      </c>
      <c r="AP117" s="1260" t="str">
        <f>$I$117&amp;"."&amp;$M$117&amp;"."&amp;$Q$117</f>
        <v>..</v>
      </c>
      <c r="AQ117" s="1260" t="str">
        <f>$I$117&amp;"."&amp;$M$117&amp;"."&amp;$Q$117&amp;"."&amp;$U$117</f>
        <v>...</v>
      </c>
      <c r="AR117" s="1284">
        <v>0</v>
      </c>
    </row>
    <row s="1854" customFormat="1" customHeight="1" ht="17.25">
      <c r="A118" s="322"/>
      <c r="C118" s="321"/>
      <c r="D118" s="2136"/>
      <c r="E118" s="2144"/>
      <c r="F118" s="2147"/>
      <c r="G118" s="2144"/>
      <c r="H118" s="2150"/>
      <c r="I118" s="2152"/>
      <c r="J118" s="2154"/>
      <c r="K118" s="2139"/>
      <c r="L118" s="2139"/>
      <c r="M118" s="2139"/>
      <c r="N118" s="2141"/>
      <c r="O118" s="2139"/>
      <c r="P118" s="2139"/>
      <c r="Q118" s="2139"/>
      <c r="R118" s="2142"/>
      <c r="S118" s="2139"/>
      <c r="T118" s="1298"/>
      <c r="U118" s="1298"/>
      <c r="V118" s="1298"/>
      <c r="W118" s="1299"/>
      <c r="X118" s="1260"/>
      <c r="Y118" s="1260"/>
      <c r="Z118" s="1260"/>
      <c r="AA118" s="1260"/>
      <c r="AB118" s="1260"/>
      <c r="AC118" s="1260"/>
      <c r="AD118" s="1260"/>
      <c r="AE118" s="1260"/>
      <c r="AF118" s="1260"/>
      <c r="AG118" s="1260"/>
      <c r="AH118" s="1260"/>
      <c r="AI118" s="1260"/>
      <c r="AJ118" s="1260"/>
      <c r="AK118" s="1260"/>
      <c r="AL118" s="1260"/>
      <c r="AM118" s="1260"/>
      <c r="AN118" s="1260"/>
      <c r="AO118" s="1260"/>
      <c r="AP118" s="1260"/>
      <c r="AQ118" s="1260"/>
      <c r="AR118" s="1284">
        <v>0</v>
      </c>
    </row>
    <row s="1854" customFormat="1" customHeight="1" ht="17.25">
      <c r="A119" s="322"/>
      <c r="C119" s="321"/>
      <c r="D119" s="2137"/>
      <c r="E119" s="2145"/>
      <c r="F119" s="2147"/>
      <c r="G119" s="2145"/>
      <c r="H119" s="2150"/>
      <c r="I119" s="2152"/>
      <c r="J119" s="2155"/>
      <c r="K119" s="2139"/>
      <c r="L119" s="2139"/>
      <c r="M119" s="2139"/>
      <c r="N119" s="2142"/>
      <c r="O119" s="2139"/>
      <c r="P119" s="1419"/>
      <c r="Q119" s="1298"/>
      <c r="R119" s="1298"/>
      <c r="S119" s="330"/>
      <c r="T119" s="330"/>
      <c r="U119" s="330"/>
      <c r="V119" s="330"/>
      <c r="W119" s="1299"/>
      <c r="X119" s="1260"/>
      <c r="Y119" s="1260"/>
      <c r="Z119" s="1260"/>
      <c r="AA119" s="1260"/>
      <c r="AB119" s="1260"/>
      <c r="AC119" s="1260"/>
      <c r="AD119" s="1260"/>
      <c r="AE119" s="1260"/>
      <c r="AF119" s="1260"/>
      <c r="AG119" s="1260"/>
      <c r="AH119" s="1260"/>
      <c r="AI119" s="1260"/>
      <c r="AJ119" s="1260"/>
      <c r="AK119" s="1260"/>
      <c r="AL119" s="1260"/>
      <c r="AM119" s="1260"/>
      <c r="AN119" s="1260"/>
      <c r="AO119" s="1260"/>
      <c r="AP119" s="1260"/>
      <c r="AQ119" s="1260"/>
      <c r="AR119" s="1284">
        <v>0</v>
      </c>
    </row>
    <row s="1854" customFormat="1" customHeight="1" ht="17.25">
      <c r="A120" s="322"/>
      <c r="C120" s="321"/>
      <c r="D120" s="2137"/>
      <c r="E120" s="2145"/>
      <c r="F120" s="2147"/>
      <c r="G120" s="2145"/>
      <c r="H120" s="2150"/>
      <c r="I120" s="2152"/>
      <c r="J120" s="2155"/>
      <c r="K120" s="2139"/>
      <c r="L120" s="1298"/>
      <c r="M120" s="1298"/>
      <c r="N120" s="1298"/>
      <c r="O120" s="1298"/>
      <c r="P120" s="1298"/>
      <c r="Q120" s="1298"/>
      <c r="R120" s="1298"/>
      <c r="S120" s="330"/>
      <c r="T120" s="330"/>
      <c r="U120" s="330"/>
      <c r="V120" s="330"/>
      <c r="W120" s="1299"/>
      <c r="X120" s="1260"/>
      <c r="Y120" s="1260"/>
      <c r="Z120" s="1260"/>
      <c r="AA120" s="1260"/>
      <c r="AB120" s="1260"/>
      <c r="AC120" s="1260"/>
      <c r="AD120" s="1260"/>
      <c r="AE120" s="1260"/>
      <c r="AF120" s="1260"/>
      <c r="AG120" s="1260"/>
      <c r="AH120" s="1260"/>
      <c r="AI120" s="1260"/>
      <c r="AJ120" s="1260"/>
      <c r="AK120" s="1260"/>
      <c r="AL120" s="1260"/>
      <c r="AM120" s="1260"/>
      <c r="AN120" s="1260"/>
      <c r="AO120" s="1260"/>
      <c r="AP120" s="1260"/>
      <c r="AQ120" s="1260"/>
      <c r="AR120" s="1284">
        <v>0</v>
      </c>
    </row>
    <row s="1854" customFormat="1" customHeight="1" ht="17.25">
      <c r="A121" s="322"/>
      <c r="C121" s="321"/>
      <c r="D121" s="2137"/>
      <c r="E121" s="2145"/>
      <c r="F121" s="2148"/>
      <c r="G121" s="2145"/>
      <c r="H121" s="1300"/>
      <c r="I121" s="1301"/>
      <c r="J121" s="1301"/>
      <c r="K121" s="1301"/>
      <c r="L121" s="1301"/>
      <c r="M121" s="1301"/>
      <c r="N121" s="1301"/>
      <c r="O121" s="1301"/>
      <c r="P121" s="1301"/>
      <c r="Q121" s="1301"/>
      <c r="R121" s="1301"/>
      <c r="S121" s="1302"/>
      <c r="T121" s="1302"/>
      <c r="U121" s="1302"/>
      <c r="V121" s="1302"/>
      <c r="W121" s="1303"/>
      <c r="X121" s="1260"/>
      <c r="Y121" s="1260"/>
      <c r="Z121" s="1260"/>
      <c r="AA121" s="1260"/>
      <c r="AB121" s="1260"/>
      <c r="AC121" s="1260"/>
      <c r="AD121" s="1260"/>
      <c r="AE121" s="1260"/>
      <c r="AF121" s="1260"/>
      <c r="AG121" s="1260"/>
      <c r="AH121" s="1260"/>
      <c r="AI121" s="1260"/>
      <c r="AJ121" s="1260"/>
      <c r="AK121" s="1260"/>
      <c r="AL121" s="1260"/>
      <c r="AM121" s="1260"/>
      <c r="AN121" s="1260"/>
      <c r="AO121" s="1260"/>
      <c r="AP121" s="1260"/>
      <c r="AQ121" s="1260"/>
      <c r="AR121" s="1284">
        <v>0</v>
      </c>
    </row>
    <row s="1854" customFormat="1" customHeight="1" ht="17.25">
      <c r="A122" s="322"/>
      <c r="C122" s="210"/>
      <c r="D122" s="2136">
        <v>6</v>
      </c>
      <c r="E122" s="2144" t="s">
        <v>308</v>
      </c>
      <c r="F122" s="2146" t="s">
        <v>19</v>
      </c>
      <c r="G122" s="2144"/>
      <c r="H122" s="2149"/>
      <c r="I122" s="2151"/>
      <c r="J122" s="2153"/>
      <c r="K122" s="2138"/>
      <c r="L122" s="2138"/>
      <c r="M122" s="2138"/>
      <c r="N122" s="2140"/>
      <c r="O122" s="2138"/>
      <c r="P122" s="2138"/>
      <c r="Q122" s="2138"/>
      <c r="R122" s="2143"/>
      <c r="S122" s="2138"/>
      <c r="T122" s="1421"/>
      <c r="U122" s="1421"/>
      <c r="V122" s="1420"/>
      <c r="W122" s="1297"/>
      <c r="X122" s="1268"/>
      <c r="Y122" s="1268"/>
      <c r="Z122" s="1268"/>
      <c r="AA122" s="1268"/>
      <c r="AB122" s="1268"/>
      <c r="AC122" s="1268" t="s">
        <v>309</v>
      </c>
      <c r="AD122" s="1268" t="s">
        <v>310</v>
      </c>
      <c r="AE122" s="1268" t="s">
        <v>311</v>
      </c>
      <c r="AF122" s="1268" t="s">
        <v>312</v>
      </c>
      <c r="AG122" s="1268" t="s">
        <v>313</v>
      </c>
      <c r="AH122" s="1268" t="str">
        <f>IF($E$122=0,"",$E$122)</f>
        <v>Тарифы на услуги по передаче теплоносителя</v>
      </c>
      <c r="AI122" s="1268" t="str">
        <f>IF($G$122=0,"",$G$122)</f>
        <v/>
      </c>
      <c r="AJ122" s="1268" t="str">
        <f>IF($J$122=0,"",$J$122)</f>
        <v/>
      </c>
      <c r="AK122" s="1268" t="str">
        <f>IF($K$122="нет","без дифференциации",IF($N$122=0,"",$N$122))</f>
        <v/>
      </c>
      <c r="AL122" s="1268" t="str">
        <f>IF($O$122="нет","без дифференциации",IF($R$122=0,"",$R$122))</f>
        <v/>
      </c>
      <c r="AM122" s="1268" t="str">
        <f>IF($S$122="нет","без дифференциации",IF($V$122=0,"",$V$122))</f>
        <v/>
      </c>
      <c r="AN122" s="1773">
        <f>$I$122</f>
        <v>0</v>
      </c>
      <c r="AO122" s="1268" t="str">
        <f>$I$122&amp;"."&amp;$M$122</f>
        <v>.</v>
      </c>
      <c r="AP122" s="1260" t="str">
        <f>$I$122&amp;"."&amp;$M$122&amp;"."&amp;$Q$122</f>
        <v>..</v>
      </c>
      <c r="AQ122" s="1260" t="str">
        <f>$I$122&amp;"."&amp;$M$122&amp;"."&amp;$Q$122&amp;"."&amp;$U$122</f>
        <v>...</v>
      </c>
      <c r="AR122" s="1284">
        <v>0</v>
      </c>
    </row>
    <row s="1854" customFormat="1" customHeight="1" ht="17.25">
      <c r="A123" s="322"/>
      <c r="C123" s="321"/>
      <c r="D123" s="2136"/>
      <c r="E123" s="2144"/>
      <c r="F123" s="2147"/>
      <c r="G123" s="2144"/>
      <c r="H123" s="2150"/>
      <c r="I123" s="2152"/>
      <c r="J123" s="2154"/>
      <c r="K123" s="2139"/>
      <c r="L123" s="2139"/>
      <c r="M123" s="2139"/>
      <c r="N123" s="2141"/>
      <c r="O123" s="2139"/>
      <c r="P123" s="2139"/>
      <c r="Q123" s="2139"/>
      <c r="R123" s="2142"/>
      <c r="S123" s="2139"/>
      <c r="T123" s="1298"/>
      <c r="U123" s="1298"/>
      <c r="V123" s="1298"/>
      <c r="W123" s="1299"/>
      <c r="X123" s="1260"/>
      <c r="Y123" s="1260"/>
      <c r="Z123" s="1260"/>
      <c r="AA123" s="1260"/>
      <c r="AB123" s="1260"/>
      <c r="AC123" s="1260"/>
      <c r="AD123" s="1260"/>
      <c r="AE123" s="1260"/>
      <c r="AF123" s="1260"/>
      <c r="AG123" s="1260"/>
      <c r="AH123" s="1260"/>
      <c r="AI123" s="1260"/>
      <c r="AJ123" s="1260"/>
      <c r="AK123" s="1260"/>
      <c r="AL123" s="1260"/>
      <c r="AM123" s="1260"/>
      <c r="AN123" s="1260"/>
      <c r="AO123" s="1260"/>
      <c r="AP123" s="1260"/>
      <c r="AQ123" s="1260"/>
      <c r="AR123" s="1284">
        <v>0</v>
      </c>
    </row>
    <row s="1854" customFormat="1" customHeight="1" ht="17.25">
      <c r="A124" s="322"/>
      <c r="C124" s="321"/>
      <c r="D124" s="2137"/>
      <c r="E124" s="2145"/>
      <c r="F124" s="2147"/>
      <c r="G124" s="2145"/>
      <c r="H124" s="2150"/>
      <c r="I124" s="2152"/>
      <c r="J124" s="2155"/>
      <c r="K124" s="2139"/>
      <c r="L124" s="2139"/>
      <c r="M124" s="2139"/>
      <c r="N124" s="2142"/>
      <c r="O124" s="2139"/>
      <c r="P124" s="1419"/>
      <c r="Q124" s="1298"/>
      <c r="R124" s="1298"/>
      <c r="S124" s="330"/>
      <c r="T124" s="330"/>
      <c r="U124" s="330"/>
      <c r="V124" s="330"/>
      <c r="W124" s="1299"/>
      <c r="X124" s="1260"/>
      <c r="Y124" s="1260"/>
      <c r="Z124" s="1260"/>
      <c r="AA124" s="1260"/>
      <c r="AB124" s="1260"/>
      <c r="AC124" s="1260"/>
      <c r="AD124" s="1260"/>
      <c r="AE124" s="1260"/>
      <c r="AF124" s="1260"/>
      <c r="AG124" s="1260"/>
      <c r="AH124" s="1260"/>
      <c r="AI124" s="1260"/>
      <c r="AJ124" s="1260"/>
      <c r="AK124" s="1260"/>
      <c r="AL124" s="1260"/>
      <c r="AM124" s="1260"/>
      <c r="AN124" s="1260"/>
      <c r="AO124" s="1260"/>
      <c r="AP124" s="1260"/>
      <c r="AQ124" s="1260"/>
      <c r="AR124" s="1284">
        <v>0</v>
      </c>
    </row>
    <row s="1854" customFormat="1" customHeight="1" ht="17.25">
      <c r="A125" s="322"/>
      <c r="C125" s="210"/>
      <c r="D125" s="2137"/>
      <c r="E125" s="2145"/>
      <c r="F125" s="2147"/>
      <c r="G125" s="2145"/>
      <c r="H125" s="2150"/>
      <c r="I125" s="2152"/>
      <c r="J125" s="2155"/>
      <c r="K125" s="2139"/>
      <c r="L125" s="1298"/>
      <c r="M125" s="1298"/>
      <c r="N125" s="1298"/>
      <c r="O125" s="1298"/>
      <c r="P125" s="1298"/>
      <c r="Q125" s="1298"/>
      <c r="R125" s="1298"/>
      <c r="S125" s="330"/>
      <c r="T125" s="330"/>
      <c r="U125" s="330"/>
      <c r="V125" s="330"/>
      <c r="W125" s="1299"/>
      <c r="Y125" s="1268"/>
      <c r="Z125" s="1268"/>
      <c r="AA125" s="1268"/>
      <c r="AB125" s="1268"/>
      <c r="AC125" s="1268"/>
      <c r="AD125" s="1268"/>
      <c r="AE125" s="1268"/>
      <c r="AF125" s="1268"/>
      <c r="AG125" s="1268"/>
      <c r="AH125" s="1268"/>
      <c r="AI125" s="1268"/>
      <c r="AJ125" s="1268"/>
      <c r="AK125" s="1268"/>
      <c r="AL125" s="1268"/>
      <c r="AM125" s="1268"/>
      <c r="AN125" s="1268"/>
      <c r="AO125" s="1268"/>
      <c r="AP125" s="1268"/>
      <c r="AQ125" s="1268"/>
      <c r="AR125" s="1327">
        <v>0</v>
      </c>
    </row>
    <row s="1854" customFormat="1" customHeight="1" ht="17.25">
      <c r="A126" s="322"/>
      <c r="C126" s="321"/>
      <c r="D126" s="2137"/>
      <c r="E126" s="2145"/>
      <c r="F126" s="2148"/>
      <c r="G126" s="2145"/>
      <c r="H126" s="1300"/>
      <c r="I126" s="1301"/>
      <c r="J126" s="1301"/>
      <c r="K126" s="1301"/>
      <c r="L126" s="1301"/>
      <c r="M126" s="1301"/>
      <c r="N126" s="1301"/>
      <c r="O126" s="1301"/>
      <c r="P126" s="1301"/>
      <c r="Q126" s="1301"/>
      <c r="R126" s="1301"/>
      <c r="S126" s="1302"/>
      <c r="T126" s="1302"/>
      <c r="U126" s="1302"/>
      <c r="V126" s="1302"/>
      <c r="W126" s="1303"/>
      <c r="X126" s="1260"/>
      <c r="Y126" s="1260"/>
      <c r="Z126" s="1260"/>
      <c r="AA126" s="1260"/>
      <c r="AB126" s="1260"/>
      <c r="AC126" s="1260"/>
      <c r="AD126" s="1260"/>
      <c r="AE126" s="1260"/>
      <c r="AF126" s="1260"/>
      <c r="AG126" s="1260"/>
      <c r="AH126" s="1260"/>
      <c r="AI126" s="1260"/>
      <c r="AJ126" s="1260"/>
      <c r="AK126" s="1260"/>
      <c r="AL126" s="1260"/>
      <c r="AM126" s="1260"/>
      <c r="AN126" s="1260"/>
      <c r="AO126" s="1260"/>
      <c r="AP126" s="1260"/>
      <c r="AQ126" s="1260"/>
      <c r="AR126" s="1284">
        <v>0</v>
      </c>
    </row>
    <row s="1854" customFormat="1" customHeight="1" ht="17.25">
      <c r="A127" s="322"/>
      <c r="C127" s="210"/>
      <c r="D127" s="2167">
        <v>7</v>
      </c>
      <c r="E127" s="2170" t="s">
        <v>314</v>
      </c>
      <c r="F127" s="2146" t="s">
        <v>65</v>
      </c>
      <c r="G127" s="2797" t="str">
        <f>INDEX(VD_NAME_LIST,MATCH("4190073",VD_ID_LIST,0))</f>
        <v>Поддержание резервной тепловой мощности при отсутствии потребления тепловой энергии</v>
      </c>
      <c r="H127" s="2554"/>
      <c r="I127" s="2554">
        <v>1</v>
      </c>
      <c r="J127" s="2502" t="s">
        <v>315</v>
      </c>
      <c r="K127" s="2186" t="s">
        <v>65</v>
      </c>
      <c r="L127" s="2109"/>
      <c r="M127" s="2109" t="s">
        <v>123</v>
      </c>
      <c r="N127" s="2505" t="str">
        <f>IF(Z127="","",INDEX(TERRITORY_MR_LIST,MATCH(Z127,TERRITORY_LIST_ID,0)))</f>
        <v>Территория 1</v>
      </c>
      <c r="O127" s="2186" t="s">
        <v>65</v>
      </c>
      <c r="P127" s="2109"/>
      <c r="Q127" s="2109" t="s">
        <v>123</v>
      </c>
      <c r="R127" s="2572" t="s">
        <v>169</v>
      </c>
      <c r="S127" s="2108" t="s">
        <v>65</v>
      </c>
      <c r="T127" s="2109"/>
      <c r="U127" s="2109" t="s">
        <v>123</v>
      </c>
      <c r="V127" s="2572" t="s">
        <v>170</v>
      </c>
      <c r="W127" s="2502"/>
      <c r="X127" s="1268"/>
      <c r="Y127" s="1268"/>
      <c r="Z127" s="1268" t="s">
        <v>102</v>
      </c>
      <c r="AA127" s="1268"/>
      <c r="AB127" s="1268" t="s">
        <v>316</v>
      </c>
      <c r="AC127" s="1268" t="s">
        <v>317</v>
      </c>
      <c r="AD127" s="1268" t="s">
        <v>318</v>
      </c>
      <c r="AE127" s="1268" t="s">
        <v>319</v>
      </c>
      <c r="AF127" s="1268" t="s">
        <v>320</v>
      </c>
      <c r="AG127" s="1268" t="s">
        <v>321</v>
      </c>
      <c r="AH127" s="1268" t="str">
        <f>IF($E$127=0,"",$E$127)</f>
        <v>Плата за услуги по поддержанию резервной тепловой мощности при отсутствии потребления тепловой энергии</v>
      </c>
      <c r="AI127" s="1268" t="str">
        <f>IF($G$127=0,"",$G$127)</f>
        <v>Поддержание резервной тепловой мощности при отсутствии потребления тепловой энергии</v>
      </c>
      <c r="AJ127" s="1268" t="str">
        <f>IF($J$127=0,"",$J$127)</f>
        <v>Плата за услуги по поддержанию резервной тепловой мощности. </v>
      </c>
      <c r="AK127" s="1268" t="str">
        <f>IF($K$127="нет","без дифференциации",IF($N$127=0,"",$N$127))</f>
        <v>Территория 1</v>
      </c>
      <c r="AL127" s="1268" t="str">
        <f>IF($O$127="нет","без дифференциации",IF($R$127=0,"",$R$127))</f>
        <v>открытая система теплоснабжения г. Апатиты</v>
      </c>
      <c r="AM127" s="1268" t="str">
        <f>IF($S$127="нет","без дифференциации",IF($V$127=0,"",$V$127))</f>
        <v>Апатитская ТЭЦ</v>
      </c>
      <c r="AN127" s="1773">
        <f>$I$127</f>
        <v>1</v>
      </c>
      <c r="AO127" s="1268" t="str">
        <f>$I$127&amp;"."&amp;$M$127</f>
        <v>1.1</v>
      </c>
      <c r="AP127" s="1260" t="str">
        <f>$I$127&amp;"."&amp;$M$127&amp;"."&amp;$Q$127</f>
        <v>1.1.1</v>
      </c>
      <c r="AQ127" s="1260" t="str">
        <f>$I$127&amp;"."&amp;$M$127&amp;"."&amp;$Q$127&amp;"."&amp;$U$127</f>
        <v>1.1.1.1</v>
      </c>
      <c r="AR127" s="1309">
        <v>0</v>
      </c>
    </row>
    <row s="1854" customFormat="1" customHeight="1" ht="17.25">
      <c r="A128" s="322"/>
      <c r="C128" s="321"/>
      <c r="D128" s="2168"/>
      <c r="E128" s="2171"/>
      <c r="F128" s="2147"/>
      <c r="G128" s="2798"/>
      <c r="H128" s="2554"/>
      <c r="I128" s="2554"/>
      <c r="J128" s="2502"/>
      <c r="K128" s="2187"/>
      <c r="L128" s="2109"/>
      <c r="M128" s="2109"/>
      <c r="N128" s="2505"/>
      <c r="O128" s="2187"/>
      <c r="P128" s="2109"/>
      <c r="Q128" s="2109"/>
      <c r="R128" s="2572"/>
      <c r="S128" s="2108"/>
      <c r="T128" s="2799"/>
      <c r="U128" s="2800"/>
      <c r="V128" s="2801" t="s">
        <v>177</v>
      </c>
      <c r="W128" s="2802"/>
      <c r="X128" s="1260"/>
      <c r="Y128" s="1260"/>
      <c r="Z128" s="1260"/>
      <c r="AA128" s="1260"/>
      <c r="AB128" s="1260"/>
      <c r="AC128" s="1260"/>
      <c r="AD128" s="1260"/>
      <c r="AE128" s="1260"/>
      <c r="AF128" s="1260"/>
      <c r="AG128" s="1260"/>
      <c r="AH128" s="1260"/>
      <c r="AI128" s="1260"/>
      <c r="AJ128" s="1260"/>
      <c r="AK128" s="1260"/>
      <c r="AL128" s="1260"/>
      <c r="AM128" s="1260"/>
      <c r="AN128" s="1260"/>
      <c r="AO128" s="1260"/>
      <c r="AP128" s="1260"/>
      <c r="AQ128" s="1260"/>
      <c r="AR128" s="1309">
        <v>0</v>
      </c>
    </row>
    <row s="1854" customFormat="1" customHeight="1" ht="17.25">
      <c r="A129" s="322"/>
      <c r="C129" s="321"/>
      <c r="D129" s="2168"/>
      <c r="E129" s="2171"/>
      <c r="F129" s="2147"/>
      <c r="G129" s="2798"/>
      <c r="H129" s="2504"/>
      <c r="I129" s="2504"/>
      <c r="J129" s="2534"/>
      <c r="K129" s="2187"/>
      <c r="L129" s="2504"/>
      <c r="M129" s="2504"/>
      <c r="N129" s="2506"/>
      <c r="O129" s="2113"/>
      <c r="P129" s="2803"/>
      <c r="Q129" s="2804"/>
      <c r="R129" s="2805" t="s">
        <v>178</v>
      </c>
      <c r="S129" s="2806"/>
      <c r="T129" s="2807"/>
      <c r="U129" s="2808"/>
      <c r="V129" s="2809"/>
      <c r="W129" s="2810"/>
      <c r="X129" s="1260"/>
      <c r="Y129" s="1260"/>
      <c r="Z129" s="1260"/>
      <c r="AA129" s="1260"/>
      <c r="AB129" s="1260"/>
      <c r="AC129" s="1260"/>
      <c r="AD129" s="1260"/>
      <c r="AE129" s="1260"/>
      <c r="AF129" s="1260"/>
      <c r="AG129" s="1260"/>
      <c r="AH129" s="1260"/>
      <c r="AI129" s="1260"/>
      <c r="AJ129" s="1260"/>
      <c r="AK129" s="1260"/>
      <c r="AL129" s="1260"/>
      <c r="AM129" s="1260"/>
      <c r="AN129" s="1260"/>
      <c r="AO129" s="1260"/>
      <c r="AP129" s="1260"/>
      <c r="AQ129" s="1260"/>
      <c r="AR129" s="1309">
        <v>0</v>
      </c>
    </row>
    <row customHeight="1" ht="17.25">
      <c r="A130" s="1841"/>
      <c r="B130" s="1854"/>
      <c r="C130" s="1843"/>
      <c r="D130" s="1831"/>
      <c r="E130" s="1848"/>
      <c r="F130" s="1785"/>
      <c r="G130" s="1849"/>
      <c r="H130" s="1831"/>
      <c r="I130" s="1831"/>
      <c r="J130" s="1850"/>
      <c r="K130" s="1761"/>
      <c r="L130" s="2109" t="s">
        <v>108</v>
      </c>
      <c r="M130" s="2109" t="s">
        <v>107</v>
      </c>
      <c r="N130" s="2505" t="str">
        <f>IF(Z130="","",INDEX(TERRITORY_MR_LIST,MATCH(Z130,TERRITORY_LIST_ID,0)))</f>
        <v>Территория 2</v>
      </c>
      <c r="O130" s="2186" t="s">
        <v>65</v>
      </c>
      <c r="P130" s="2109"/>
      <c r="Q130" s="2109" t="s">
        <v>123</v>
      </c>
      <c r="R130" s="2503" t="s">
        <v>179</v>
      </c>
      <c r="S130" s="2108" t="s">
        <v>65</v>
      </c>
      <c r="T130" s="1812"/>
      <c r="U130" s="1812" t="s">
        <v>123</v>
      </c>
      <c r="V130" s="1844" t="s">
        <v>170</v>
      </c>
      <c r="W130" s="1802"/>
      <c r="X130" s="1854"/>
      <c r="Y130" s="1268"/>
      <c r="Z130" s="1268" t="s">
        <v>109</v>
      </c>
      <c r="AA130" s="1268"/>
      <c r="AB130" s="1268"/>
      <c r="AC130" s="1975" t="s">
        <v>317</v>
      </c>
      <c r="AD130" s="1975" t="s">
        <v>318</v>
      </c>
      <c r="AE130" s="1268" t="s">
        <v>322</v>
      </c>
      <c r="AF130" s="1268" t="s">
        <v>323</v>
      </c>
      <c r="AG130" s="1268" t="s">
        <v>324</v>
      </c>
      <c r="AH130" s="1268" t="str">
        <f>IF($E$127=0,"",$E$127)</f>
        <v>Плата за услуги по поддержанию резервной тепловой мощности при отсутствии потребления тепловой энергии</v>
      </c>
      <c r="AI130" s="1268" t="str">
        <f>IF($G$127=0,"",$G$127)</f>
        <v>Поддержание резервной тепловой мощности при отсутствии потребления тепловой энергии</v>
      </c>
      <c r="AJ130" s="1268" t="str">
        <f>IF($J$127=0,"",$J$127)</f>
        <v>Плата за услуги по поддержанию резервной тепловой мощности. </v>
      </c>
      <c r="AK130" s="1268" t="str">
        <f>IF($K$130="нет","без дифференциации",IF($N$130=0,"",$N$130))</f>
        <v>Территория 2</v>
      </c>
      <c r="AL130" s="1845" t="str">
        <f>IF($O$130="нет","без дифференциации",IF($R$130=0,"",$R$130))</f>
        <v>открытая система теплоснабжения г. Кировск</v>
      </c>
      <c r="AM130" s="1845" t="str">
        <f>IF($S$130="нет","без дифференциации",IF($V$130=0,"",$V$130))</f>
        <v>Апатитская ТЭЦ</v>
      </c>
      <c r="AN130" s="1268">
        <f>$I$127</f>
        <v>1</v>
      </c>
      <c r="AO130" s="1268" t="str">
        <f>$I$127&amp;"."&amp;$M$130</f>
        <v>1.2</v>
      </c>
      <c r="AP130" s="1268" t="str">
        <f>$I$127&amp;"."&amp;$M$130&amp;"."&amp;$Q$130</f>
        <v>1.2.1</v>
      </c>
      <c r="AQ130" s="1268" t="str">
        <f>$I$127&amp;"."&amp;$M$130&amp;"."&amp;$Q$130&amp;"."&amp;$U$130</f>
        <v>1.2.1.1</v>
      </c>
      <c r="AR130" s="1854"/>
    </row>
    <row customHeight="1" ht="17.25">
      <c r="A131" s="1841"/>
      <c r="B131" s="1854"/>
      <c r="C131" s="1846"/>
      <c r="D131" s="1831"/>
      <c r="E131" s="1848"/>
      <c r="F131" s="1785"/>
      <c r="G131" s="1849"/>
      <c r="H131" s="1831"/>
      <c r="I131" s="1831"/>
      <c r="J131" s="1850"/>
      <c r="K131" s="1761"/>
      <c r="L131" s="2109"/>
      <c r="M131" s="2109"/>
      <c r="N131" s="2505"/>
      <c r="O131" s="2187"/>
      <c r="P131" s="2109"/>
      <c r="Q131" s="2109"/>
      <c r="R131" s="2503"/>
      <c r="S131" s="2108"/>
      <c r="T131" s="318"/>
      <c r="U131" s="319"/>
      <c r="V131" s="319" t="s">
        <v>177</v>
      </c>
      <c r="W131" s="320"/>
      <c r="X131" s="1854"/>
      <c r="Y131" s="1260"/>
      <c r="Z131" s="1260"/>
      <c r="AA131" s="1260"/>
      <c r="AB131" s="1260"/>
      <c r="AC131" s="1260"/>
      <c r="AD131" s="1260"/>
      <c r="AE131" s="1260"/>
      <c r="AF131" s="1260"/>
      <c r="AG131" s="1260"/>
      <c r="AH131" s="1260"/>
      <c r="AI131" s="1260"/>
      <c r="AJ131" s="1260"/>
      <c r="AK131" s="1260"/>
      <c r="AL131" s="1854"/>
      <c r="AM131" s="1854"/>
      <c r="AN131" s="1854"/>
      <c r="AO131" s="1854"/>
      <c r="AP131" s="1854"/>
      <c r="AQ131" s="1854"/>
      <c r="AR131" s="1854"/>
    </row>
    <row customHeight="1" ht="17.25">
      <c r="A132" s="1841"/>
      <c r="B132" s="1854"/>
      <c r="C132" s="1846"/>
      <c r="D132" s="1831"/>
      <c r="E132" s="1848"/>
      <c r="F132" s="1785"/>
      <c r="G132" s="1849"/>
      <c r="H132" s="1831"/>
      <c r="I132" s="1831"/>
      <c r="J132" s="1850"/>
      <c r="K132" s="1761"/>
      <c r="L132" s="2504"/>
      <c r="M132" s="2504"/>
      <c r="N132" s="2506"/>
      <c r="O132" s="2113"/>
      <c r="P132" s="318"/>
      <c r="Q132" s="319"/>
      <c r="R132" s="319" t="s">
        <v>178</v>
      </c>
      <c r="S132" s="1847"/>
      <c r="T132" s="1847"/>
      <c r="U132" s="1847"/>
      <c r="V132" s="1847"/>
      <c r="W132" s="320"/>
      <c r="X132" s="1854"/>
      <c r="Y132" s="1260"/>
      <c r="Z132" s="1260"/>
      <c r="AA132" s="1260"/>
      <c r="AB132" s="1260"/>
      <c r="AC132" s="1260"/>
      <c r="AD132" s="1260"/>
      <c r="AE132" s="1260"/>
      <c r="AF132" s="1260"/>
      <c r="AG132" s="1260"/>
      <c r="AH132" s="1260"/>
      <c r="AI132" s="1260"/>
      <c r="AJ132" s="1260"/>
      <c r="AK132" s="1260"/>
      <c r="AL132" s="1854"/>
      <c r="AM132" s="1854"/>
      <c r="AN132" s="1854"/>
      <c r="AO132" s="1854"/>
      <c r="AP132" s="1854"/>
      <c r="AQ132" s="1854"/>
      <c r="AR132" s="1854"/>
    </row>
    <row customHeight="1" ht="17.25">
      <c r="A133" s="1841"/>
      <c r="B133" s="1854"/>
      <c r="C133" s="1843"/>
      <c r="D133" s="1831"/>
      <c r="E133" s="1848"/>
      <c r="F133" s="1785"/>
      <c r="G133" s="1849"/>
      <c r="H133" s="1831"/>
      <c r="I133" s="1831"/>
      <c r="J133" s="1850"/>
      <c r="K133" s="1761"/>
      <c r="L133" s="2109" t="s">
        <v>108</v>
      </c>
      <c r="M133" s="2109" t="s">
        <v>94</v>
      </c>
      <c r="N133" s="2505" t="str">
        <f>IF(Z133="","",INDEX(TERRITORY_MR_LIST,MATCH(Z133,TERRITORY_LIST_ID,0)))</f>
        <v>Территория 3</v>
      </c>
      <c r="O133" s="2186" t="s">
        <v>65</v>
      </c>
      <c r="P133" s="2109"/>
      <c r="Q133" s="2109" t="s">
        <v>123</v>
      </c>
      <c r="R133" s="2503" t="s">
        <v>225</v>
      </c>
      <c r="S133" s="2108" t="s">
        <v>65</v>
      </c>
      <c r="T133" s="1812"/>
      <c r="U133" s="1812" t="s">
        <v>123</v>
      </c>
      <c r="V133" s="1844" t="s">
        <v>226</v>
      </c>
      <c r="W133" s="1802"/>
      <c r="X133" s="1854"/>
      <c r="Y133" s="1268"/>
      <c r="Z133" s="1268" t="s">
        <v>113</v>
      </c>
      <c r="AA133" s="1268"/>
      <c r="AB133" s="1268"/>
      <c r="AC133" s="1975" t="s">
        <v>317</v>
      </c>
      <c r="AD133" s="1975" t="s">
        <v>318</v>
      </c>
      <c r="AE133" s="1268" t="s">
        <v>325</v>
      </c>
      <c r="AF133" s="1268" t="s">
        <v>326</v>
      </c>
      <c r="AG133" s="1268" t="s">
        <v>327</v>
      </c>
      <c r="AH133" s="1268" t="str">
        <f>IF($E$127=0,"",$E$127)</f>
        <v>Плата за услуги по поддержанию резервной тепловой мощности при отсутствии потребления тепловой энергии</v>
      </c>
      <c r="AI133" s="1268" t="str">
        <f>IF($G$127=0,"",$G$127)</f>
        <v>Поддержание резервной тепловой мощности при отсутствии потребления тепловой энергии</v>
      </c>
      <c r="AJ133" s="1268" t="str">
        <f>IF($J$127=0,"",$J$127)</f>
        <v>Плата за услуги по поддержанию резервной тепловой мощности. </v>
      </c>
      <c r="AK133" s="1268" t="str">
        <f>IF($K$133="нет","без дифференциации",IF($N$133=0,"",$N$133))</f>
        <v>Территория 3</v>
      </c>
      <c r="AL133" s="1845" t="str">
        <f>IF($O$133="нет","без дифференциации",IF($R$133=0,"",$R$133))</f>
        <v>закрытая система теплоснабжения нп Раякоски</v>
      </c>
      <c r="AM133" s="1845" t="str">
        <f>IF($S$133="нет","без дифференциации",IF($V$133=0,"",$V$133))</f>
        <v>Электрокотельные нп Раякоски</v>
      </c>
      <c r="AN133" s="1268">
        <f>$I$127</f>
        <v>1</v>
      </c>
      <c r="AO133" s="1268" t="str">
        <f>$I$127&amp;"."&amp;$M$133</f>
        <v>1.3</v>
      </c>
      <c r="AP133" s="1268" t="str">
        <f>$I$127&amp;"."&amp;$M$133&amp;"."&amp;$Q$133</f>
        <v>1.3.1</v>
      </c>
      <c r="AQ133" s="1268" t="str">
        <f>$I$127&amp;"."&amp;$M$133&amp;"."&amp;$Q$133&amp;"."&amp;$U$133</f>
        <v>1.3.1.1</v>
      </c>
      <c r="AR133" s="1854"/>
    </row>
    <row customHeight="1" ht="17.25">
      <c r="A134" s="1841"/>
      <c r="B134" s="1854"/>
      <c r="C134" s="1846"/>
      <c r="D134" s="1831"/>
      <c r="E134" s="1848"/>
      <c r="F134" s="1785"/>
      <c r="G134" s="1849"/>
      <c r="H134" s="1831"/>
      <c r="I134" s="1831"/>
      <c r="J134" s="1850"/>
      <c r="K134" s="1761"/>
      <c r="L134" s="2109"/>
      <c r="M134" s="2109"/>
      <c r="N134" s="2505"/>
      <c r="O134" s="2187"/>
      <c r="P134" s="2109"/>
      <c r="Q134" s="2109"/>
      <c r="R134" s="2503"/>
      <c r="S134" s="2108"/>
      <c r="T134" s="318"/>
      <c r="U134" s="319"/>
      <c r="V134" s="319" t="s">
        <v>177</v>
      </c>
      <c r="W134" s="320"/>
      <c r="X134" s="1854"/>
      <c r="Y134" s="1260"/>
      <c r="Z134" s="1260"/>
      <c r="AA134" s="1260"/>
      <c r="AB134" s="1260"/>
      <c r="AC134" s="1260"/>
      <c r="AD134" s="1260"/>
      <c r="AE134" s="1260"/>
      <c r="AF134" s="1260"/>
      <c r="AG134" s="1260"/>
      <c r="AH134" s="1260"/>
      <c r="AI134" s="1260"/>
      <c r="AJ134" s="1260"/>
      <c r="AK134" s="1260"/>
      <c r="AL134" s="1854"/>
      <c r="AM134" s="1854"/>
      <c r="AN134" s="1854"/>
      <c r="AO134" s="1854"/>
      <c r="AP134" s="1854"/>
      <c r="AQ134" s="1854"/>
      <c r="AR134" s="1854"/>
    </row>
    <row customHeight="1" ht="17.25">
      <c r="A135" s="1841"/>
      <c r="B135" s="1854"/>
      <c r="C135" s="1846"/>
      <c r="D135" s="1831"/>
      <c r="E135" s="1848"/>
      <c r="F135" s="1785"/>
      <c r="G135" s="1849"/>
      <c r="H135" s="1831"/>
      <c r="I135" s="1831"/>
      <c r="J135" s="1850"/>
      <c r="K135" s="1761"/>
      <c r="L135" s="2504"/>
      <c r="M135" s="2504"/>
      <c r="N135" s="2506"/>
      <c r="O135" s="2113"/>
      <c r="P135" s="318"/>
      <c r="Q135" s="319"/>
      <c r="R135" s="319" t="s">
        <v>178</v>
      </c>
      <c r="S135" s="1847"/>
      <c r="T135" s="1847"/>
      <c r="U135" s="1847"/>
      <c r="V135" s="1847"/>
      <c r="W135" s="320"/>
      <c r="X135" s="1854"/>
      <c r="Y135" s="1260"/>
      <c r="Z135" s="1260"/>
      <c r="AA135" s="1260"/>
      <c r="AB135" s="1260"/>
      <c r="AC135" s="1260"/>
      <c r="AD135" s="1260"/>
      <c r="AE135" s="1260"/>
      <c r="AF135" s="1260"/>
      <c r="AG135" s="1260"/>
      <c r="AH135" s="1260"/>
      <c r="AI135" s="1260"/>
      <c r="AJ135" s="1260"/>
      <c r="AK135" s="1260"/>
      <c r="AL135" s="1854"/>
      <c r="AM135" s="1854"/>
      <c r="AN135" s="1854"/>
      <c r="AO135" s="1854"/>
      <c r="AP135" s="1854"/>
      <c r="AQ135" s="1854"/>
      <c r="AR135" s="1854"/>
    </row>
    <row s="1854" customFormat="1" customHeight="1" ht="17.25">
      <c r="A136" s="322"/>
      <c r="C136" s="210"/>
      <c r="D136" s="2168"/>
      <c r="E136" s="2171"/>
      <c r="F136" s="2147"/>
      <c r="G136" s="2798"/>
      <c r="H136" s="2504"/>
      <c r="I136" s="2504"/>
      <c r="J136" s="2534"/>
      <c r="K136" s="2113"/>
      <c r="L136" s="2811"/>
      <c r="M136" s="2812"/>
      <c r="N136" s="2813" t="s">
        <v>183</v>
      </c>
      <c r="O136" s="2814"/>
      <c r="P136" s="2815"/>
      <c r="Q136" s="2816"/>
      <c r="R136" s="2817"/>
      <c r="S136" s="2818"/>
      <c r="T136" s="2819"/>
      <c r="U136" s="2820"/>
      <c r="V136" s="2821"/>
      <c r="W136" s="2822"/>
      <c r="Y136" s="1268"/>
      <c r="Z136" s="1268"/>
      <c r="AA136" s="1268"/>
      <c r="AB136" s="1268"/>
      <c r="AC136" s="1268"/>
      <c r="AD136" s="1268"/>
      <c r="AE136" s="1268"/>
      <c r="AF136" s="1268"/>
      <c r="AG136" s="1268"/>
      <c r="AH136" s="1268"/>
      <c r="AI136" s="1268"/>
      <c r="AJ136" s="1268"/>
      <c r="AK136" s="1268"/>
      <c r="AL136" s="1268"/>
      <c r="AM136" s="1268"/>
      <c r="AN136" s="1268"/>
      <c r="AO136" s="1268"/>
      <c r="AP136" s="1268"/>
      <c r="AQ136" s="1268"/>
      <c r="AR136" s="1327">
        <v>0</v>
      </c>
    </row>
    <row s="1854" customFormat="1" customHeight="1" ht="17.25">
      <c r="A137" s="322"/>
      <c r="C137" s="321"/>
      <c r="D137" s="2169"/>
      <c r="E137" s="2172"/>
      <c r="F137" s="2148"/>
      <c r="G137" s="2823"/>
      <c r="H137" s="2824"/>
      <c r="I137" s="2825"/>
      <c r="J137" s="2826" t="s">
        <v>222</v>
      </c>
      <c r="K137" s="2827"/>
      <c r="L137" s="2828"/>
      <c r="M137" s="2829"/>
      <c r="N137" s="2830"/>
      <c r="O137" s="2831"/>
      <c r="P137" s="2832"/>
      <c r="Q137" s="2833"/>
      <c r="R137" s="2834"/>
      <c r="S137" s="2835"/>
      <c r="T137" s="2836"/>
      <c r="U137" s="2837"/>
      <c r="V137" s="2838"/>
      <c r="W137" s="2839"/>
      <c r="X137" s="1260"/>
      <c r="Y137" s="1260"/>
      <c r="Z137" s="1260"/>
      <c r="AA137" s="1260"/>
      <c r="AB137" s="1260"/>
      <c r="AC137" s="1260"/>
      <c r="AD137" s="1260"/>
      <c r="AE137" s="1260"/>
      <c r="AF137" s="1260"/>
      <c r="AG137" s="1260"/>
      <c r="AH137" s="1260"/>
      <c r="AI137" s="1260"/>
      <c r="AJ137" s="1260"/>
      <c r="AK137" s="1260"/>
      <c r="AL137" s="1260"/>
      <c r="AM137" s="1260"/>
      <c r="AN137" s="1260"/>
      <c r="AO137" s="1260"/>
      <c r="AP137" s="1260"/>
      <c r="AQ137" s="1260"/>
      <c r="AR137" s="1309">
        <v>0</v>
      </c>
    </row>
    <row s="1854" customFormat="1" customHeight="1" ht="17.25">
      <c r="A138" s="322"/>
      <c r="C138" s="210"/>
      <c r="D138" s="2136">
        <v>8</v>
      </c>
      <c r="E138" s="2144" t="s">
        <v>328</v>
      </c>
      <c r="F138" s="2146" t="s">
        <v>19</v>
      </c>
      <c r="G138" s="2144"/>
      <c r="H138" s="2149"/>
      <c r="I138" s="2151"/>
      <c r="J138" s="2153"/>
      <c r="K138" s="2138"/>
      <c r="L138" s="2138"/>
      <c r="M138" s="2138"/>
      <c r="N138" s="2140"/>
      <c r="O138" s="2138"/>
      <c r="P138" s="2138"/>
      <c r="Q138" s="2138"/>
      <c r="R138" s="2143"/>
      <c r="S138" s="2138"/>
      <c r="T138" s="1471"/>
      <c r="U138" s="1471"/>
      <c r="V138" s="1473"/>
      <c r="W138" s="1297"/>
      <c r="X138" s="1268"/>
      <c r="Y138" s="1268"/>
      <c r="Z138" s="1268"/>
      <c r="AA138" s="1268"/>
      <c r="AB138" s="1268"/>
      <c r="AC138" s="1268" t="s">
        <v>329</v>
      </c>
      <c r="AD138" s="1268" t="s">
        <v>330</v>
      </c>
      <c r="AE138" s="1268" t="s">
        <v>331</v>
      </c>
      <c r="AF138" s="1268" t="s">
        <v>332</v>
      </c>
      <c r="AG138" s="1268" t="s">
        <v>333</v>
      </c>
      <c r="AH138" s="1268" t="str">
        <f>IF($E$138=0,"",$E$138)</f>
        <v>Плата за подключение (технологическое присоединение) к системе теплоснабжения</v>
      </c>
      <c r="AI138" s="1268" t="str">
        <f>IF($G$138=0,"",$G$138)</f>
        <v/>
      </c>
      <c r="AJ138" s="1268" t="str">
        <f>IF($J$138=0,"",$J$138)</f>
        <v/>
      </c>
      <c r="AK138" s="1268" t="str">
        <f>IF($K$138="нет","без дифференциации",IF($N$138=0,"",$N$138))</f>
        <v/>
      </c>
      <c r="AL138" s="1268" t="str">
        <f>IF($O$138="нет","без дифференциации",IF($R$138=0,"",$R$138))</f>
        <v/>
      </c>
      <c r="AM138" s="1268" t="str">
        <f>IF($S$138="нет","без дифференциации",IF($V$138=0,"",$V$138))</f>
        <v/>
      </c>
      <c r="AN138" s="1773">
        <f>$I$138</f>
        <v>0</v>
      </c>
      <c r="AO138" s="1268" t="str">
        <f>$I$138&amp;"."&amp;$M$138</f>
        <v>.</v>
      </c>
      <c r="AP138" s="1260" t="str">
        <f>$I$138&amp;"."&amp;$M$138&amp;"."&amp;$Q$138</f>
        <v>..</v>
      </c>
      <c r="AQ138" s="1260" t="str">
        <f>$I$138&amp;"."&amp;$M$138&amp;"."&amp;$Q$138&amp;"."&amp;$U$138</f>
        <v>...</v>
      </c>
      <c r="AR138" s="1309">
        <v>0</v>
      </c>
    </row>
    <row s="1854" customFormat="1" customHeight="1" ht="17.25">
      <c r="A139" s="322"/>
      <c r="C139" s="321"/>
      <c r="D139" s="2136"/>
      <c r="E139" s="2144"/>
      <c r="F139" s="2147"/>
      <c r="G139" s="2144"/>
      <c r="H139" s="2150"/>
      <c r="I139" s="2152"/>
      <c r="J139" s="2154"/>
      <c r="K139" s="2139"/>
      <c r="L139" s="2139"/>
      <c r="M139" s="2139"/>
      <c r="N139" s="2141"/>
      <c r="O139" s="2139"/>
      <c r="P139" s="2139"/>
      <c r="Q139" s="2139"/>
      <c r="R139" s="2142"/>
      <c r="S139" s="2139"/>
      <c r="T139" s="1298"/>
      <c r="U139" s="1298"/>
      <c r="V139" s="1298"/>
      <c r="W139" s="1299"/>
      <c r="X139" s="1260"/>
      <c r="Y139" s="1260"/>
      <c r="Z139" s="1260"/>
      <c r="AA139" s="1260"/>
      <c r="AB139" s="1260"/>
      <c r="AC139" s="1260"/>
      <c r="AD139" s="1260"/>
      <c r="AE139" s="1260"/>
      <c r="AF139" s="1260"/>
      <c r="AG139" s="1260"/>
      <c r="AH139" s="1260"/>
      <c r="AI139" s="1260"/>
      <c r="AJ139" s="1260"/>
      <c r="AK139" s="1260"/>
      <c r="AL139" s="1260"/>
      <c r="AM139" s="1260"/>
      <c r="AN139" s="1260"/>
      <c r="AO139" s="1260"/>
      <c r="AP139" s="1260"/>
      <c r="AQ139" s="1260"/>
      <c r="AR139" s="1309">
        <v>0</v>
      </c>
    </row>
    <row s="1854" customFormat="1" customHeight="1" ht="17.25">
      <c r="A140" s="322"/>
      <c r="C140" s="321"/>
      <c r="D140" s="2137"/>
      <c r="E140" s="2145"/>
      <c r="F140" s="2147"/>
      <c r="G140" s="2145"/>
      <c r="H140" s="2150"/>
      <c r="I140" s="2152"/>
      <c r="J140" s="2155"/>
      <c r="K140" s="2139"/>
      <c r="L140" s="2139"/>
      <c r="M140" s="2139"/>
      <c r="N140" s="2142"/>
      <c r="O140" s="2139"/>
      <c r="P140" s="1472"/>
      <c r="Q140" s="1298"/>
      <c r="R140" s="1298"/>
      <c r="S140" s="330"/>
      <c r="T140" s="330"/>
      <c r="U140" s="330"/>
      <c r="V140" s="330"/>
      <c r="W140" s="1299"/>
      <c r="X140" s="1260"/>
      <c r="Y140" s="1260"/>
      <c r="Z140" s="1260"/>
      <c r="AA140" s="1260"/>
      <c r="AB140" s="1260"/>
      <c r="AC140" s="1260"/>
      <c r="AD140" s="1260"/>
      <c r="AE140" s="1260"/>
      <c r="AF140" s="1260"/>
      <c r="AG140" s="1260"/>
      <c r="AH140" s="1260"/>
      <c r="AI140" s="1260"/>
      <c r="AJ140" s="1260"/>
      <c r="AK140" s="1260"/>
      <c r="AL140" s="1260"/>
      <c r="AM140" s="1260"/>
      <c r="AN140" s="1260"/>
      <c r="AO140" s="1260"/>
      <c r="AP140" s="1260"/>
      <c r="AQ140" s="1260"/>
      <c r="AR140" s="1309">
        <v>0</v>
      </c>
    </row>
    <row s="1854" customFormat="1" customHeight="1" ht="17.25">
      <c r="A141" s="322"/>
      <c r="C141" s="210"/>
      <c r="D141" s="2137"/>
      <c r="E141" s="2145"/>
      <c r="F141" s="2147"/>
      <c r="G141" s="2145"/>
      <c r="H141" s="2150"/>
      <c r="I141" s="2152"/>
      <c r="J141" s="2155"/>
      <c r="K141" s="2139"/>
      <c r="L141" s="1298"/>
      <c r="M141" s="1298"/>
      <c r="N141" s="1298"/>
      <c r="O141" s="1298"/>
      <c r="P141" s="1298"/>
      <c r="Q141" s="1298"/>
      <c r="R141" s="1298"/>
      <c r="S141" s="330"/>
      <c r="T141" s="330"/>
      <c r="U141" s="330"/>
      <c r="V141" s="330"/>
      <c r="W141" s="1299"/>
      <c r="Y141" s="1268"/>
      <c r="Z141" s="1268"/>
      <c r="AA141" s="1268"/>
      <c r="AB141" s="1268"/>
      <c r="AC141" s="1268"/>
      <c r="AD141" s="1268"/>
      <c r="AE141" s="1268"/>
      <c r="AF141" s="1268"/>
      <c r="AG141" s="1268"/>
      <c r="AH141" s="1268"/>
      <c r="AI141" s="1268"/>
      <c r="AJ141" s="1268"/>
      <c r="AK141" s="1268"/>
      <c r="AL141" s="1268"/>
      <c r="AM141" s="1268"/>
      <c r="AN141" s="1268"/>
      <c r="AO141" s="1268"/>
      <c r="AP141" s="1268"/>
      <c r="AQ141" s="1268"/>
      <c r="AR141" s="1327">
        <v>0</v>
      </c>
    </row>
    <row s="1854" customFormat="1" customHeight="1" ht="17.25">
      <c r="A142" s="322"/>
      <c r="C142" s="321"/>
      <c r="D142" s="2137"/>
      <c r="E142" s="2145"/>
      <c r="F142" s="2148"/>
      <c r="G142" s="2145"/>
      <c r="H142" s="1300"/>
      <c r="I142" s="1301"/>
      <c r="J142" s="1301"/>
      <c r="K142" s="1301"/>
      <c r="L142" s="1301"/>
      <c r="M142" s="1301"/>
      <c r="N142" s="1301"/>
      <c r="O142" s="1301"/>
      <c r="P142" s="1301"/>
      <c r="Q142" s="1301"/>
      <c r="R142" s="1301"/>
      <c r="S142" s="1302"/>
      <c r="T142" s="1302"/>
      <c r="U142" s="1302"/>
      <c r="V142" s="1302"/>
      <c r="W142" s="1303"/>
      <c r="X142" s="1260"/>
      <c r="Y142" s="1260"/>
      <c r="Z142" s="1260"/>
      <c r="AA142" s="1260"/>
      <c r="AB142" s="1260"/>
      <c r="AC142" s="1260"/>
      <c r="AD142" s="1260"/>
      <c r="AE142" s="1260"/>
      <c r="AF142" s="1260"/>
      <c r="AG142" s="1260"/>
      <c r="AH142" s="1260"/>
      <c r="AI142" s="1260"/>
      <c r="AJ142" s="1260"/>
      <c r="AK142" s="1260"/>
      <c r="AL142" s="1260"/>
      <c r="AM142" s="1260"/>
      <c r="AN142" s="1260"/>
      <c r="AO142" s="1260"/>
      <c r="AP142" s="1260"/>
      <c r="AQ142" s="1260"/>
      <c r="AR142" s="1309">
        <v>0</v>
      </c>
    </row>
    <row s="1854" customFormat="1" customHeight="1" ht="17.25">
      <c r="A143" s="322"/>
      <c r="C143" s="210"/>
      <c r="D143" s="2136">
        <v>9</v>
      </c>
      <c r="E143" s="2144" t="s">
        <v>334</v>
      </c>
      <c r="F143" s="2146" t="s">
        <v>19</v>
      </c>
      <c r="G143" s="2144"/>
      <c r="H143" s="2149"/>
      <c r="I143" s="2151"/>
      <c r="J143" s="2153"/>
      <c r="K143" s="2138"/>
      <c r="L143" s="2138"/>
      <c r="M143" s="2138"/>
      <c r="N143" s="2140"/>
      <c r="O143" s="2138"/>
      <c r="P143" s="2138"/>
      <c r="Q143" s="2138"/>
      <c r="R143" s="2143"/>
      <c r="S143" s="2138"/>
      <c r="T143" s="1932"/>
      <c r="U143" s="1932"/>
      <c r="V143" s="1934"/>
      <c r="W143" s="1297"/>
      <c r="X143" s="1268"/>
      <c r="Y143" s="1268"/>
      <c r="Z143" s="1268"/>
      <c r="AA143" s="1268"/>
      <c r="AB143" s="1268"/>
      <c r="AC143" s="1268" t="s">
        <v>335</v>
      </c>
      <c r="AD143" s="1268" t="s">
        <v>336</v>
      </c>
      <c r="AE143" s="1268" t="s">
        <v>337</v>
      </c>
      <c r="AF143" s="1268" t="s">
        <v>338</v>
      </c>
      <c r="AG143" s="1268" t="s">
        <v>339</v>
      </c>
      <c r="AH143" s="1268" t="str">
        <f>IF($E$143=0,"",$E$143)</f>
        <v>Плата за подключение (технологическое присоединение) к системе теплоснабжения (индивидуальная)</v>
      </c>
      <c r="AI143" s="1268" t="str">
        <f>IF($G$143=0,"",$G$143)</f>
        <v/>
      </c>
      <c r="AJ143" s="1268" t="str">
        <f>IF($J$143=0,"",$J$143)</f>
        <v/>
      </c>
      <c r="AK143" s="1268" t="str">
        <f>IF($K$143="нет","без дифференциации",IF($N$143=0,"",$N$143))</f>
        <v/>
      </c>
      <c r="AL143" s="1268" t="str">
        <f>IF($O$143="нет","без дифференциации",IF($R$143=0,"",$R$143))</f>
        <v/>
      </c>
      <c r="AM143" s="1268" t="str">
        <f>IF($S$143="нет","без дифференциации",IF($V$143=0,"",$V$143))</f>
        <v/>
      </c>
      <c r="AN143" s="1773">
        <f>$I$143</f>
        <v>0</v>
      </c>
      <c r="AO143" s="1268" t="str">
        <f>$I$143&amp;"."&amp;$M$143</f>
        <v>.</v>
      </c>
      <c r="AP143" s="1267" t="str">
        <f>$I$143&amp;"."&amp;$M$143&amp;"."&amp;$Q$143</f>
        <v>..</v>
      </c>
      <c r="AQ143" s="1267" t="str">
        <f>$I$143&amp;"."&amp;$M$143&amp;"."&amp;$Q$143&amp;"."&amp;$U$143</f>
        <v>...</v>
      </c>
      <c r="AR143" s="1468">
        <v>0</v>
      </c>
    </row>
    <row s="1854" customFormat="1" customHeight="1" ht="17.25">
      <c r="A144" s="322"/>
      <c r="C144" s="321"/>
      <c r="D144" s="2136"/>
      <c r="E144" s="2144"/>
      <c r="F144" s="2147"/>
      <c r="G144" s="2144"/>
      <c r="H144" s="2150"/>
      <c r="I144" s="2152"/>
      <c r="J144" s="2154"/>
      <c r="K144" s="2139"/>
      <c r="L144" s="2139"/>
      <c r="M144" s="2139"/>
      <c r="N144" s="2141"/>
      <c r="O144" s="2139"/>
      <c r="P144" s="2139"/>
      <c r="Q144" s="2139"/>
      <c r="R144" s="2142"/>
      <c r="S144" s="2139"/>
      <c r="T144" s="1935"/>
      <c r="U144" s="1935"/>
      <c r="V144" s="1935"/>
      <c r="W144" s="1936"/>
      <c r="X144" s="1267"/>
      <c r="Y144" s="1267"/>
      <c r="Z144" s="1267"/>
      <c r="AA144" s="1267"/>
      <c r="AB144" s="1267"/>
      <c r="AC144" s="1267"/>
      <c r="AD144" s="1267"/>
      <c r="AE144" s="1267"/>
      <c r="AF144" s="1267"/>
      <c r="AG144" s="1267"/>
      <c r="AH144" s="1267"/>
      <c r="AI144" s="1267"/>
      <c r="AJ144" s="1267"/>
      <c r="AK144" s="1267"/>
      <c r="AL144" s="1267"/>
      <c r="AM144" s="1267"/>
      <c r="AN144" s="1267"/>
      <c r="AO144" s="1267"/>
      <c r="AP144" s="1267"/>
      <c r="AQ144" s="1267"/>
      <c r="AR144" s="1468">
        <v>0</v>
      </c>
    </row>
    <row s="1854" customFormat="1" customHeight="1" ht="17.25">
      <c r="A145" s="322"/>
      <c r="C145" s="321"/>
      <c r="D145" s="2137"/>
      <c r="E145" s="2145"/>
      <c r="F145" s="2147"/>
      <c r="G145" s="2145"/>
      <c r="H145" s="2150"/>
      <c r="I145" s="2152"/>
      <c r="J145" s="2155"/>
      <c r="K145" s="2139"/>
      <c r="L145" s="2139"/>
      <c r="M145" s="2139"/>
      <c r="N145" s="2142"/>
      <c r="O145" s="2139"/>
      <c r="P145" s="1933"/>
      <c r="Q145" s="1935"/>
      <c r="R145" s="1935"/>
      <c r="S145" s="330"/>
      <c r="T145" s="330"/>
      <c r="U145" s="330"/>
      <c r="V145" s="330"/>
      <c r="W145" s="1936"/>
      <c r="X145" s="1267"/>
      <c r="Y145" s="1267"/>
      <c r="Z145" s="1267"/>
      <c r="AA145" s="1267"/>
      <c r="AB145" s="1267"/>
      <c r="AC145" s="1267"/>
      <c r="AD145" s="1267"/>
      <c r="AE145" s="1267"/>
      <c r="AF145" s="1267"/>
      <c r="AG145" s="1267"/>
      <c r="AH145" s="1267"/>
      <c r="AI145" s="1267"/>
      <c r="AJ145" s="1267"/>
      <c r="AK145" s="1267"/>
      <c r="AL145" s="1267"/>
      <c r="AM145" s="1267"/>
      <c r="AN145" s="1267"/>
      <c r="AO145" s="1267"/>
      <c r="AP145" s="1267"/>
      <c r="AQ145" s="1267"/>
      <c r="AR145" s="1468">
        <v>0</v>
      </c>
    </row>
    <row s="1854" customFormat="1" customHeight="1" ht="17.25">
      <c r="A146" s="322"/>
      <c r="C146" s="210"/>
      <c r="D146" s="2137"/>
      <c r="E146" s="2145"/>
      <c r="F146" s="2147"/>
      <c r="G146" s="2145"/>
      <c r="H146" s="2150"/>
      <c r="I146" s="2152"/>
      <c r="J146" s="2155"/>
      <c r="K146" s="2139"/>
      <c r="L146" s="1935"/>
      <c r="M146" s="1935"/>
      <c r="N146" s="1935"/>
      <c r="O146" s="1935"/>
      <c r="P146" s="1935"/>
      <c r="Q146" s="1935"/>
      <c r="R146" s="1935"/>
      <c r="S146" s="330"/>
      <c r="T146" s="330"/>
      <c r="U146" s="330"/>
      <c r="V146" s="330"/>
      <c r="W146" s="1936"/>
      <c r="Y146" s="1268"/>
      <c r="Z146" s="1268"/>
      <c r="AA146" s="1268"/>
      <c r="AB146" s="1268"/>
      <c r="AC146" s="1268"/>
      <c r="AD146" s="1268"/>
      <c r="AE146" s="1268"/>
      <c r="AF146" s="1268"/>
      <c r="AG146" s="1268"/>
      <c r="AH146" s="1268"/>
      <c r="AI146" s="1268"/>
      <c r="AJ146" s="1268"/>
      <c r="AK146" s="1268"/>
      <c r="AL146" s="1268"/>
      <c r="AM146" s="1268"/>
      <c r="AN146" s="1268"/>
      <c r="AO146" s="1268"/>
      <c r="AP146" s="1268"/>
      <c r="AQ146" s="1268"/>
      <c r="AR146" s="1468">
        <v>0</v>
      </c>
    </row>
    <row s="1854" customFormat="1" customHeight="1" ht="17.25">
      <c r="A147" s="322"/>
      <c r="C147" s="321"/>
      <c r="D147" s="2137"/>
      <c r="E147" s="2145"/>
      <c r="F147" s="2148"/>
      <c r="G147" s="2145"/>
      <c r="H147" s="1300"/>
      <c r="I147" s="1937"/>
      <c r="J147" s="1937"/>
      <c r="K147" s="1937"/>
      <c r="L147" s="1937"/>
      <c r="M147" s="1937"/>
      <c r="N147" s="1937"/>
      <c r="O147" s="1937"/>
      <c r="P147" s="1937"/>
      <c r="Q147" s="1937"/>
      <c r="R147" s="1937"/>
      <c r="S147" s="1302"/>
      <c r="T147" s="1302"/>
      <c r="U147" s="1302"/>
      <c r="V147" s="1302"/>
      <c r="W147" s="1938"/>
      <c r="X147" s="1267"/>
      <c r="Y147" s="1267"/>
      <c r="Z147" s="1267"/>
      <c r="AA147" s="1267"/>
      <c r="AB147" s="1267"/>
      <c r="AC147" s="1267"/>
      <c r="AD147" s="1267"/>
      <c r="AE147" s="1267"/>
      <c r="AF147" s="1267"/>
      <c r="AG147" s="1267"/>
      <c r="AH147" s="1267"/>
      <c r="AI147" s="1267"/>
      <c r="AJ147" s="1267"/>
      <c r="AK147" s="1267"/>
      <c r="AL147" s="1267"/>
      <c r="AM147" s="1267"/>
      <c r="AN147" s="1267"/>
      <c r="AO147" s="1267"/>
      <c r="AP147" s="1267"/>
      <c r="AQ147" s="1267"/>
      <c r="AR147" s="1468">
        <v>0</v>
      </c>
    </row>
    <row s="1854" customFormat="1" customHeight="1" ht="17.25">
      <c r="A148" s="322"/>
      <c r="C148" s="210"/>
      <c r="D148" s="2136">
        <v>10</v>
      </c>
      <c r="E148" s="2144" t="s">
        <v>340</v>
      </c>
      <c r="F148" s="2146" t="s">
        <v>19</v>
      </c>
      <c r="G148" s="2144"/>
      <c r="H148" s="2149"/>
      <c r="I148" s="2151"/>
      <c r="J148" s="2153"/>
      <c r="K148" s="2138"/>
      <c r="L148" s="2138"/>
      <c r="M148" s="2138"/>
      <c r="N148" s="2140"/>
      <c r="O148" s="2138"/>
      <c r="P148" s="2138"/>
      <c r="Q148" s="2138"/>
      <c r="R148" s="2143"/>
      <c r="S148" s="2138"/>
      <c r="T148" s="1932"/>
      <c r="U148" s="1932"/>
      <c r="V148" s="1934"/>
      <c r="W148" s="1297"/>
      <c r="X148" s="1268"/>
      <c r="Y148" s="1268"/>
      <c r="Z148" s="1268"/>
      <c r="AA148" s="1268"/>
      <c r="AB148" s="1268"/>
      <c r="AC148" s="1268" t="s">
        <v>341</v>
      </c>
      <c r="AD148" s="1268" t="s">
        <v>342</v>
      </c>
      <c r="AE148" s="1268" t="s">
        <v>343</v>
      </c>
      <c r="AF148" s="1268" t="s">
        <v>344</v>
      </c>
      <c r="AG148" s="1268" t="s">
        <v>345</v>
      </c>
      <c r="AH148" s="1268" t="str">
        <f>IF($E$148=0,"",$E$148)</f>
        <v>Предельный уровень цены на тепловую энергию (мощность), поставляемую теплоснабжающими организациями потребителям</v>
      </c>
      <c r="AI148" s="1268" t="str">
        <f>IF($G$148=0,"",$G$148)</f>
        <v/>
      </c>
      <c r="AJ148" s="1268" t="str">
        <f>IF($J$148=0,"",$J$148)</f>
        <v/>
      </c>
      <c r="AK148" s="1268" t="str">
        <f>IF($K$148="нет","без дифференциации",IF($N$148=0,"",$N$148))</f>
        <v/>
      </c>
      <c r="AL148" s="1268" t="str">
        <f>IF($O$148="нет","без дифференциации",IF($R$148=0,"",$R$148))</f>
        <v/>
      </c>
      <c r="AM148" s="1268" t="str">
        <f>IF($S$148="нет","без дифференциации",IF($V$148=0,"",$V$148))</f>
        <v/>
      </c>
      <c r="AN148" s="1773">
        <f>$I$148</f>
        <v>0</v>
      </c>
      <c r="AO148" s="1268" t="str">
        <f>$I$148&amp;"."&amp;$M$148</f>
        <v>.</v>
      </c>
      <c r="AP148" s="1267" t="str">
        <f>$I$148&amp;"."&amp;$M$148&amp;"."&amp;$Q$148</f>
        <v>..</v>
      </c>
      <c r="AQ148" s="1267" t="str">
        <f>$I$148&amp;"."&amp;$M$148&amp;"."&amp;$Q$148&amp;"."&amp;$U$148</f>
        <v>...</v>
      </c>
      <c r="AR148" s="1468">
        <v>0</v>
      </c>
    </row>
    <row s="1854" customFormat="1" customHeight="1" ht="17.25">
      <c r="A149" s="322"/>
      <c r="C149" s="321"/>
      <c r="D149" s="2136"/>
      <c r="E149" s="2144"/>
      <c r="F149" s="2147"/>
      <c r="G149" s="2144"/>
      <c r="H149" s="2150"/>
      <c r="I149" s="2152"/>
      <c r="J149" s="2154"/>
      <c r="K149" s="2139"/>
      <c r="L149" s="2139"/>
      <c r="M149" s="2139"/>
      <c r="N149" s="2141"/>
      <c r="O149" s="2139"/>
      <c r="P149" s="2139"/>
      <c r="Q149" s="2139"/>
      <c r="R149" s="2142"/>
      <c r="S149" s="2139"/>
      <c r="T149" s="1935"/>
      <c r="U149" s="1935"/>
      <c r="V149" s="1935"/>
      <c r="W149" s="1936"/>
      <c r="X149" s="1267"/>
      <c r="Y149" s="1267"/>
      <c r="Z149" s="1267"/>
      <c r="AA149" s="1267"/>
      <c r="AB149" s="1267"/>
      <c r="AC149" s="1267"/>
      <c r="AD149" s="1267"/>
      <c r="AE149" s="1267"/>
      <c r="AF149" s="1267"/>
      <c r="AG149" s="1267"/>
      <c r="AH149" s="1267"/>
      <c r="AI149" s="1267"/>
      <c r="AJ149" s="1267"/>
      <c r="AK149" s="1267"/>
      <c r="AL149" s="1267"/>
      <c r="AM149" s="1267"/>
      <c r="AN149" s="1267"/>
      <c r="AO149" s="1267"/>
      <c r="AP149" s="1267"/>
      <c r="AQ149" s="1267"/>
      <c r="AR149" s="1468">
        <v>0</v>
      </c>
    </row>
    <row s="1854" customFormat="1" customHeight="1" ht="17.25">
      <c r="A150" s="322"/>
      <c r="C150" s="321"/>
      <c r="D150" s="2137"/>
      <c r="E150" s="2145"/>
      <c r="F150" s="2147"/>
      <c r="G150" s="2145"/>
      <c r="H150" s="2150"/>
      <c r="I150" s="2152"/>
      <c r="J150" s="2155"/>
      <c r="K150" s="2139"/>
      <c r="L150" s="2139"/>
      <c r="M150" s="2139"/>
      <c r="N150" s="2142"/>
      <c r="O150" s="2139"/>
      <c r="P150" s="1933"/>
      <c r="Q150" s="1935"/>
      <c r="R150" s="1935"/>
      <c r="S150" s="330"/>
      <c r="T150" s="330"/>
      <c r="U150" s="330"/>
      <c r="V150" s="330"/>
      <c r="W150" s="1936"/>
      <c r="X150" s="1267"/>
      <c r="Y150" s="1267"/>
      <c r="Z150" s="1267"/>
      <c r="AA150" s="1267"/>
      <c r="AB150" s="1267"/>
      <c r="AC150" s="1267"/>
      <c r="AD150" s="1267"/>
      <c r="AE150" s="1267"/>
      <c r="AF150" s="1267"/>
      <c r="AG150" s="1267"/>
      <c r="AH150" s="1267"/>
      <c r="AI150" s="1267"/>
      <c r="AJ150" s="1267"/>
      <c r="AK150" s="1267"/>
      <c r="AL150" s="1267"/>
      <c r="AM150" s="1267"/>
      <c r="AN150" s="1267"/>
      <c r="AO150" s="1267"/>
      <c r="AP150" s="1267"/>
      <c r="AQ150" s="1267"/>
      <c r="AR150" s="1468">
        <v>0</v>
      </c>
    </row>
    <row s="1854" customFormat="1" customHeight="1" ht="17.25">
      <c r="A151" s="322"/>
      <c r="C151" s="210"/>
      <c r="D151" s="2137"/>
      <c r="E151" s="2145"/>
      <c r="F151" s="2147"/>
      <c r="G151" s="2145"/>
      <c r="H151" s="2150"/>
      <c r="I151" s="2152"/>
      <c r="J151" s="2155"/>
      <c r="K151" s="2139"/>
      <c r="L151" s="1935"/>
      <c r="M151" s="1935"/>
      <c r="N151" s="1935"/>
      <c r="O151" s="1935"/>
      <c r="P151" s="1935"/>
      <c r="Q151" s="1935"/>
      <c r="R151" s="1935"/>
      <c r="S151" s="330"/>
      <c r="T151" s="330"/>
      <c r="U151" s="330"/>
      <c r="V151" s="330"/>
      <c r="W151" s="1936"/>
      <c r="Y151" s="1268"/>
      <c r="Z151" s="1268"/>
      <c r="AA151" s="1268"/>
      <c r="AB151" s="1268"/>
      <c r="AC151" s="1268"/>
      <c r="AD151" s="1268"/>
      <c r="AE151" s="1268"/>
      <c r="AF151" s="1268"/>
      <c r="AG151" s="1268"/>
      <c r="AH151" s="1268"/>
      <c r="AI151" s="1268"/>
      <c r="AJ151" s="1268"/>
      <c r="AK151" s="1268"/>
      <c r="AL151" s="1268"/>
      <c r="AM151" s="1268"/>
      <c r="AN151" s="1268"/>
      <c r="AO151" s="1268"/>
      <c r="AP151" s="1268"/>
      <c r="AQ151" s="1268"/>
      <c r="AR151" s="1468">
        <v>0</v>
      </c>
    </row>
    <row s="1854" customFormat="1" customHeight="1" ht="17.25">
      <c r="A152" s="322"/>
      <c r="C152" s="321"/>
      <c r="D152" s="2137"/>
      <c r="E152" s="2145"/>
      <c r="F152" s="2148"/>
      <c r="G152" s="2145"/>
      <c r="H152" s="1300"/>
      <c r="I152" s="1937"/>
      <c r="J152" s="1937"/>
      <c r="K152" s="1937"/>
      <c r="L152" s="1937"/>
      <c r="M152" s="1937"/>
      <c r="N152" s="1937"/>
      <c r="O152" s="1937"/>
      <c r="P152" s="1937"/>
      <c r="Q152" s="1937"/>
      <c r="R152" s="1937"/>
      <c r="S152" s="1302"/>
      <c r="T152" s="1302"/>
      <c r="U152" s="1302"/>
      <c r="V152" s="1302"/>
      <c r="W152" s="1938"/>
      <c r="X152" s="1267"/>
      <c r="Y152" s="1267"/>
      <c r="Z152" s="1267"/>
      <c r="AA152" s="1267"/>
      <c r="AB152" s="1267"/>
      <c r="AC152" s="1267"/>
      <c r="AD152" s="1267"/>
      <c r="AE152" s="1267"/>
      <c r="AF152" s="1267"/>
      <c r="AG152" s="1267"/>
      <c r="AH152" s="1267"/>
      <c r="AI152" s="1267"/>
      <c r="AJ152" s="1267"/>
      <c r="AK152" s="1267"/>
      <c r="AL152" s="1267"/>
      <c r="AM152" s="1267"/>
      <c r="AN152" s="1267"/>
      <c r="AO152" s="1267"/>
      <c r="AP152" s="1267"/>
      <c r="AQ152" s="1267"/>
      <c r="AR152" s="1468">
        <v>0</v>
      </c>
    </row>
    <row customHeight="1" ht="11.25">
      <c r="AR153" s="105">
        <v>0</v>
      </c>
    </row>
    <row customHeight="1" ht="11.25">
      <c r="E154" s="2175" t="s">
        <v>346</v>
      </c>
      <c r="F154" s="2175"/>
      <c r="G154" s="2175"/>
      <c r="H154" s="2175"/>
      <c r="I154" s="2175"/>
      <c r="J154" s="2175"/>
      <c r="K154" s="2175"/>
      <c r="L154" s="2175"/>
      <c r="M154" s="2175"/>
      <c r="N154" s="2175"/>
      <c r="O154" s="2175"/>
      <c r="P154" s="2175"/>
      <c r="Q154" s="2175"/>
      <c r="R154" s="2175"/>
      <c r="S154" s="2175"/>
      <c r="T154" s="2175"/>
      <c r="U154" s="2175"/>
      <c r="V154" s="2175"/>
      <c r="W154" s="2175"/>
      <c r="AR154" s="105">
        <v>0</v>
      </c>
    </row>
    <row customHeight="1" ht="36.75">
      <c r="E155" s="2173" t="s">
        <v>347</v>
      </c>
      <c r="F155" s="2173"/>
      <c r="G155" s="2174"/>
      <c r="H155" s="2174"/>
      <c r="I155" s="2174"/>
      <c r="J155" s="2174"/>
      <c r="K155" s="2174"/>
      <c r="L155" s="2174"/>
      <c r="M155" s="2174"/>
      <c r="N155" s="2174"/>
      <c r="O155" s="2174"/>
      <c r="P155" s="2174"/>
      <c r="Q155" s="2174"/>
      <c r="R155" s="2174"/>
      <c r="S155" s="2174"/>
      <c r="T155" s="2174"/>
      <c r="U155" s="2174"/>
      <c r="V155" s="2174"/>
      <c r="W155" s="2174"/>
      <c r="AR155" s="105">
        <v>0</v>
      </c>
    </row>
    <row customHeight="1" ht="28.5">
      <c r="E156" s="2173" t="s">
        <v>348</v>
      </c>
      <c r="F156" s="2173"/>
      <c r="G156" s="2174"/>
      <c r="H156" s="2174"/>
      <c r="I156" s="2174"/>
      <c r="J156" s="2174"/>
      <c r="K156" s="2174"/>
      <c r="L156" s="2174"/>
      <c r="M156" s="2174"/>
      <c r="N156" s="2174"/>
      <c r="O156" s="2174"/>
      <c r="P156" s="2174"/>
      <c r="Q156" s="2174"/>
      <c r="R156" s="2174"/>
      <c r="S156" s="2174"/>
      <c r="T156" s="2174"/>
      <c r="U156" s="2174"/>
      <c r="V156" s="2174"/>
      <c r="W156" s="2174"/>
      <c r="AR156" s="105">
        <v>0</v>
      </c>
    </row>
    <row customHeight="1" ht="27">
      <c r="E157" s="2173" t="s">
        <v>349</v>
      </c>
      <c r="F157" s="2173"/>
      <c r="G157" s="2174"/>
      <c r="H157" s="2174"/>
      <c r="I157" s="2174"/>
      <c r="J157" s="2174"/>
      <c r="K157" s="2174"/>
      <c r="L157" s="2174"/>
      <c r="M157" s="2174"/>
      <c r="N157" s="2174"/>
      <c r="O157" s="2174"/>
      <c r="P157" s="2174"/>
      <c r="Q157" s="2174"/>
      <c r="R157" s="2174"/>
      <c r="S157" s="2174"/>
      <c r="T157" s="2174"/>
      <c r="U157" s="2174"/>
      <c r="V157" s="2174"/>
      <c r="W157" s="2174"/>
      <c r="AR157" s="105">
        <v>0</v>
      </c>
    </row>
    <row customHeight="1" ht="17.25">
      <c r="E158" s="2173" t="s">
        <v>350</v>
      </c>
      <c r="F158" s="2173"/>
      <c r="G158" s="2174"/>
      <c r="H158" s="2174"/>
      <c r="I158" s="2174"/>
      <c r="J158" s="2174"/>
      <c r="K158" s="2174"/>
      <c r="L158" s="2174"/>
      <c r="M158" s="2174"/>
      <c r="N158" s="2174"/>
      <c r="O158" s="2174"/>
      <c r="P158" s="2174"/>
      <c r="Q158" s="2174"/>
      <c r="R158" s="2174"/>
      <c r="S158" s="2174"/>
      <c r="T158" s="2174"/>
      <c r="U158" s="2174"/>
      <c r="V158" s="2174"/>
      <c r="W158" s="2174"/>
      <c r="AR158" s="105">
        <v>0</v>
      </c>
    </row>
    <row customHeight="1" ht="15">
      <c r="E159" s="341"/>
      <c r="F159" s="1286"/>
      <c r="G159" s="158"/>
      <c r="H159" s="158"/>
      <c r="I159" s="158"/>
      <c r="J159" s="158"/>
      <c r="K159" s="158"/>
      <c r="L159" s="158"/>
      <c r="M159" s="158"/>
      <c r="N159" s="158"/>
      <c r="O159" s="158"/>
      <c r="P159" s="158"/>
      <c r="Q159" s="158"/>
      <c r="R159" s="158"/>
      <c r="S159" s="158"/>
      <c r="T159" s="158"/>
      <c r="U159" s="158"/>
      <c r="V159" s="158"/>
      <c r="W159" s="158"/>
      <c r="AR159" s="105">
        <v>0</v>
      </c>
    </row>
    <row customHeight="1" ht="15">
      <c r="E160" s="2175" t="s">
        <v>351</v>
      </c>
      <c r="F160" s="2175"/>
      <c r="G160" s="2175"/>
      <c r="H160" s="2175"/>
      <c r="I160" s="2175"/>
      <c r="J160" s="2175"/>
      <c r="K160" s="2175"/>
      <c r="L160" s="2175"/>
      <c r="M160" s="2175"/>
      <c r="N160" s="2175"/>
      <c r="O160" s="2175"/>
      <c r="P160" s="2175"/>
      <c r="Q160" s="2175"/>
      <c r="R160" s="2175"/>
      <c r="S160" s="2175"/>
      <c r="T160" s="2175"/>
      <c r="U160" s="2175"/>
      <c r="V160" s="2175"/>
      <c r="W160" s="2175"/>
      <c r="AR160" s="105">
        <v>0</v>
      </c>
    </row>
    <row customHeight="1" ht="17.25">
      <c r="E161" s="2173" t="s">
        <v>352</v>
      </c>
      <c r="F161" s="2173"/>
      <c r="G161" s="2174"/>
      <c r="H161" s="2174"/>
      <c r="I161" s="2174"/>
      <c r="J161" s="2174"/>
      <c r="K161" s="2174"/>
      <c r="L161" s="2174"/>
      <c r="M161" s="2174"/>
      <c r="N161" s="2174"/>
      <c r="O161" s="2174"/>
      <c r="P161" s="2174"/>
      <c r="Q161" s="2174"/>
      <c r="R161" s="2174"/>
      <c r="S161" s="2174"/>
      <c r="T161" s="2174"/>
      <c r="U161" s="2174"/>
      <c r="V161" s="2174"/>
      <c r="W161" s="2174"/>
      <c r="AR161" s="105">
        <v>0</v>
      </c>
    </row>
    <row customHeight="1" ht="17.25">
      <c r="E162" s="2173" t="s">
        <v>353</v>
      </c>
      <c r="F162" s="2173"/>
      <c r="G162" s="2174"/>
      <c r="H162" s="2174"/>
      <c r="I162" s="2174"/>
      <c r="J162" s="2174"/>
      <c r="K162" s="2174"/>
      <c r="L162" s="2174"/>
      <c r="M162" s="2174"/>
      <c r="N162" s="2174"/>
      <c r="O162" s="2174"/>
      <c r="P162" s="2174"/>
      <c r="Q162" s="2174"/>
      <c r="R162" s="2174"/>
      <c r="S162" s="2174"/>
      <c r="T162" s="2174"/>
      <c r="U162" s="2174"/>
      <c r="V162" s="2174"/>
      <c r="W162" s="2174"/>
      <c r="AR162" s="105">
        <v>0</v>
      </c>
    </row>
    <row s="1854" customFormat="1" customHeight="1" ht="11.25" hidden="1">
      <c r="A163" s="278"/>
      <c r="B163" s="278"/>
      <c r="Y163" s="1260"/>
      <c r="Z163" s="1260"/>
      <c r="AA163" s="1260"/>
      <c r="AB163" s="1260"/>
      <c r="AC163" s="1260"/>
      <c r="AD163" s="1260"/>
      <c r="AE163" s="1260"/>
      <c r="AF163" s="1260"/>
      <c r="AG163" s="1260"/>
      <c r="AH163" s="1260"/>
      <c r="AI163" s="1260"/>
      <c r="AJ163" s="1260"/>
      <c r="AK163" s="1260"/>
      <c r="AL163" s="1260"/>
      <c r="AM163" s="1260"/>
      <c r="AN163" s="1260"/>
      <c r="AO163" s="1260"/>
      <c r="AP163" s="1260"/>
      <c r="AQ163" s="1260"/>
      <c r="AR163" s="1351">
        <v>0</v>
      </c>
    </row>
    <row s="1854" customFormat="1" customHeight="1" ht="17.25" hidden="1">
      <c r="A164" s="322"/>
      <c r="C164" s="210"/>
      <c r="D164" s="2136">
        <v>1</v>
      </c>
      <c r="E164" s="2144" t="s">
        <v>354</v>
      </c>
      <c r="F164" s="2146" t="s">
        <v>19</v>
      </c>
      <c r="G164" s="2144"/>
      <c r="H164" s="2149"/>
      <c r="I164" s="2151"/>
      <c r="J164" s="2153"/>
      <c r="K164" s="2138"/>
      <c r="L164" s="2138"/>
      <c r="M164" s="2138"/>
      <c r="N164" s="2140"/>
      <c r="O164" s="2138"/>
      <c r="P164" s="2138"/>
      <c r="Q164" s="2138"/>
      <c r="R164" s="2143"/>
      <c r="S164" s="2138"/>
      <c r="T164" s="1471"/>
      <c r="U164" s="1471"/>
      <c r="V164" s="1473"/>
      <c r="W164" s="1297"/>
      <c r="Y164" s="1268"/>
      <c r="Z164" s="1268"/>
      <c r="AA164" s="1268"/>
      <c r="AB164" s="1268"/>
      <c r="AC164" s="1268" t="s">
        <v>355</v>
      </c>
      <c r="AD164" s="1268" t="s">
        <v>356</v>
      </c>
      <c r="AE164" s="1268" t="s">
        <v>357</v>
      </c>
      <c r="AF164" s="1268" t="s">
        <v>358</v>
      </c>
      <c r="AG164" s="1268"/>
      <c r="AH164" s="1268" t="str">
        <f>IF($E$164=0,"",$E$164)</f>
        <v>Тариф на питьевую воду (питьевое водоснабжение)</v>
      </c>
      <c r="AI164" s="1268" t="str">
        <f>IF($G$164=0,"",$G$164)</f>
        <v/>
      </c>
      <c r="AJ164" s="1268" t="str">
        <f>IF($J$164=0,"",$J$164)</f>
        <v/>
      </c>
      <c r="AK164" s="1268" t="str">
        <f>IF($K$164="нет","без дифференциации",IF($N$164=0,"",$N$164))</f>
        <v/>
      </c>
      <c r="AL164" s="1268" t="str">
        <f>IF($O$164="нет","без дифференциации",IF($R$164=0,"",$R$164))</f>
        <v/>
      </c>
      <c r="AM164" s="1268" t="str">
        <f>IF($S$164="нет","без дифференциации",IF($V$164=0,"",$V$164))</f>
        <v/>
      </c>
      <c r="AN164" s="1268">
        <f>$I$164</f>
        <v>0</v>
      </c>
      <c r="AO164" s="1268" t="str">
        <f>$I$164&amp;"."&amp;$M$164</f>
        <v>.</v>
      </c>
      <c r="AP164" s="1268" t="str">
        <f>$I$164&amp;"."&amp;$M$164&amp;"."&amp;$Q$164</f>
        <v>..</v>
      </c>
      <c r="AQ164" s="1268" t="str">
        <f>$I$164&amp;"."&amp;$M$164&amp;"."&amp;$Q$164&amp;"."&amp;$U$164</f>
        <v>...</v>
      </c>
      <c r="AR164" s="1351">
        <v>0</v>
      </c>
    </row>
    <row s="1854" customFormat="1" customHeight="1" ht="17.25" hidden="1">
      <c r="A165" s="322"/>
      <c r="C165" s="321"/>
      <c r="D165" s="2136"/>
      <c r="E165" s="2144"/>
      <c r="F165" s="2147"/>
      <c r="G165" s="2144"/>
      <c r="H165" s="2150"/>
      <c r="I165" s="2152"/>
      <c r="J165" s="2154"/>
      <c r="K165" s="2139"/>
      <c r="L165" s="2139"/>
      <c r="M165" s="2139"/>
      <c r="N165" s="2141"/>
      <c r="O165" s="2139"/>
      <c r="P165" s="2139"/>
      <c r="Q165" s="2139"/>
      <c r="R165" s="2142"/>
      <c r="S165" s="2139"/>
      <c r="T165" s="1298"/>
      <c r="U165" s="1298"/>
      <c r="V165" s="1298"/>
      <c r="W165" s="1299"/>
      <c r="Y165" s="1260"/>
      <c r="Z165" s="1260"/>
      <c r="AA165" s="1260"/>
      <c r="AB165" s="1260"/>
      <c r="AC165" s="1260"/>
      <c r="AD165" s="1260"/>
      <c r="AE165" s="1260"/>
      <c r="AF165" s="1260"/>
      <c r="AG165" s="1260"/>
      <c r="AH165" s="1260"/>
      <c r="AI165" s="1260"/>
      <c r="AJ165" s="1260"/>
      <c r="AK165" s="1260"/>
      <c r="AL165" s="1260"/>
      <c r="AM165" s="1260"/>
      <c r="AN165" s="1260"/>
      <c r="AO165" s="1260"/>
      <c r="AP165" s="1260"/>
      <c r="AQ165" s="1260"/>
      <c r="AR165" s="1351">
        <v>0</v>
      </c>
    </row>
    <row s="1854" customFormat="1" customHeight="1" ht="17.25" hidden="1">
      <c r="A166" s="322"/>
      <c r="C166" s="210"/>
      <c r="D166" s="2136"/>
      <c r="E166" s="2144"/>
      <c r="F166" s="2147"/>
      <c r="G166" s="2144"/>
      <c r="H166" s="2150"/>
      <c r="I166" s="2152"/>
      <c r="J166" s="2155"/>
      <c r="K166" s="2139"/>
      <c r="L166" s="2139"/>
      <c r="M166" s="2139"/>
      <c r="N166" s="2142"/>
      <c r="O166" s="2139"/>
      <c r="P166" s="1472"/>
      <c r="Q166" s="1298"/>
      <c r="R166" s="1298"/>
      <c r="S166" s="330"/>
      <c r="T166" s="330"/>
      <c r="U166" s="330"/>
      <c r="V166" s="330"/>
      <c r="W166" s="1299"/>
      <c r="Y166" s="1268"/>
      <c r="Z166" s="1268"/>
      <c r="AA166" s="1268"/>
      <c r="AB166" s="1268"/>
      <c r="AC166" s="1268"/>
      <c r="AD166" s="1268"/>
      <c r="AE166" s="1268"/>
      <c r="AF166" s="1268"/>
      <c r="AG166" s="1268"/>
      <c r="AH166" s="1268"/>
      <c r="AI166" s="1268"/>
      <c r="AJ166" s="1268"/>
      <c r="AK166" s="1268"/>
      <c r="AL166" s="1268"/>
      <c r="AM166" s="1268"/>
      <c r="AN166" s="1268"/>
      <c r="AO166" s="1268"/>
      <c r="AP166" s="1268"/>
      <c r="AQ166" s="1268"/>
      <c r="AR166" s="1442">
        <v>0</v>
      </c>
    </row>
    <row s="1854" customFormat="1" customHeight="1" ht="17.25" hidden="1">
      <c r="A167" s="322"/>
      <c r="C167" s="321"/>
      <c r="D167" s="2136"/>
      <c r="E167" s="2144"/>
      <c r="F167" s="2147"/>
      <c r="G167" s="2144"/>
      <c r="H167" s="2150"/>
      <c r="I167" s="2152"/>
      <c r="J167" s="2155"/>
      <c r="K167" s="2139"/>
      <c r="L167" s="1298"/>
      <c r="M167" s="1298"/>
      <c r="N167" s="1298"/>
      <c r="O167" s="1298"/>
      <c r="P167" s="1298"/>
      <c r="Q167" s="1298"/>
      <c r="R167" s="1298"/>
      <c r="S167" s="330"/>
      <c r="T167" s="330"/>
      <c r="U167" s="330"/>
      <c r="V167" s="330"/>
      <c r="W167" s="1299"/>
      <c r="Y167" s="1260"/>
      <c r="Z167" s="1260"/>
      <c r="AA167" s="1260"/>
      <c r="AB167" s="1260"/>
      <c r="AC167" s="1260"/>
      <c r="AD167" s="1260"/>
      <c r="AE167" s="1260"/>
      <c r="AF167" s="1260"/>
      <c r="AG167" s="1260"/>
      <c r="AH167" s="1260"/>
      <c r="AI167" s="1260"/>
      <c r="AJ167" s="1260"/>
      <c r="AK167" s="1260"/>
      <c r="AL167" s="1260"/>
      <c r="AM167" s="1260"/>
      <c r="AN167" s="1260"/>
      <c r="AO167" s="1260"/>
      <c r="AP167" s="1260"/>
      <c r="AQ167" s="1260"/>
      <c r="AR167" s="1442">
        <v>0</v>
      </c>
    </row>
    <row s="1854" customFormat="1" customHeight="1" ht="17.25" hidden="1">
      <c r="A168" s="322"/>
      <c r="C168" s="321"/>
      <c r="D168" s="2137"/>
      <c r="E168" s="2145"/>
      <c r="F168" s="2148"/>
      <c r="G168" s="2145"/>
      <c r="H168" s="1300"/>
      <c r="I168" s="1301"/>
      <c r="J168" s="1301"/>
      <c r="K168" s="1301"/>
      <c r="L168" s="1301"/>
      <c r="M168" s="1301"/>
      <c r="N168" s="1301"/>
      <c r="O168" s="1301"/>
      <c r="P168" s="1301"/>
      <c r="Q168" s="1301"/>
      <c r="R168" s="1301"/>
      <c r="S168" s="1302"/>
      <c r="T168" s="1302"/>
      <c r="U168" s="1302"/>
      <c r="V168" s="1302"/>
      <c r="W168" s="1303"/>
      <c r="Y168" s="1260"/>
      <c r="Z168" s="1260"/>
      <c r="AA168" s="1260"/>
      <c r="AB168" s="1260"/>
      <c r="AC168" s="1260"/>
      <c r="AD168" s="1260"/>
      <c r="AE168" s="1260"/>
      <c r="AF168" s="1260"/>
      <c r="AG168" s="1260"/>
      <c r="AH168" s="1260"/>
      <c r="AI168" s="1260"/>
      <c r="AJ168" s="1260"/>
      <c r="AK168" s="1260"/>
      <c r="AL168" s="1260"/>
      <c r="AM168" s="1260"/>
      <c r="AN168" s="1260"/>
      <c r="AO168" s="1260"/>
      <c r="AP168" s="1260"/>
      <c r="AQ168" s="1260"/>
      <c r="AR168" s="1351">
        <v>0</v>
      </c>
    </row>
    <row s="1854" customFormat="1" customHeight="1" ht="17.25" hidden="1">
      <c r="A169" s="322"/>
      <c r="C169" s="210"/>
      <c r="D169" s="2136">
        <v>2</v>
      </c>
      <c r="E169" s="2144" t="s">
        <v>359</v>
      </c>
      <c r="F169" s="2146" t="s">
        <v>19</v>
      </c>
      <c r="G169" s="2144"/>
      <c r="H169" s="2149"/>
      <c r="I169" s="2151"/>
      <c r="J169" s="2153"/>
      <c r="K169" s="2138"/>
      <c r="L169" s="2138"/>
      <c r="M169" s="2138"/>
      <c r="N169" s="2140"/>
      <c r="O169" s="2138"/>
      <c r="P169" s="2138"/>
      <c r="Q169" s="2138"/>
      <c r="R169" s="2143"/>
      <c r="S169" s="2138"/>
      <c r="T169" s="1444"/>
      <c r="U169" s="1444"/>
      <c r="V169" s="1446"/>
      <c r="W169" s="1297"/>
      <c r="X169" s="1268"/>
      <c r="Y169" s="1268"/>
      <c r="Z169" s="1268"/>
      <c r="AA169" s="1268"/>
      <c r="AB169" s="1268"/>
      <c r="AC169" s="1268" t="s">
        <v>360</v>
      </c>
      <c r="AD169" s="1268" t="s">
        <v>361</v>
      </c>
      <c r="AE169" s="1268" t="s">
        <v>362</v>
      </c>
      <c r="AF169" s="1268" t="s">
        <v>363</v>
      </c>
      <c r="AG169" s="1268"/>
      <c r="AH169" s="1268" t="str">
        <f>IF($E$169=0,"",$E$169)</f>
        <v>Тариф на техническую воду</v>
      </c>
      <c r="AI169" s="1268" t="str">
        <f>IF($G$169=0,"",$G$169)</f>
        <v/>
      </c>
      <c r="AJ169" s="1268" t="str">
        <f>IF($J$169=0,"",$J$169)</f>
        <v/>
      </c>
      <c r="AK169" s="1268" t="str">
        <f>IF($K$169="нет","без дифференциации",IF($N$169=0,"",$N$169))</f>
        <v/>
      </c>
      <c r="AL169" s="1268" t="str">
        <f>IF($O$169="нет","без дифференциации",IF($R$169=0,"",$R$169))</f>
        <v/>
      </c>
      <c r="AM169" s="1268" t="str">
        <f>IF($S$169="нет","без дифференциации",IF($V$169=0,"",$V$169))</f>
        <v/>
      </c>
      <c r="AN169" s="1773">
        <f>$I$169</f>
        <v>0</v>
      </c>
      <c r="AO169" s="1268" t="str">
        <f>$I$169&amp;"."&amp;$M$169</f>
        <v>.</v>
      </c>
      <c r="AP169" s="1260" t="str">
        <f>$I$169&amp;"."&amp;$M$169&amp;"."&amp;$Q$169</f>
        <v>..</v>
      </c>
      <c r="AQ169" s="1260" t="str">
        <f>$I$169&amp;"."&amp;$M$169&amp;"."&amp;$Q$169&amp;"."&amp;$U$169</f>
        <v>...</v>
      </c>
      <c r="AR169" s="1351">
        <v>0</v>
      </c>
    </row>
    <row s="1854" customFormat="1" customHeight="1" ht="17.25" hidden="1">
      <c r="A170" s="322"/>
      <c r="C170" s="321"/>
      <c r="D170" s="2136"/>
      <c r="E170" s="2144"/>
      <c r="F170" s="2147"/>
      <c r="G170" s="2144"/>
      <c r="H170" s="2150"/>
      <c r="I170" s="2152"/>
      <c r="J170" s="2154"/>
      <c r="K170" s="2139"/>
      <c r="L170" s="2139"/>
      <c r="M170" s="2139"/>
      <c r="N170" s="2141"/>
      <c r="O170" s="2139"/>
      <c r="P170" s="2139"/>
      <c r="Q170" s="2139"/>
      <c r="R170" s="2142"/>
      <c r="S170" s="2139"/>
      <c r="T170" s="1298"/>
      <c r="U170" s="1298"/>
      <c r="V170" s="1298"/>
      <c r="W170" s="1299"/>
      <c r="X170" s="1260"/>
      <c r="Y170" s="1260"/>
      <c r="Z170" s="1260"/>
      <c r="AA170" s="1260"/>
      <c r="AB170" s="1260"/>
      <c r="AC170" s="1260"/>
      <c r="AD170" s="1260"/>
      <c r="AE170" s="1260"/>
      <c r="AF170" s="1260"/>
      <c r="AG170" s="1260"/>
      <c r="AH170" s="1260"/>
      <c r="AI170" s="1260"/>
      <c r="AJ170" s="1260"/>
      <c r="AK170" s="1260"/>
      <c r="AL170" s="1260"/>
      <c r="AM170" s="1260"/>
      <c r="AN170" s="1260"/>
      <c r="AO170" s="1260"/>
      <c r="AP170" s="1260"/>
      <c r="AQ170" s="1260"/>
      <c r="AR170" s="1351">
        <v>0</v>
      </c>
    </row>
    <row s="1854" customFormat="1" customHeight="1" ht="17.25" hidden="1">
      <c r="A171" s="322"/>
      <c r="C171" s="321"/>
      <c r="D171" s="2137"/>
      <c r="E171" s="2145"/>
      <c r="F171" s="2147"/>
      <c r="G171" s="2145"/>
      <c r="H171" s="2150"/>
      <c r="I171" s="2152"/>
      <c r="J171" s="2155"/>
      <c r="K171" s="2139"/>
      <c r="L171" s="2139"/>
      <c r="M171" s="2139"/>
      <c r="N171" s="2142"/>
      <c r="O171" s="2139"/>
      <c r="P171" s="1445"/>
      <c r="Q171" s="1298"/>
      <c r="R171" s="1298"/>
      <c r="S171" s="330"/>
      <c r="T171" s="330"/>
      <c r="U171" s="330"/>
      <c r="V171" s="330"/>
      <c r="W171" s="1299"/>
      <c r="X171" s="1260"/>
      <c r="Y171" s="1260"/>
      <c r="Z171" s="1260"/>
      <c r="AA171" s="1260"/>
      <c r="AB171" s="1260"/>
      <c r="AC171" s="1260"/>
      <c r="AD171" s="1260"/>
      <c r="AE171" s="1260"/>
      <c r="AF171" s="1260"/>
      <c r="AG171" s="1260"/>
      <c r="AH171" s="1260"/>
      <c r="AI171" s="1260"/>
      <c r="AJ171" s="1260"/>
      <c r="AK171" s="1260"/>
      <c r="AL171" s="1260"/>
      <c r="AM171" s="1260"/>
      <c r="AN171" s="1260"/>
      <c r="AO171" s="1260"/>
      <c r="AP171" s="1260"/>
      <c r="AQ171" s="1260"/>
      <c r="AR171" s="1351">
        <v>0</v>
      </c>
    </row>
    <row s="1854" customFormat="1" customHeight="1" ht="17.25" hidden="1">
      <c r="A172" s="322"/>
      <c r="C172" s="321"/>
      <c r="D172" s="2137"/>
      <c r="E172" s="2145"/>
      <c r="F172" s="2147"/>
      <c r="G172" s="2145"/>
      <c r="H172" s="2150"/>
      <c r="I172" s="2152"/>
      <c r="J172" s="2155"/>
      <c r="K172" s="2139"/>
      <c r="L172" s="1298"/>
      <c r="M172" s="1298"/>
      <c r="N172" s="1298"/>
      <c r="O172" s="1298"/>
      <c r="P172" s="1298"/>
      <c r="Q172" s="1298"/>
      <c r="R172" s="1298"/>
      <c r="S172" s="330"/>
      <c r="T172" s="330"/>
      <c r="U172" s="330"/>
      <c r="V172" s="330"/>
      <c r="W172" s="1299"/>
      <c r="X172" s="1260"/>
      <c r="Y172" s="1260"/>
      <c r="Z172" s="1260"/>
      <c r="AA172" s="1260"/>
      <c r="AB172" s="1260"/>
      <c r="AC172" s="1260"/>
      <c r="AD172" s="1260"/>
      <c r="AE172" s="1260"/>
      <c r="AF172" s="1260"/>
      <c r="AG172" s="1260"/>
      <c r="AH172" s="1260"/>
      <c r="AI172" s="1260"/>
      <c r="AJ172" s="1260"/>
      <c r="AK172" s="1260"/>
      <c r="AL172" s="1260"/>
      <c r="AM172" s="1260"/>
      <c r="AN172" s="1260"/>
      <c r="AO172" s="1260"/>
      <c r="AP172" s="1260"/>
      <c r="AQ172" s="1260"/>
      <c r="AR172" s="1351">
        <v>0</v>
      </c>
    </row>
    <row s="1854" customFormat="1" customHeight="1" ht="17.25" hidden="1">
      <c r="A173" s="322"/>
      <c r="C173" s="321"/>
      <c r="D173" s="2137"/>
      <c r="E173" s="2145"/>
      <c r="F173" s="2148"/>
      <c r="G173" s="2145"/>
      <c r="H173" s="1300"/>
      <c r="I173" s="1301"/>
      <c r="J173" s="1301"/>
      <c r="K173" s="1301"/>
      <c r="L173" s="1301"/>
      <c r="M173" s="1301"/>
      <c r="N173" s="1301"/>
      <c r="O173" s="1301"/>
      <c r="P173" s="1301"/>
      <c r="Q173" s="1301"/>
      <c r="R173" s="1301"/>
      <c r="S173" s="1302"/>
      <c r="T173" s="1302"/>
      <c r="U173" s="1302"/>
      <c r="V173" s="1302"/>
      <c r="W173" s="1303"/>
      <c r="X173" s="1260"/>
      <c r="Y173" s="1260"/>
      <c r="Z173" s="1260"/>
      <c r="AA173" s="1260"/>
      <c r="AB173" s="1260"/>
      <c r="AC173" s="1260"/>
      <c r="AD173" s="1260"/>
      <c r="AE173" s="1260"/>
      <c r="AF173" s="1260"/>
      <c r="AG173" s="1260"/>
      <c r="AH173" s="1260"/>
      <c r="AI173" s="1260"/>
      <c r="AJ173" s="1260"/>
      <c r="AK173" s="1260"/>
      <c r="AL173" s="1260"/>
      <c r="AM173" s="1260"/>
      <c r="AN173" s="1260"/>
      <c r="AO173" s="1260"/>
      <c r="AP173" s="1260"/>
      <c r="AQ173" s="1260"/>
      <c r="AR173" s="1351">
        <v>0</v>
      </c>
    </row>
    <row s="1854" customFormat="1" customHeight="1" ht="17.25" hidden="1">
      <c r="A174" s="322"/>
      <c r="C174" s="210"/>
      <c r="D174" s="2136">
        <v>3</v>
      </c>
      <c r="E174" s="2144" t="s">
        <v>364</v>
      </c>
      <c r="F174" s="2146" t="s">
        <v>19</v>
      </c>
      <c r="G174" s="2144"/>
      <c r="H174" s="2149"/>
      <c r="I174" s="2151"/>
      <c r="J174" s="2153"/>
      <c r="K174" s="2138"/>
      <c r="L174" s="2138"/>
      <c r="M174" s="2138"/>
      <c r="N174" s="2140"/>
      <c r="O174" s="2138"/>
      <c r="P174" s="2138"/>
      <c r="Q174" s="2138"/>
      <c r="R174" s="2143"/>
      <c r="S174" s="2138"/>
      <c r="T174" s="1444"/>
      <c r="U174" s="1444"/>
      <c r="V174" s="1446"/>
      <c r="W174" s="1297"/>
      <c r="X174" s="1268"/>
      <c r="Y174" s="1268"/>
      <c r="Z174" s="1268"/>
      <c r="AA174" s="1268"/>
      <c r="AB174" s="1268"/>
      <c r="AC174" s="1268" t="s">
        <v>365</v>
      </c>
      <c r="AD174" s="1268" t="s">
        <v>366</v>
      </c>
      <c r="AE174" s="1268" t="s">
        <v>367</v>
      </c>
      <c r="AF174" s="1268" t="s">
        <v>368</v>
      </c>
      <c r="AG174" s="1268"/>
      <c r="AH174" s="1268" t="str">
        <f>IF($E$174=0,"",$E$174)</f>
        <v>Тариф на транспортировку воды</v>
      </c>
      <c r="AI174" s="1268" t="str">
        <f>IF($G$174=0,"",$G$174)</f>
        <v/>
      </c>
      <c r="AJ174" s="1268" t="str">
        <f>IF($J$174=0,"",$J$174)</f>
        <v/>
      </c>
      <c r="AK174" s="1268" t="str">
        <f>IF($K$174="нет","без дифференциации",IF($N$174=0,"",$N$174))</f>
        <v/>
      </c>
      <c r="AL174" s="1268" t="str">
        <f>IF($O$174="нет","без дифференциации",IF($R$174=0,"",$R$174))</f>
        <v/>
      </c>
      <c r="AM174" s="1268" t="str">
        <f>IF($S$174="нет","без дифференциации",IF($V$174=0,"",$V$174))</f>
        <v/>
      </c>
      <c r="AN174" s="1773">
        <f>$I$174</f>
        <v>0</v>
      </c>
      <c r="AO174" s="1268" t="str">
        <f>$I$174&amp;"."&amp;$M$174</f>
        <v>.</v>
      </c>
      <c r="AP174" s="1260" t="str">
        <f>$I$174&amp;"."&amp;$M$174&amp;"."&amp;$Q$174</f>
        <v>..</v>
      </c>
      <c r="AQ174" s="1260" t="str">
        <f>$I$174&amp;"."&amp;$M$174&amp;"."&amp;$Q$174&amp;"."&amp;$U$174</f>
        <v>...</v>
      </c>
      <c r="AR174" s="1351">
        <v>0</v>
      </c>
    </row>
    <row s="1854" customFormat="1" customHeight="1" ht="17.25" hidden="1">
      <c r="A175" s="322"/>
      <c r="C175" s="321"/>
      <c r="D175" s="2136"/>
      <c r="E175" s="2144"/>
      <c r="F175" s="2147"/>
      <c r="G175" s="2144"/>
      <c r="H175" s="2150"/>
      <c r="I175" s="2152"/>
      <c r="J175" s="2154"/>
      <c r="K175" s="2139"/>
      <c r="L175" s="2139"/>
      <c r="M175" s="2139"/>
      <c r="N175" s="2141"/>
      <c r="O175" s="2139"/>
      <c r="P175" s="2139"/>
      <c r="Q175" s="2139"/>
      <c r="R175" s="2142"/>
      <c r="S175" s="2139"/>
      <c r="T175" s="1298"/>
      <c r="U175" s="1298"/>
      <c r="V175" s="1298"/>
      <c r="W175" s="1299"/>
      <c r="X175" s="1260"/>
      <c r="Y175" s="1260"/>
      <c r="Z175" s="1260"/>
      <c r="AA175" s="1260"/>
      <c r="AB175" s="1260"/>
      <c r="AC175" s="1260"/>
      <c r="AD175" s="1260"/>
      <c r="AE175" s="1260"/>
      <c r="AF175" s="1260"/>
      <c r="AG175" s="1260"/>
      <c r="AH175" s="1260"/>
      <c r="AI175" s="1260"/>
      <c r="AJ175" s="1260"/>
      <c r="AK175" s="1260"/>
      <c r="AL175" s="1260"/>
      <c r="AM175" s="1260"/>
      <c r="AN175" s="1260"/>
      <c r="AO175" s="1260"/>
      <c r="AP175" s="1260"/>
      <c r="AQ175" s="1260"/>
      <c r="AR175" s="1351">
        <v>0</v>
      </c>
    </row>
    <row s="1854" customFormat="1" customHeight="1" ht="17.25" hidden="1">
      <c r="A176" s="322"/>
      <c r="C176" s="321"/>
      <c r="D176" s="2137"/>
      <c r="E176" s="2145"/>
      <c r="F176" s="2147"/>
      <c r="G176" s="2145"/>
      <c r="H176" s="2150"/>
      <c r="I176" s="2152"/>
      <c r="J176" s="2155"/>
      <c r="K176" s="2139"/>
      <c r="L176" s="2139"/>
      <c r="M176" s="2139"/>
      <c r="N176" s="2142"/>
      <c r="O176" s="2139"/>
      <c r="P176" s="1445"/>
      <c r="Q176" s="1298"/>
      <c r="R176" s="1298"/>
      <c r="S176" s="330"/>
      <c r="T176" s="330"/>
      <c r="U176" s="330"/>
      <c r="V176" s="330"/>
      <c r="W176" s="1299"/>
      <c r="X176" s="1260"/>
      <c r="Y176" s="1260"/>
      <c r="Z176" s="1260"/>
      <c r="AA176" s="1260"/>
      <c r="AB176" s="1260"/>
      <c r="AC176" s="1260"/>
      <c r="AD176" s="1260"/>
      <c r="AE176" s="1260"/>
      <c r="AF176" s="1260"/>
      <c r="AG176" s="1260"/>
      <c r="AH176" s="1260"/>
      <c r="AI176" s="1260"/>
      <c r="AJ176" s="1260"/>
      <c r="AK176" s="1260"/>
      <c r="AL176" s="1260"/>
      <c r="AM176" s="1260"/>
      <c r="AN176" s="1260"/>
      <c r="AO176" s="1260"/>
      <c r="AP176" s="1260"/>
      <c r="AQ176" s="1260"/>
      <c r="AR176" s="1351">
        <v>0</v>
      </c>
    </row>
    <row s="1854" customFormat="1" customHeight="1" ht="17.25" hidden="1">
      <c r="A177" s="322"/>
      <c r="C177" s="321"/>
      <c r="D177" s="2137"/>
      <c r="E177" s="2145"/>
      <c r="F177" s="2147"/>
      <c r="G177" s="2145"/>
      <c r="H177" s="2150"/>
      <c r="I177" s="2152"/>
      <c r="J177" s="2155"/>
      <c r="K177" s="2139"/>
      <c r="L177" s="1298"/>
      <c r="M177" s="1298"/>
      <c r="N177" s="1298"/>
      <c r="O177" s="1298"/>
      <c r="P177" s="1298"/>
      <c r="Q177" s="1298"/>
      <c r="R177" s="1298"/>
      <c r="S177" s="330"/>
      <c r="T177" s="330"/>
      <c r="U177" s="330"/>
      <c r="V177" s="330"/>
      <c r="W177" s="1299"/>
      <c r="X177" s="1260"/>
      <c r="Y177" s="1260"/>
      <c r="Z177" s="1260"/>
      <c r="AA177" s="1260"/>
      <c r="AB177" s="1260"/>
      <c r="AC177" s="1260"/>
      <c r="AD177" s="1260"/>
      <c r="AE177" s="1260"/>
      <c r="AF177" s="1260"/>
      <c r="AG177" s="1260"/>
      <c r="AH177" s="1260"/>
      <c r="AI177" s="1260"/>
      <c r="AJ177" s="1260"/>
      <c r="AK177" s="1260"/>
      <c r="AL177" s="1260"/>
      <c r="AM177" s="1260"/>
      <c r="AN177" s="1260"/>
      <c r="AO177" s="1260"/>
      <c r="AP177" s="1260"/>
      <c r="AQ177" s="1260"/>
      <c r="AR177" s="1351">
        <v>0</v>
      </c>
    </row>
    <row s="1854" customFormat="1" customHeight="1" ht="17.25" hidden="1">
      <c r="A178" s="322"/>
      <c r="C178" s="321"/>
      <c r="D178" s="2137"/>
      <c r="E178" s="2145"/>
      <c r="F178" s="2148"/>
      <c r="G178" s="2145"/>
      <c r="H178" s="1300"/>
      <c r="I178" s="1301"/>
      <c r="J178" s="1301"/>
      <c r="K178" s="1301"/>
      <c r="L178" s="1301"/>
      <c r="M178" s="1301"/>
      <c r="N178" s="1301"/>
      <c r="O178" s="1301"/>
      <c r="P178" s="1301"/>
      <c r="Q178" s="1301"/>
      <c r="R178" s="1301"/>
      <c r="S178" s="1302"/>
      <c r="T178" s="1302"/>
      <c r="U178" s="1302"/>
      <c r="V178" s="1302"/>
      <c r="W178" s="1303"/>
      <c r="X178" s="1260"/>
      <c r="Y178" s="1260"/>
      <c r="Z178" s="1260"/>
      <c r="AA178" s="1260"/>
      <c r="AB178" s="1260"/>
      <c r="AC178" s="1260"/>
      <c r="AD178" s="1260"/>
      <c r="AE178" s="1260"/>
      <c r="AF178" s="1260"/>
      <c r="AG178" s="1260"/>
      <c r="AH178" s="1260"/>
      <c r="AI178" s="1260"/>
      <c r="AJ178" s="1260"/>
      <c r="AK178" s="1260"/>
      <c r="AL178" s="1260"/>
      <c r="AM178" s="1260"/>
      <c r="AN178" s="1260"/>
      <c r="AO178" s="1260"/>
      <c r="AP178" s="1260"/>
      <c r="AQ178" s="1260"/>
      <c r="AR178" s="1351">
        <v>0</v>
      </c>
    </row>
    <row s="1854" customFormat="1" customHeight="1" ht="17.25" hidden="1">
      <c r="A179" s="322"/>
      <c r="C179" s="210"/>
      <c r="D179" s="2136">
        <v>4</v>
      </c>
      <c r="E179" s="2144" t="s">
        <v>369</v>
      </c>
      <c r="F179" s="2146" t="s">
        <v>19</v>
      </c>
      <c r="G179" s="2144"/>
      <c r="H179" s="2149"/>
      <c r="I179" s="2151"/>
      <c r="J179" s="2153"/>
      <c r="K179" s="2138"/>
      <c r="L179" s="2138"/>
      <c r="M179" s="2138"/>
      <c r="N179" s="2140"/>
      <c r="O179" s="2138"/>
      <c r="P179" s="2138"/>
      <c r="Q179" s="2138"/>
      <c r="R179" s="2143"/>
      <c r="S179" s="2138"/>
      <c r="T179" s="1444"/>
      <c r="U179" s="1444"/>
      <c r="V179" s="1446"/>
      <c r="W179" s="1297"/>
      <c r="X179" s="1268"/>
      <c r="Y179" s="1268"/>
      <c r="Z179" s="1268"/>
      <c r="AA179" s="1268"/>
      <c r="AB179" s="1268"/>
      <c r="AC179" s="1268" t="s">
        <v>370</v>
      </c>
      <c r="AD179" s="1268" t="s">
        <v>371</v>
      </c>
      <c r="AE179" s="1268" t="s">
        <v>372</v>
      </c>
      <c r="AF179" s="1268" t="s">
        <v>373</v>
      </c>
      <c r="AG179" s="1268"/>
      <c r="AH179" s="1268" t="str">
        <f>IF($E$179=0,"",$E$179)</f>
        <v>Тариф на подвоз воды</v>
      </c>
      <c r="AI179" s="1268" t="str">
        <f>IF($G$179=0,"",$G$179)</f>
        <v/>
      </c>
      <c r="AJ179" s="1268" t="str">
        <f>IF($J$179=0,"",$J$179)</f>
        <v/>
      </c>
      <c r="AK179" s="1268" t="str">
        <f>IF($K$179="нет","без дифференциации",IF($N$179=0,"",$N$179))</f>
        <v/>
      </c>
      <c r="AL179" s="1268" t="str">
        <f>IF($O$179="нет","без дифференциации",IF($R$179=0,"",$R$179))</f>
        <v/>
      </c>
      <c r="AM179" s="1268" t="str">
        <f>IF($S$179="нет","без дифференциации",IF($V$179=0,"",$V$179))</f>
        <v/>
      </c>
      <c r="AN179" s="1773">
        <f>$I$179</f>
        <v>0</v>
      </c>
      <c r="AO179" s="1268" t="str">
        <f>$I$179&amp;"."&amp;$M$179</f>
        <v>.</v>
      </c>
      <c r="AP179" s="1260" t="str">
        <f>$I$179&amp;"."&amp;$M$179&amp;"."&amp;$Q$179</f>
        <v>..</v>
      </c>
      <c r="AQ179" s="1260" t="str">
        <f>$I$179&amp;"."&amp;$M$179&amp;"."&amp;$Q$179&amp;"."&amp;$U$179</f>
        <v>...</v>
      </c>
      <c r="AR179" s="1351">
        <v>0</v>
      </c>
    </row>
    <row s="1854" customFormat="1" customHeight="1" ht="17.25" hidden="1">
      <c r="A180" s="322"/>
      <c r="C180" s="321"/>
      <c r="D180" s="2136"/>
      <c r="E180" s="2144"/>
      <c r="F180" s="2147"/>
      <c r="G180" s="2144"/>
      <c r="H180" s="2150"/>
      <c r="I180" s="2152"/>
      <c r="J180" s="2154"/>
      <c r="K180" s="2139"/>
      <c r="L180" s="2139"/>
      <c r="M180" s="2139"/>
      <c r="N180" s="2141"/>
      <c r="O180" s="2139"/>
      <c r="P180" s="2139"/>
      <c r="Q180" s="2139"/>
      <c r="R180" s="2142"/>
      <c r="S180" s="2139"/>
      <c r="T180" s="1298"/>
      <c r="U180" s="1298"/>
      <c r="V180" s="1298"/>
      <c r="W180" s="1299"/>
      <c r="X180" s="1260"/>
      <c r="Y180" s="1260"/>
      <c r="Z180" s="1260"/>
      <c r="AA180" s="1260"/>
      <c r="AB180" s="1260"/>
      <c r="AC180" s="1260"/>
      <c r="AD180" s="1260"/>
      <c r="AE180" s="1260"/>
      <c r="AF180" s="1260"/>
      <c r="AG180" s="1260"/>
      <c r="AH180" s="1260"/>
      <c r="AI180" s="1260"/>
      <c r="AJ180" s="1260"/>
      <c r="AK180" s="1260"/>
      <c r="AL180" s="1260"/>
      <c r="AM180" s="1260"/>
      <c r="AN180" s="1260"/>
      <c r="AO180" s="1260"/>
      <c r="AP180" s="1260"/>
      <c r="AQ180" s="1260"/>
      <c r="AR180" s="1351">
        <v>0</v>
      </c>
    </row>
    <row s="1854" customFormat="1" customHeight="1" ht="17.25" hidden="1">
      <c r="A181" s="322"/>
      <c r="C181" s="321"/>
      <c r="D181" s="2137"/>
      <c r="E181" s="2145"/>
      <c r="F181" s="2147"/>
      <c r="G181" s="2145"/>
      <c r="H181" s="2150"/>
      <c r="I181" s="2152"/>
      <c r="J181" s="2155"/>
      <c r="K181" s="2139"/>
      <c r="L181" s="2139"/>
      <c r="M181" s="2139"/>
      <c r="N181" s="2142"/>
      <c r="O181" s="2139"/>
      <c r="P181" s="1445"/>
      <c r="Q181" s="1298"/>
      <c r="R181" s="1298"/>
      <c r="S181" s="330"/>
      <c r="T181" s="330"/>
      <c r="U181" s="330"/>
      <c r="V181" s="330"/>
      <c r="W181" s="1299"/>
      <c r="X181" s="1260"/>
      <c r="Y181" s="1260"/>
      <c r="Z181" s="1260"/>
      <c r="AA181" s="1260"/>
      <c r="AB181" s="1260"/>
      <c r="AC181" s="1260"/>
      <c r="AD181" s="1260"/>
      <c r="AE181" s="1260"/>
      <c r="AF181" s="1260"/>
      <c r="AG181" s="1260"/>
      <c r="AH181" s="1260"/>
      <c r="AI181" s="1260"/>
      <c r="AJ181" s="1260"/>
      <c r="AK181" s="1260"/>
      <c r="AL181" s="1260"/>
      <c r="AM181" s="1260"/>
      <c r="AN181" s="1260"/>
      <c r="AO181" s="1260"/>
      <c r="AP181" s="1260"/>
      <c r="AQ181" s="1260"/>
      <c r="AR181" s="1351">
        <v>0</v>
      </c>
    </row>
    <row s="1854" customFormat="1" customHeight="1" ht="17.25" hidden="1">
      <c r="A182" s="322"/>
      <c r="C182" s="321"/>
      <c r="D182" s="2137"/>
      <c r="E182" s="2145"/>
      <c r="F182" s="2147"/>
      <c r="G182" s="2145"/>
      <c r="H182" s="2150"/>
      <c r="I182" s="2152"/>
      <c r="J182" s="2155"/>
      <c r="K182" s="2139"/>
      <c r="L182" s="1298"/>
      <c r="M182" s="1298"/>
      <c r="N182" s="1298"/>
      <c r="O182" s="1298"/>
      <c r="P182" s="1298"/>
      <c r="Q182" s="1298"/>
      <c r="R182" s="1298"/>
      <c r="S182" s="330"/>
      <c r="T182" s="330"/>
      <c r="U182" s="330"/>
      <c r="V182" s="330"/>
      <c r="W182" s="1299"/>
      <c r="X182" s="1260"/>
      <c r="Y182" s="1260"/>
      <c r="Z182" s="1260"/>
      <c r="AA182" s="1260"/>
      <c r="AB182" s="1260"/>
      <c r="AC182" s="1260"/>
      <c r="AD182" s="1260"/>
      <c r="AE182" s="1260"/>
      <c r="AF182" s="1260"/>
      <c r="AG182" s="1260"/>
      <c r="AH182" s="1260"/>
      <c r="AI182" s="1260"/>
      <c r="AJ182" s="1260"/>
      <c r="AK182" s="1260"/>
      <c r="AL182" s="1260"/>
      <c r="AM182" s="1260"/>
      <c r="AN182" s="1260"/>
      <c r="AO182" s="1260"/>
      <c r="AP182" s="1260"/>
      <c r="AQ182" s="1260"/>
      <c r="AR182" s="1351">
        <v>0</v>
      </c>
    </row>
    <row s="1854" customFormat="1" customHeight="1" ht="17.25" hidden="1">
      <c r="A183" s="322"/>
      <c r="C183" s="321"/>
      <c r="D183" s="2137"/>
      <c r="E183" s="2145"/>
      <c r="F183" s="2148"/>
      <c r="G183" s="2145"/>
      <c r="H183" s="1300"/>
      <c r="I183" s="1301"/>
      <c r="J183" s="1301"/>
      <c r="K183" s="1301"/>
      <c r="L183" s="1301"/>
      <c r="M183" s="1301"/>
      <c r="N183" s="1301"/>
      <c r="O183" s="1301"/>
      <c r="P183" s="1301"/>
      <c r="Q183" s="1301"/>
      <c r="R183" s="1301"/>
      <c r="S183" s="1302"/>
      <c r="T183" s="1302"/>
      <c r="U183" s="1302"/>
      <c r="V183" s="1302"/>
      <c r="W183" s="1303"/>
      <c r="X183" s="1260"/>
      <c r="Y183" s="1260"/>
      <c r="Z183" s="1260"/>
      <c r="AA183" s="1260"/>
      <c r="AB183" s="1260"/>
      <c r="AC183" s="1260"/>
      <c r="AD183" s="1260"/>
      <c r="AE183" s="1260"/>
      <c r="AF183" s="1260"/>
      <c r="AG183" s="1260"/>
      <c r="AH183" s="1260"/>
      <c r="AI183" s="1260"/>
      <c r="AJ183" s="1260"/>
      <c r="AK183" s="1260"/>
      <c r="AL183" s="1260"/>
      <c r="AM183" s="1260"/>
      <c r="AN183" s="1260"/>
      <c r="AO183" s="1260"/>
      <c r="AP183" s="1260"/>
      <c r="AQ183" s="1260"/>
      <c r="AR183" s="1351">
        <v>0</v>
      </c>
    </row>
    <row s="1854" customFormat="1" customHeight="1" ht="17.25" hidden="1">
      <c r="A184" s="322"/>
      <c r="C184" s="210"/>
      <c r="D184" s="2136">
        <v>5</v>
      </c>
      <c r="E184" s="2144" t="s">
        <v>374</v>
      </c>
      <c r="F184" s="2146" t="s">
        <v>19</v>
      </c>
      <c r="G184" s="2144"/>
      <c r="H184" s="2149"/>
      <c r="I184" s="2151"/>
      <c r="J184" s="2153"/>
      <c r="K184" s="2138"/>
      <c r="L184" s="2138"/>
      <c r="M184" s="2138"/>
      <c r="N184" s="2140"/>
      <c r="O184" s="2138"/>
      <c r="P184" s="2138"/>
      <c r="Q184" s="2138"/>
      <c r="R184" s="2143"/>
      <c r="S184" s="2138"/>
      <c r="T184" s="1944"/>
      <c r="U184" s="1944"/>
      <c r="V184" s="1946"/>
      <c r="W184" s="1297"/>
      <c r="X184" s="1268"/>
      <c r="Y184" s="1268"/>
      <c r="Z184" s="1268"/>
      <c r="AA184" s="1268"/>
      <c r="AB184" s="1268"/>
      <c r="AC184" s="1268" t="s">
        <v>375</v>
      </c>
      <c r="AD184" s="1268" t="s">
        <v>376</v>
      </c>
      <c r="AE184" s="1268" t="s">
        <v>377</v>
      </c>
      <c r="AF184" s="1268" t="s">
        <v>378</v>
      </c>
      <c r="AG184" s="1268"/>
      <c r="AH184" s="1268" t="str">
        <f>IF($E$184=0,"",$E$184)</f>
        <v>Тариф на подключение (технологическое присоединение) к централизованной системе холодного водоснабжения</v>
      </c>
      <c r="AI184" s="1268" t="str">
        <f>IF($G$184=0,"",$G$184)</f>
        <v/>
      </c>
      <c r="AJ184" s="1268" t="str">
        <f>IF($J$184=0,"",$J$184)</f>
        <v/>
      </c>
      <c r="AK184" s="1268" t="str">
        <f>IF($K$184="нет","без дифференциации",IF($N$184=0,"",$N$184))</f>
        <v/>
      </c>
      <c r="AL184" s="1268" t="str">
        <f>IF($O$184="нет","без дифференциации",IF($R$184=0,"",$R$184))</f>
        <v/>
      </c>
      <c r="AM184" s="1268" t="str">
        <f>IF($S$184="нет","без дифференциации",IF($V$184=0,"",$V$184))</f>
        <v/>
      </c>
      <c r="AN184" s="1773">
        <f>$I$184</f>
        <v>0</v>
      </c>
      <c r="AO184" s="1268" t="str">
        <f>$I$184&amp;"."&amp;$M$184</f>
        <v>.</v>
      </c>
      <c r="AP184" s="1267" t="str">
        <f>$I$184&amp;"."&amp;$M$184&amp;"."&amp;$Q$184</f>
        <v>..</v>
      </c>
      <c r="AQ184" s="1267" t="str">
        <f>$I$184&amp;"."&amp;$M$184&amp;"."&amp;$Q$184&amp;"."&amp;$U$184</f>
        <v>...</v>
      </c>
      <c r="AR184" s="1468">
        <v>0</v>
      </c>
    </row>
    <row s="1854" customFormat="1" customHeight="1" ht="17.25" hidden="1">
      <c r="A185" s="322"/>
      <c r="C185" s="321"/>
      <c r="D185" s="2136"/>
      <c r="E185" s="2144"/>
      <c r="F185" s="2147"/>
      <c r="G185" s="2144"/>
      <c r="H185" s="2150"/>
      <c r="I185" s="2152"/>
      <c r="J185" s="2154"/>
      <c r="K185" s="2139"/>
      <c r="L185" s="2139"/>
      <c r="M185" s="2139"/>
      <c r="N185" s="2141"/>
      <c r="O185" s="2139"/>
      <c r="P185" s="2139"/>
      <c r="Q185" s="2139"/>
      <c r="R185" s="2142"/>
      <c r="S185" s="2139"/>
      <c r="T185" s="1949"/>
      <c r="U185" s="1949"/>
      <c r="V185" s="1949"/>
      <c r="W185" s="1950"/>
      <c r="X185" s="1267"/>
      <c r="Y185" s="1267"/>
      <c r="Z185" s="1267"/>
      <c r="AA185" s="1267"/>
      <c r="AB185" s="1267"/>
      <c r="AC185" s="1267"/>
      <c r="AD185" s="1267"/>
      <c r="AE185" s="1267"/>
      <c r="AF185" s="1267"/>
      <c r="AG185" s="1267"/>
      <c r="AH185" s="1267"/>
      <c r="AI185" s="1267"/>
      <c r="AJ185" s="1267"/>
      <c r="AK185" s="1267"/>
      <c r="AL185" s="1267"/>
      <c r="AM185" s="1267"/>
      <c r="AN185" s="1267"/>
      <c r="AO185" s="1267"/>
      <c r="AP185" s="1267"/>
      <c r="AQ185" s="1267"/>
      <c r="AR185" s="1468">
        <v>0</v>
      </c>
    </row>
    <row s="1854" customFormat="1" customHeight="1" ht="17.25" hidden="1">
      <c r="A186" s="322"/>
      <c r="C186" s="321"/>
      <c r="D186" s="2137"/>
      <c r="E186" s="2145"/>
      <c r="F186" s="2147"/>
      <c r="G186" s="2145"/>
      <c r="H186" s="2150"/>
      <c r="I186" s="2152"/>
      <c r="J186" s="2155"/>
      <c r="K186" s="2139"/>
      <c r="L186" s="2139"/>
      <c r="M186" s="2139"/>
      <c r="N186" s="2142"/>
      <c r="O186" s="2139"/>
      <c r="P186" s="1945"/>
      <c r="Q186" s="1949"/>
      <c r="R186" s="1949"/>
      <c r="S186" s="330"/>
      <c r="T186" s="330"/>
      <c r="U186" s="330"/>
      <c r="V186" s="330"/>
      <c r="W186" s="1950"/>
      <c r="X186" s="1267"/>
      <c r="Y186" s="1267"/>
      <c r="Z186" s="1267"/>
      <c r="AA186" s="1267"/>
      <c r="AB186" s="1267"/>
      <c r="AC186" s="1267"/>
      <c r="AD186" s="1267"/>
      <c r="AE186" s="1267"/>
      <c r="AF186" s="1267"/>
      <c r="AG186" s="1267"/>
      <c r="AH186" s="1267"/>
      <c r="AI186" s="1267"/>
      <c r="AJ186" s="1267"/>
      <c r="AK186" s="1267"/>
      <c r="AL186" s="1267"/>
      <c r="AM186" s="1267"/>
      <c r="AN186" s="1267"/>
      <c r="AO186" s="1267"/>
      <c r="AP186" s="1267"/>
      <c r="AQ186" s="1267"/>
      <c r="AR186" s="1468">
        <v>0</v>
      </c>
    </row>
    <row s="1854" customFormat="1" customHeight="1" ht="17.25" hidden="1">
      <c r="A187" s="322"/>
      <c r="C187" s="321"/>
      <c r="D187" s="2137"/>
      <c r="E187" s="2145"/>
      <c r="F187" s="2147"/>
      <c r="G187" s="2145"/>
      <c r="H187" s="2150"/>
      <c r="I187" s="2152"/>
      <c r="J187" s="2155"/>
      <c r="K187" s="2139"/>
      <c r="L187" s="1949"/>
      <c r="M187" s="1949"/>
      <c r="N187" s="1949"/>
      <c r="O187" s="1949"/>
      <c r="P187" s="1949"/>
      <c r="Q187" s="1949"/>
      <c r="R187" s="1949"/>
      <c r="S187" s="330"/>
      <c r="T187" s="330"/>
      <c r="U187" s="330"/>
      <c r="V187" s="330"/>
      <c r="W187" s="1950"/>
      <c r="X187" s="1267"/>
      <c r="Y187" s="1267"/>
      <c r="Z187" s="1267"/>
      <c r="AA187" s="1267"/>
      <c r="AB187" s="1267"/>
      <c r="AC187" s="1267"/>
      <c r="AD187" s="1267"/>
      <c r="AE187" s="1267"/>
      <c r="AF187" s="1267"/>
      <c r="AG187" s="1267"/>
      <c r="AH187" s="1267"/>
      <c r="AI187" s="1267"/>
      <c r="AJ187" s="1267"/>
      <c r="AK187" s="1267"/>
      <c r="AL187" s="1267"/>
      <c r="AM187" s="1267"/>
      <c r="AN187" s="1267"/>
      <c r="AO187" s="1267"/>
      <c r="AP187" s="1267"/>
      <c r="AQ187" s="1267"/>
      <c r="AR187" s="1468">
        <v>0</v>
      </c>
    </row>
    <row s="1854" customFormat="1" customHeight="1" ht="17.25" hidden="1">
      <c r="A188" s="322"/>
      <c r="C188" s="321"/>
      <c r="D188" s="2137"/>
      <c r="E188" s="2145"/>
      <c r="F188" s="2148"/>
      <c r="G188" s="2145"/>
      <c r="H188" s="1300"/>
      <c r="I188" s="1947"/>
      <c r="J188" s="1947"/>
      <c r="K188" s="1947"/>
      <c r="L188" s="1947"/>
      <c r="M188" s="1947"/>
      <c r="N188" s="1947"/>
      <c r="O188" s="1947"/>
      <c r="P188" s="1947"/>
      <c r="Q188" s="1947"/>
      <c r="R188" s="1947"/>
      <c r="S188" s="1302"/>
      <c r="T188" s="1302"/>
      <c r="U188" s="1302"/>
      <c r="V188" s="1302"/>
      <c r="W188" s="1948"/>
      <c r="X188" s="1267"/>
      <c r="Y188" s="1267"/>
      <c r="Z188" s="1267"/>
      <c r="AA188" s="1267"/>
      <c r="AB188" s="1267"/>
      <c r="AC188" s="1267"/>
      <c r="AD188" s="1267"/>
      <c r="AE188" s="1267"/>
      <c r="AF188" s="1267"/>
      <c r="AG188" s="1267"/>
      <c r="AH188" s="1267"/>
      <c r="AI188" s="1267"/>
      <c r="AJ188" s="1267"/>
      <c r="AK188" s="1267"/>
      <c r="AL188" s="1267"/>
      <c r="AM188" s="1267"/>
      <c r="AN188" s="1267"/>
      <c r="AO188" s="1267"/>
      <c r="AP188" s="1267"/>
      <c r="AQ188" s="1267"/>
      <c r="AR188" s="1468">
        <v>0</v>
      </c>
    </row>
    <row s="1854" customFormat="1" customHeight="1" ht="11.25" hidden="1">
      <c r="A189" s="278"/>
      <c r="B189" s="278"/>
      <c r="Y189" s="1260"/>
      <c r="Z189" s="1260"/>
      <c r="AA189" s="1260"/>
      <c r="AB189" s="1260"/>
      <c r="AC189" s="1260"/>
      <c r="AD189" s="1260"/>
      <c r="AE189" s="1260"/>
      <c r="AF189" s="1260"/>
      <c r="AG189" s="1260"/>
      <c r="AH189" s="1260"/>
      <c r="AI189" s="1260"/>
      <c r="AJ189" s="1260"/>
      <c r="AK189" s="1260"/>
      <c r="AL189" s="1260"/>
      <c r="AM189" s="1260"/>
      <c r="AN189" s="1260"/>
      <c r="AO189" s="1260"/>
      <c r="AP189" s="1260"/>
      <c r="AQ189" s="1260"/>
      <c r="AR189" s="1468">
        <v>0</v>
      </c>
    </row>
    <row s="1854" customFormat="1" customHeight="1" ht="17.25" hidden="1">
      <c r="A190" s="322"/>
      <c r="C190" s="210"/>
      <c r="D190" s="2136">
        <v>1</v>
      </c>
      <c r="E190" s="2144" t="s">
        <v>379</v>
      </c>
      <c r="F190" s="2146" t="s">
        <v>19</v>
      </c>
      <c r="G190" s="2144"/>
      <c r="H190" s="2149"/>
      <c r="I190" s="2151"/>
      <c r="J190" s="2153"/>
      <c r="K190" s="2138"/>
      <c r="L190" s="2138"/>
      <c r="M190" s="2138"/>
      <c r="N190" s="2140"/>
      <c r="O190" s="2138"/>
      <c r="P190" s="2138"/>
      <c r="Q190" s="2138"/>
      <c r="R190" s="2143"/>
      <c r="S190" s="2138"/>
      <c r="T190" s="1471"/>
      <c r="U190" s="1471"/>
      <c r="V190" s="1473"/>
      <c r="W190" s="1297"/>
      <c r="Y190" s="1268"/>
      <c r="Z190" s="1268"/>
      <c r="AA190" s="1268"/>
      <c r="AB190" s="1268"/>
      <c r="AC190" s="1268" t="s">
        <v>380</v>
      </c>
      <c r="AD190" s="1268" t="s">
        <v>381</v>
      </c>
      <c r="AE190" s="1268" t="s">
        <v>382</v>
      </c>
      <c r="AF190" s="1268" t="s">
        <v>383</v>
      </c>
      <c r="AG190" s="1268"/>
      <c r="AH190" s="1268" t="str">
        <f>IF($E$190=0,"",$E$190)</f>
        <v>Тариф на горячую воду (горячее водоснабжение)</v>
      </c>
      <c r="AI190" s="1268" t="str">
        <f>IF($G$190=0,"",$G$190)</f>
        <v/>
      </c>
      <c r="AJ190" s="1268" t="str">
        <f>IF($J$190=0,"",$J$190)</f>
        <v/>
      </c>
      <c r="AK190" s="1268" t="str">
        <f>IF($K$190="нет","без дифференциации",IF($N$190=0,"",$N$190))</f>
        <v/>
      </c>
      <c r="AL190" s="1268" t="str">
        <f>IF($O$190="нет","без дифференциации",IF($R$190=0,"",$R$190))</f>
        <v/>
      </c>
      <c r="AM190" s="1268" t="str">
        <f>IF($S$190="нет","без дифференциации",IF($V$190=0,"",$V$190))</f>
        <v/>
      </c>
      <c r="AN190" s="1268">
        <f>$I$190</f>
        <v>0</v>
      </c>
      <c r="AO190" s="1268" t="str">
        <f>$I$190&amp;"."&amp;$M$190</f>
        <v>.</v>
      </c>
      <c r="AP190" s="1268" t="str">
        <f>$I$190&amp;"."&amp;$M$190&amp;"."&amp;$Q$190</f>
        <v>..</v>
      </c>
      <c r="AQ190" s="1268" t="str">
        <f>$I$190&amp;"."&amp;$M$190&amp;"."&amp;$Q$190&amp;"."&amp;$U$190</f>
        <v>...</v>
      </c>
      <c r="AR190" s="1468">
        <v>0</v>
      </c>
    </row>
    <row s="1854" customFormat="1" customHeight="1" ht="17.25" hidden="1">
      <c r="A191" s="322"/>
      <c r="C191" s="321"/>
      <c r="D191" s="2136"/>
      <c r="E191" s="2144"/>
      <c r="F191" s="2147"/>
      <c r="G191" s="2144"/>
      <c r="H191" s="2150"/>
      <c r="I191" s="2152"/>
      <c r="J191" s="2154"/>
      <c r="K191" s="2139"/>
      <c r="L191" s="2139"/>
      <c r="M191" s="2139"/>
      <c r="N191" s="2141"/>
      <c r="O191" s="2139"/>
      <c r="P191" s="2139"/>
      <c r="Q191" s="2139"/>
      <c r="R191" s="2142"/>
      <c r="S191" s="2139"/>
      <c r="T191" s="1298"/>
      <c r="U191" s="1298"/>
      <c r="V191" s="1298"/>
      <c r="W191" s="1299"/>
      <c r="Y191" s="1260"/>
      <c r="Z191" s="1260"/>
      <c r="AA191" s="1260"/>
      <c r="AB191" s="1260"/>
      <c r="AC191" s="1260"/>
      <c r="AD191" s="1260"/>
      <c r="AE191" s="1260"/>
      <c r="AF191" s="1260"/>
      <c r="AG191" s="1260"/>
      <c r="AH191" s="1260"/>
      <c r="AI191" s="1260"/>
      <c r="AJ191" s="1260"/>
      <c r="AK191" s="1260"/>
      <c r="AL191" s="1260"/>
      <c r="AM191" s="1260"/>
      <c r="AN191" s="1260"/>
      <c r="AO191" s="1260"/>
      <c r="AP191" s="1260"/>
      <c r="AQ191" s="1260"/>
      <c r="AR191" s="1468">
        <v>0</v>
      </c>
    </row>
    <row s="1854" customFormat="1" customHeight="1" ht="17.25" hidden="1">
      <c r="A192" s="322"/>
      <c r="C192" s="210"/>
      <c r="D192" s="2136"/>
      <c r="E192" s="2144"/>
      <c r="F192" s="2147"/>
      <c r="G192" s="2144"/>
      <c r="H192" s="2150"/>
      <c r="I192" s="2152"/>
      <c r="J192" s="2155"/>
      <c r="K192" s="2139"/>
      <c r="L192" s="2139"/>
      <c r="M192" s="2139"/>
      <c r="N192" s="2142"/>
      <c r="O192" s="2139"/>
      <c r="P192" s="1472"/>
      <c r="Q192" s="1298"/>
      <c r="R192" s="1298"/>
      <c r="S192" s="330"/>
      <c r="T192" s="330"/>
      <c r="U192" s="330"/>
      <c r="V192" s="330"/>
      <c r="W192" s="1299"/>
      <c r="Y192" s="1268"/>
      <c r="Z192" s="1268"/>
      <c r="AA192" s="1268"/>
      <c r="AB192" s="1268"/>
      <c r="AC192" s="1268"/>
      <c r="AD192" s="1268"/>
      <c r="AE192" s="1268"/>
      <c r="AF192" s="1268"/>
      <c r="AG192" s="1268"/>
      <c r="AH192" s="1268"/>
      <c r="AI192" s="1268"/>
      <c r="AJ192" s="1268"/>
      <c r="AK192" s="1268"/>
      <c r="AL192" s="1268"/>
      <c r="AM192" s="1268"/>
      <c r="AN192" s="1268"/>
      <c r="AO192" s="1268"/>
      <c r="AP192" s="1268"/>
      <c r="AQ192" s="1268"/>
      <c r="AR192" s="1468">
        <v>0</v>
      </c>
    </row>
    <row s="1854" customFormat="1" customHeight="1" ht="17.25" hidden="1">
      <c r="A193" s="322"/>
      <c r="C193" s="321"/>
      <c r="D193" s="2136"/>
      <c r="E193" s="2144"/>
      <c r="F193" s="2147"/>
      <c r="G193" s="2144"/>
      <c r="H193" s="2150"/>
      <c r="I193" s="2152"/>
      <c r="J193" s="2155"/>
      <c r="K193" s="2139"/>
      <c r="L193" s="1298"/>
      <c r="M193" s="1298"/>
      <c r="N193" s="1298"/>
      <c r="O193" s="1298"/>
      <c r="P193" s="1298"/>
      <c r="Q193" s="1298"/>
      <c r="R193" s="1298"/>
      <c r="S193" s="330"/>
      <c r="T193" s="330"/>
      <c r="U193" s="330"/>
      <c r="V193" s="330"/>
      <c r="W193" s="1299"/>
      <c r="Y193" s="1260"/>
      <c r="Z193" s="1260"/>
      <c r="AA193" s="1260"/>
      <c r="AB193" s="1260"/>
      <c r="AC193" s="1260"/>
      <c r="AD193" s="1260"/>
      <c r="AE193" s="1260"/>
      <c r="AF193" s="1260"/>
      <c r="AG193" s="1260"/>
      <c r="AH193" s="1260"/>
      <c r="AI193" s="1260"/>
      <c r="AJ193" s="1260"/>
      <c r="AK193" s="1260"/>
      <c r="AL193" s="1260"/>
      <c r="AM193" s="1260"/>
      <c r="AN193" s="1260"/>
      <c r="AO193" s="1260"/>
      <c r="AP193" s="1260"/>
      <c r="AQ193" s="1260"/>
      <c r="AR193" s="1468">
        <v>0</v>
      </c>
    </row>
    <row s="1854" customFormat="1" customHeight="1" ht="17.25" hidden="1">
      <c r="A194" s="322"/>
      <c r="C194" s="321"/>
      <c r="D194" s="2137"/>
      <c r="E194" s="2145"/>
      <c r="F194" s="2148"/>
      <c r="G194" s="2145"/>
      <c r="H194" s="1300"/>
      <c r="I194" s="1301"/>
      <c r="J194" s="1301"/>
      <c r="K194" s="1301"/>
      <c r="L194" s="1301"/>
      <c r="M194" s="1301"/>
      <c r="N194" s="1301"/>
      <c r="O194" s="1301"/>
      <c r="P194" s="1301"/>
      <c r="Q194" s="1301"/>
      <c r="R194" s="1301"/>
      <c r="S194" s="1302"/>
      <c r="T194" s="1302"/>
      <c r="U194" s="1302"/>
      <c r="V194" s="1302"/>
      <c r="W194" s="1303"/>
      <c r="Y194" s="1260"/>
      <c r="Z194" s="1260"/>
      <c r="AA194" s="1260"/>
      <c r="AB194" s="1260"/>
      <c r="AC194" s="1260"/>
      <c r="AD194" s="1260"/>
      <c r="AE194" s="1260"/>
      <c r="AF194" s="1260"/>
      <c r="AG194" s="1260"/>
      <c r="AH194" s="1260"/>
      <c r="AI194" s="1260"/>
      <c r="AJ194" s="1260"/>
      <c r="AK194" s="1260"/>
      <c r="AL194" s="1260"/>
      <c r="AM194" s="1260"/>
      <c r="AN194" s="1260"/>
      <c r="AO194" s="1260"/>
      <c r="AP194" s="1260"/>
      <c r="AQ194" s="1260"/>
      <c r="AR194" s="1468">
        <v>0</v>
      </c>
    </row>
    <row s="1854" customFormat="1" customHeight="1" ht="17.25" hidden="1">
      <c r="A195" s="322"/>
      <c r="C195" s="210"/>
      <c r="D195" s="2136">
        <v>2</v>
      </c>
      <c r="E195" s="2144" t="s">
        <v>384</v>
      </c>
      <c r="F195" s="2146" t="s">
        <v>19</v>
      </c>
      <c r="G195" s="2144"/>
      <c r="H195" s="2149"/>
      <c r="I195" s="2151"/>
      <c r="J195" s="2153"/>
      <c r="K195" s="2138"/>
      <c r="L195" s="2138"/>
      <c r="M195" s="2138"/>
      <c r="N195" s="2140"/>
      <c r="O195" s="2138"/>
      <c r="P195" s="2138"/>
      <c r="Q195" s="2138"/>
      <c r="R195" s="2143"/>
      <c r="S195" s="2138"/>
      <c r="T195" s="1471"/>
      <c r="U195" s="1471"/>
      <c r="V195" s="1473"/>
      <c r="W195" s="1297"/>
      <c r="X195" s="1268"/>
      <c r="Y195" s="1268"/>
      <c r="Z195" s="1268"/>
      <c r="AA195" s="1268"/>
      <c r="AB195" s="1268"/>
      <c r="AC195" s="1268" t="s">
        <v>385</v>
      </c>
      <c r="AD195" s="1268" t="s">
        <v>386</v>
      </c>
      <c r="AE195" s="1268" t="s">
        <v>387</v>
      </c>
      <c r="AF195" s="1268" t="s">
        <v>388</v>
      </c>
      <c r="AG195" s="1268"/>
      <c r="AH195" s="1268" t="str">
        <f>IF($E$195=0,"",$E$195)</f>
        <v>Тариф на транспортировку горячей воды</v>
      </c>
      <c r="AI195" s="1268" t="str">
        <f>IF($G$195=0,"",$G$195)</f>
        <v/>
      </c>
      <c r="AJ195" s="1268" t="str">
        <f>IF($J$195=0,"",$J$195)</f>
        <v/>
      </c>
      <c r="AK195" s="1268" t="str">
        <f>IF($K$195="нет","без дифференциации",IF($N$195=0,"",$N$195))</f>
        <v/>
      </c>
      <c r="AL195" s="1268" t="str">
        <f>IF($O$195="нет","без дифференциации",IF($R$195=0,"",$R$195))</f>
        <v/>
      </c>
      <c r="AM195" s="1268" t="str">
        <f>IF($S$195="нет","без дифференциации",IF($V$195=0,"",$V$195))</f>
        <v/>
      </c>
      <c r="AN195" s="1773">
        <f>$I$195</f>
        <v>0</v>
      </c>
      <c r="AO195" s="1268" t="str">
        <f>$I$195&amp;"."&amp;$M$195</f>
        <v>.</v>
      </c>
      <c r="AP195" s="1260" t="str">
        <f>$I$195&amp;"."&amp;$M$195&amp;"."&amp;$Q$195</f>
        <v>..</v>
      </c>
      <c r="AQ195" s="1260" t="str">
        <f>$I$195&amp;"."&amp;$M$195&amp;"."&amp;$Q$195&amp;"."&amp;$U$195</f>
        <v>...</v>
      </c>
      <c r="AR195" s="1468">
        <v>0</v>
      </c>
    </row>
    <row s="1854" customFormat="1" customHeight="1" ht="17.25" hidden="1">
      <c r="A196" s="322"/>
      <c r="C196" s="321"/>
      <c r="D196" s="2136"/>
      <c r="E196" s="2144"/>
      <c r="F196" s="2147"/>
      <c r="G196" s="2144"/>
      <c r="H196" s="2150"/>
      <c r="I196" s="2152"/>
      <c r="J196" s="2154"/>
      <c r="K196" s="2139"/>
      <c r="L196" s="2139"/>
      <c r="M196" s="2139"/>
      <c r="N196" s="2141"/>
      <c r="O196" s="2139"/>
      <c r="P196" s="2139"/>
      <c r="Q196" s="2139"/>
      <c r="R196" s="2142"/>
      <c r="S196" s="2139"/>
      <c r="T196" s="1298"/>
      <c r="U196" s="1298"/>
      <c r="V196" s="1298"/>
      <c r="W196" s="1299"/>
      <c r="X196" s="1260"/>
      <c r="Y196" s="1260"/>
      <c r="Z196" s="1260"/>
      <c r="AA196" s="1260"/>
      <c r="AB196" s="1260"/>
      <c r="AC196" s="1260"/>
      <c r="AD196" s="1260"/>
      <c r="AE196" s="1260"/>
      <c r="AF196" s="1260"/>
      <c r="AG196" s="1260"/>
      <c r="AH196" s="1260"/>
      <c r="AI196" s="1260"/>
      <c r="AJ196" s="1260"/>
      <c r="AK196" s="1260"/>
      <c r="AL196" s="1260"/>
      <c r="AM196" s="1260"/>
      <c r="AN196" s="1260"/>
      <c r="AO196" s="1260"/>
      <c r="AP196" s="1260"/>
      <c r="AQ196" s="1260"/>
      <c r="AR196" s="1468">
        <v>0</v>
      </c>
    </row>
    <row s="1854" customFormat="1" customHeight="1" ht="17.25" hidden="1">
      <c r="A197" s="322"/>
      <c r="C197" s="321"/>
      <c r="D197" s="2137"/>
      <c r="E197" s="2145"/>
      <c r="F197" s="2147"/>
      <c r="G197" s="2145"/>
      <c r="H197" s="2150"/>
      <c r="I197" s="2152"/>
      <c r="J197" s="2155"/>
      <c r="K197" s="2139"/>
      <c r="L197" s="2139"/>
      <c r="M197" s="2139"/>
      <c r="N197" s="2142"/>
      <c r="O197" s="2139"/>
      <c r="P197" s="1472"/>
      <c r="Q197" s="1298"/>
      <c r="R197" s="1298"/>
      <c r="S197" s="330"/>
      <c r="T197" s="330"/>
      <c r="U197" s="330"/>
      <c r="V197" s="330"/>
      <c r="W197" s="1299"/>
      <c r="X197" s="1260"/>
      <c r="Y197" s="1260"/>
      <c r="Z197" s="1260"/>
      <c r="AA197" s="1260"/>
      <c r="AB197" s="1260"/>
      <c r="AC197" s="1260"/>
      <c r="AD197" s="1260"/>
      <c r="AE197" s="1260"/>
      <c r="AF197" s="1260"/>
      <c r="AG197" s="1260"/>
      <c r="AH197" s="1260"/>
      <c r="AI197" s="1260"/>
      <c r="AJ197" s="1260"/>
      <c r="AK197" s="1260"/>
      <c r="AL197" s="1260"/>
      <c r="AM197" s="1260"/>
      <c r="AN197" s="1260"/>
      <c r="AO197" s="1260"/>
      <c r="AP197" s="1260"/>
      <c r="AQ197" s="1260"/>
      <c r="AR197" s="1468">
        <v>0</v>
      </c>
    </row>
    <row s="1854" customFormat="1" customHeight="1" ht="17.25" hidden="1">
      <c r="A198" s="322"/>
      <c r="C198" s="321"/>
      <c r="D198" s="2137"/>
      <c r="E198" s="2145"/>
      <c r="F198" s="2147"/>
      <c r="G198" s="2145"/>
      <c r="H198" s="2150"/>
      <c r="I198" s="2152"/>
      <c r="J198" s="2155"/>
      <c r="K198" s="2139"/>
      <c r="L198" s="1298"/>
      <c r="M198" s="1298"/>
      <c r="N198" s="1298"/>
      <c r="O198" s="1298"/>
      <c r="P198" s="1298"/>
      <c r="Q198" s="1298"/>
      <c r="R198" s="1298"/>
      <c r="S198" s="330"/>
      <c r="T198" s="330"/>
      <c r="U198" s="330"/>
      <c r="V198" s="330"/>
      <c r="W198" s="1299"/>
      <c r="X198" s="1260"/>
      <c r="Y198" s="1260"/>
      <c r="Z198" s="1260"/>
      <c r="AA198" s="1260"/>
      <c r="AB198" s="1260"/>
      <c r="AC198" s="1260"/>
      <c r="AD198" s="1260"/>
      <c r="AE198" s="1260"/>
      <c r="AF198" s="1260"/>
      <c r="AG198" s="1260"/>
      <c r="AH198" s="1260"/>
      <c r="AI198" s="1260"/>
      <c r="AJ198" s="1260"/>
      <c r="AK198" s="1260"/>
      <c r="AL198" s="1260"/>
      <c r="AM198" s="1260"/>
      <c r="AN198" s="1260"/>
      <c r="AO198" s="1260"/>
      <c r="AP198" s="1260"/>
      <c r="AQ198" s="1260"/>
      <c r="AR198" s="1468">
        <v>0</v>
      </c>
    </row>
    <row s="1854" customFormat="1" customHeight="1" ht="17.25" hidden="1">
      <c r="A199" s="322"/>
      <c r="C199" s="321"/>
      <c r="D199" s="2137"/>
      <c r="E199" s="2145"/>
      <c r="F199" s="2148"/>
      <c r="G199" s="2145"/>
      <c r="H199" s="1300"/>
      <c r="I199" s="1301"/>
      <c r="J199" s="1301"/>
      <c r="K199" s="1301"/>
      <c r="L199" s="1301"/>
      <c r="M199" s="1301"/>
      <c r="N199" s="1301"/>
      <c r="O199" s="1301"/>
      <c r="P199" s="1301"/>
      <c r="Q199" s="1301"/>
      <c r="R199" s="1301"/>
      <c r="S199" s="1302"/>
      <c r="T199" s="1302"/>
      <c r="U199" s="1302"/>
      <c r="V199" s="1302"/>
      <c r="W199" s="1303"/>
      <c r="X199" s="1260"/>
      <c r="Y199" s="1260"/>
      <c r="Z199" s="1260"/>
      <c r="AA199" s="1260"/>
      <c r="AB199" s="1260"/>
      <c r="AC199" s="1260"/>
      <c r="AD199" s="1260"/>
      <c r="AE199" s="1260"/>
      <c r="AF199" s="1260"/>
      <c r="AG199" s="1260"/>
      <c r="AH199" s="1260"/>
      <c r="AI199" s="1260"/>
      <c r="AJ199" s="1260"/>
      <c r="AK199" s="1260"/>
      <c r="AL199" s="1260"/>
      <c r="AM199" s="1260"/>
      <c r="AN199" s="1260"/>
      <c r="AO199" s="1260"/>
      <c r="AP199" s="1260"/>
      <c r="AQ199" s="1260"/>
      <c r="AR199" s="1468">
        <v>0</v>
      </c>
    </row>
    <row s="1854" customFormat="1" customHeight="1" ht="17.25" hidden="1">
      <c r="A200" s="322"/>
      <c r="C200" s="210"/>
      <c r="D200" s="2136">
        <v>3</v>
      </c>
      <c r="E200" s="2144" t="s">
        <v>389</v>
      </c>
      <c r="F200" s="2146" t="s">
        <v>19</v>
      </c>
      <c r="G200" s="2144"/>
      <c r="H200" s="2149"/>
      <c r="I200" s="2151"/>
      <c r="J200" s="2153"/>
      <c r="K200" s="2138"/>
      <c r="L200" s="2138"/>
      <c r="M200" s="2138"/>
      <c r="N200" s="2140"/>
      <c r="O200" s="2138"/>
      <c r="P200" s="2138"/>
      <c r="Q200" s="2138"/>
      <c r="R200" s="2143"/>
      <c r="S200" s="2138"/>
      <c r="T200" s="1944"/>
      <c r="U200" s="1944"/>
      <c r="V200" s="1946"/>
      <c r="W200" s="1297"/>
      <c r="X200" s="1268"/>
      <c r="Y200" s="1268"/>
      <c r="Z200" s="1268"/>
      <c r="AA200" s="1268"/>
      <c r="AB200" s="1268"/>
      <c r="AC200" s="1268" t="s">
        <v>390</v>
      </c>
      <c r="AD200" s="1268" t="s">
        <v>391</v>
      </c>
      <c r="AE200" s="1268" t="s">
        <v>392</v>
      </c>
      <c r="AF200" s="1268" t="s">
        <v>393</v>
      </c>
      <c r="AG200" s="1268"/>
      <c r="AH200" s="1268" t="str">
        <f>IF($E$200=0,"",$E$200)</f>
        <v>Тариф на подключение (технологическое присоединение) к централизованной системе горячего водоснабжения</v>
      </c>
      <c r="AI200" s="1268" t="str">
        <f>IF($G$200=0,"",$G$200)</f>
        <v/>
      </c>
      <c r="AJ200" s="1268" t="str">
        <f>IF($J$200=0,"",$J$200)</f>
        <v/>
      </c>
      <c r="AK200" s="1268" t="str">
        <f>IF($K$200="нет","без дифференциации",IF($N$200=0,"",$N$200))</f>
        <v/>
      </c>
      <c r="AL200" s="1268" t="str">
        <f>IF($O$200="нет","без дифференциации",IF($R$200=0,"",$R$200))</f>
        <v/>
      </c>
      <c r="AM200" s="1268" t="str">
        <f>IF($S$200="нет","без дифференциации",IF($V$200=0,"",$V$200))</f>
        <v/>
      </c>
      <c r="AN200" s="1773">
        <f>$I$200</f>
        <v>0</v>
      </c>
      <c r="AO200" s="1268" t="str">
        <f>$I$200&amp;"."&amp;$M$200</f>
        <v>.</v>
      </c>
      <c r="AP200" s="1267" t="str">
        <f>$I$200&amp;"."&amp;$M$200&amp;"."&amp;$Q$200</f>
        <v>..</v>
      </c>
      <c r="AQ200" s="1267" t="str">
        <f>$I$200&amp;"."&amp;$M$200&amp;"."&amp;$Q$200&amp;"."&amp;$U$200</f>
        <v>...</v>
      </c>
      <c r="AR200" s="1468">
        <v>0</v>
      </c>
    </row>
    <row s="1854" customFormat="1" customHeight="1" ht="17.25" hidden="1">
      <c r="A201" s="322"/>
      <c r="C201" s="321"/>
      <c r="D201" s="2136"/>
      <c r="E201" s="2144"/>
      <c r="F201" s="2147"/>
      <c r="G201" s="2144"/>
      <c r="H201" s="2150"/>
      <c r="I201" s="2152"/>
      <c r="J201" s="2154"/>
      <c r="K201" s="2139"/>
      <c r="L201" s="2139"/>
      <c r="M201" s="2139"/>
      <c r="N201" s="2141"/>
      <c r="O201" s="2139"/>
      <c r="P201" s="2139"/>
      <c r="Q201" s="2139"/>
      <c r="R201" s="2142"/>
      <c r="S201" s="2139"/>
      <c r="T201" s="1949"/>
      <c r="U201" s="1949"/>
      <c r="V201" s="1949"/>
      <c r="W201" s="1950"/>
      <c r="X201" s="1267"/>
      <c r="Y201" s="1267"/>
      <c r="Z201" s="1267"/>
      <c r="AA201" s="1267"/>
      <c r="AB201" s="1267"/>
      <c r="AC201" s="1267"/>
      <c r="AD201" s="1267"/>
      <c r="AE201" s="1267"/>
      <c r="AF201" s="1267"/>
      <c r="AG201" s="1267"/>
      <c r="AH201" s="1267"/>
      <c r="AI201" s="1267"/>
      <c r="AJ201" s="1267"/>
      <c r="AK201" s="1267"/>
      <c r="AL201" s="1267"/>
      <c r="AM201" s="1267"/>
      <c r="AN201" s="1267"/>
      <c r="AO201" s="1267"/>
      <c r="AP201" s="1267"/>
      <c r="AQ201" s="1267"/>
      <c r="AR201" s="1468">
        <v>0</v>
      </c>
    </row>
    <row s="1854" customFormat="1" customHeight="1" ht="17.25" hidden="1">
      <c r="A202" s="322"/>
      <c r="C202" s="321"/>
      <c r="D202" s="2137"/>
      <c r="E202" s="2145"/>
      <c r="F202" s="2147"/>
      <c r="G202" s="2145"/>
      <c r="H202" s="2150"/>
      <c r="I202" s="2152"/>
      <c r="J202" s="2155"/>
      <c r="K202" s="2139"/>
      <c r="L202" s="2139"/>
      <c r="M202" s="2139"/>
      <c r="N202" s="2142"/>
      <c r="O202" s="2139"/>
      <c r="P202" s="1945"/>
      <c r="Q202" s="1949"/>
      <c r="R202" s="1949"/>
      <c r="S202" s="330"/>
      <c r="T202" s="330"/>
      <c r="U202" s="330"/>
      <c r="V202" s="330"/>
      <c r="W202" s="1950"/>
      <c r="X202" s="1267"/>
      <c r="Y202" s="1267"/>
      <c r="Z202" s="1267"/>
      <c r="AA202" s="1267"/>
      <c r="AB202" s="1267"/>
      <c r="AC202" s="1267"/>
      <c r="AD202" s="1267"/>
      <c r="AE202" s="1267"/>
      <c r="AF202" s="1267"/>
      <c r="AG202" s="1267"/>
      <c r="AH202" s="1267"/>
      <c r="AI202" s="1267"/>
      <c r="AJ202" s="1267"/>
      <c r="AK202" s="1267"/>
      <c r="AL202" s="1267"/>
      <c r="AM202" s="1267"/>
      <c r="AN202" s="1267"/>
      <c r="AO202" s="1267"/>
      <c r="AP202" s="1267"/>
      <c r="AQ202" s="1267"/>
      <c r="AR202" s="1468">
        <v>0</v>
      </c>
    </row>
    <row s="1854" customFormat="1" customHeight="1" ht="17.25" hidden="1">
      <c r="A203" s="322"/>
      <c r="C203" s="321"/>
      <c r="D203" s="2137"/>
      <c r="E203" s="2145"/>
      <c r="F203" s="2147"/>
      <c r="G203" s="2145"/>
      <c r="H203" s="2150"/>
      <c r="I203" s="2152"/>
      <c r="J203" s="2155"/>
      <c r="K203" s="2139"/>
      <c r="L203" s="1949"/>
      <c r="M203" s="1949"/>
      <c r="N203" s="1949"/>
      <c r="O203" s="1949"/>
      <c r="P203" s="1949"/>
      <c r="Q203" s="1949"/>
      <c r="R203" s="1949"/>
      <c r="S203" s="330"/>
      <c r="T203" s="330"/>
      <c r="U203" s="330"/>
      <c r="V203" s="330"/>
      <c r="W203" s="1950"/>
      <c r="X203" s="1267"/>
      <c r="Y203" s="1267"/>
      <c r="Z203" s="1267"/>
      <c r="AA203" s="1267"/>
      <c r="AB203" s="1267"/>
      <c r="AC203" s="1267"/>
      <c r="AD203" s="1267"/>
      <c r="AE203" s="1267"/>
      <c r="AF203" s="1267"/>
      <c r="AG203" s="1267"/>
      <c r="AH203" s="1267"/>
      <c r="AI203" s="1267"/>
      <c r="AJ203" s="1267"/>
      <c r="AK203" s="1267"/>
      <c r="AL203" s="1267"/>
      <c r="AM203" s="1267"/>
      <c r="AN203" s="1267"/>
      <c r="AO203" s="1267"/>
      <c r="AP203" s="1267"/>
      <c r="AQ203" s="1267"/>
      <c r="AR203" s="1468">
        <v>0</v>
      </c>
    </row>
    <row s="1854" customFormat="1" customHeight="1" ht="17.25" hidden="1">
      <c r="A204" s="322"/>
      <c r="C204" s="321"/>
      <c r="D204" s="2137"/>
      <c r="E204" s="2145"/>
      <c r="F204" s="2148"/>
      <c r="G204" s="2145"/>
      <c r="H204" s="1300"/>
      <c r="I204" s="1947"/>
      <c r="J204" s="1947"/>
      <c r="K204" s="1947"/>
      <c r="L204" s="1947"/>
      <c r="M204" s="1947"/>
      <c r="N204" s="1947"/>
      <c r="O204" s="1947"/>
      <c r="P204" s="1947"/>
      <c r="Q204" s="1947"/>
      <c r="R204" s="1947"/>
      <c r="S204" s="1302"/>
      <c r="T204" s="1302"/>
      <c r="U204" s="1302"/>
      <c r="V204" s="1302"/>
      <c r="W204" s="1948"/>
      <c r="X204" s="1267"/>
      <c r="Y204" s="1267"/>
      <c r="Z204" s="1267"/>
      <c r="AA204" s="1267"/>
      <c r="AB204" s="1267"/>
      <c r="AC204" s="1267"/>
      <c r="AD204" s="1267"/>
      <c r="AE204" s="1267"/>
      <c r="AF204" s="1267"/>
      <c r="AG204" s="1267"/>
      <c r="AH204" s="1267"/>
      <c r="AI204" s="1267"/>
      <c r="AJ204" s="1267"/>
      <c r="AK204" s="1267"/>
      <c r="AL204" s="1267"/>
      <c r="AM204" s="1267"/>
      <c r="AN204" s="1267"/>
      <c r="AO204" s="1267"/>
      <c r="AP204" s="1267"/>
      <c r="AQ204" s="1267"/>
      <c r="AR204" s="1468">
        <v>0</v>
      </c>
    </row>
    <row s="1854" customFormat="1" customHeight="1" ht="11.25" hidden="1">
      <c r="A205" s="278"/>
      <c r="B205" s="278"/>
      <c r="Y205" s="1260"/>
      <c r="Z205" s="1260"/>
      <c r="AA205" s="1260"/>
      <c r="AB205" s="1260"/>
      <c r="AC205" s="1260"/>
      <c r="AD205" s="1260"/>
      <c r="AE205" s="1260"/>
      <c r="AF205" s="1260"/>
      <c r="AG205" s="1260"/>
      <c r="AH205" s="1260"/>
      <c r="AI205" s="1260"/>
      <c r="AJ205" s="1260"/>
      <c r="AK205" s="1260"/>
      <c r="AL205" s="1260"/>
      <c r="AM205" s="1260"/>
      <c r="AN205" s="1260"/>
      <c r="AO205" s="1260"/>
      <c r="AP205" s="1260"/>
      <c r="AQ205" s="1260"/>
      <c r="AR205" s="1468">
        <v>0</v>
      </c>
    </row>
    <row s="1854" customFormat="1" customHeight="1" ht="17.25" hidden="1">
      <c r="A206" s="322"/>
      <c r="C206" s="210"/>
      <c r="D206" s="2136">
        <v>1</v>
      </c>
      <c r="E206" s="2144" t="s">
        <v>394</v>
      </c>
      <c r="F206" s="2146" t="s">
        <v>19</v>
      </c>
      <c r="G206" s="2144"/>
      <c r="H206" s="2149"/>
      <c r="I206" s="2151"/>
      <c r="J206" s="2153"/>
      <c r="K206" s="2138"/>
      <c r="L206" s="2138"/>
      <c r="M206" s="2138"/>
      <c r="N206" s="2140"/>
      <c r="O206" s="2138"/>
      <c r="P206" s="2138"/>
      <c r="Q206" s="2138"/>
      <c r="R206" s="2143"/>
      <c r="S206" s="2138"/>
      <c r="T206" s="1471"/>
      <c r="U206" s="1471"/>
      <c r="V206" s="1473"/>
      <c r="W206" s="1297"/>
      <c r="Y206" s="1268"/>
      <c r="Z206" s="1268"/>
      <c r="AA206" s="1268"/>
      <c r="AB206" s="1268"/>
      <c r="AC206" s="1268" t="s">
        <v>395</v>
      </c>
      <c r="AD206" s="1268" t="s">
        <v>396</v>
      </c>
      <c r="AE206" s="1268" t="s">
        <v>397</v>
      </c>
      <c r="AF206" s="1268" t="s">
        <v>398</v>
      </c>
      <c r="AG206" s="1268"/>
      <c r="AH206" s="1268" t="str">
        <f>IF($E$206=0,"",$E$206)</f>
        <v>Тариф на водоотведение</v>
      </c>
      <c r="AI206" s="1268" t="str">
        <f>IF($G$206=0,"",$G$206)</f>
        <v/>
      </c>
      <c r="AJ206" s="1268" t="str">
        <f>IF($J$206=0,"",$J$206)</f>
        <v/>
      </c>
      <c r="AK206" s="1268" t="str">
        <f>IF($K$206="нет","без дифференциации",IF($N$206=0,"",$N$206))</f>
        <v/>
      </c>
      <c r="AL206" s="1268" t="str">
        <f>IF($O$206="нет","без дифференциации",IF($R$206=0,"",$R$206))</f>
        <v/>
      </c>
      <c r="AM206" s="1268" t="str">
        <f>IF($S$206="нет","без дифференциации",IF($V$206=0,"",$V$206))</f>
        <v/>
      </c>
      <c r="AN206" s="1268">
        <f>$I$206</f>
        <v>0</v>
      </c>
      <c r="AO206" s="1268" t="str">
        <f>$I$206&amp;"."&amp;$M$206</f>
        <v>.</v>
      </c>
      <c r="AP206" s="1268" t="str">
        <f>$I$206&amp;"."&amp;$M$206&amp;"."&amp;$Q$206</f>
        <v>..</v>
      </c>
      <c r="AQ206" s="1268" t="str">
        <f>$I$206&amp;"."&amp;$M$206&amp;"."&amp;$Q$206&amp;"."&amp;$U$206</f>
        <v>...</v>
      </c>
      <c r="AR206" s="1468">
        <v>0</v>
      </c>
    </row>
    <row s="1854" customFormat="1" customHeight="1" ht="17.25" hidden="1">
      <c r="A207" s="322"/>
      <c r="C207" s="321"/>
      <c r="D207" s="2136"/>
      <c r="E207" s="2144"/>
      <c r="F207" s="2147"/>
      <c r="G207" s="2144"/>
      <c r="H207" s="2150"/>
      <c r="I207" s="2152"/>
      <c r="J207" s="2154"/>
      <c r="K207" s="2139"/>
      <c r="L207" s="2139"/>
      <c r="M207" s="2139"/>
      <c r="N207" s="2141"/>
      <c r="O207" s="2139"/>
      <c r="P207" s="2139"/>
      <c r="Q207" s="2139"/>
      <c r="R207" s="2142"/>
      <c r="S207" s="2139"/>
      <c r="T207" s="1298"/>
      <c r="U207" s="1298"/>
      <c r="V207" s="1298"/>
      <c r="W207" s="1299"/>
      <c r="Y207" s="1260"/>
      <c r="Z207" s="1260"/>
      <c r="AA207" s="1260"/>
      <c r="AB207" s="1260"/>
      <c r="AC207" s="1260"/>
      <c r="AD207" s="1260"/>
      <c r="AE207" s="1260"/>
      <c r="AF207" s="1260"/>
      <c r="AG207" s="1260"/>
      <c r="AH207" s="1260"/>
      <c r="AI207" s="1260"/>
      <c r="AJ207" s="1260"/>
      <c r="AK207" s="1260"/>
      <c r="AL207" s="1260"/>
      <c r="AM207" s="1260"/>
      <c r="AN207" s="1260"/>
      <c r="AO207" s="1260"/>
      <c r="AP207" s="1260"/>
      <c r="AQ207" s="1260"/>
      <c r="AR207" s="1468">
        <v>0</v>
      </c>
    </row>
    <row s="1854" customFormat="1" customHeight="1" ht="17.25" hidden="1">
      <c r="A208" s="322"/>
      <c r="C208" s="210"/>
      <c r="D208" s="2136"/>
      <c r="E208" s="2144"/>
      <c r="F208" s="2147"/>
      <c r="G208" s="2144"/>
      <c r="H208" s="2150"/>
      <c r="I208" s="2152"/>
      <c r="J208" s="2155"/>
      <c r="K208" s="2139"/>
      <c r="L208" s="2139"/>
      <c r="M208" s="2139"/>
      <c r="N208" s="2142"/>
      <c r="O208" s="2139"/>
      <c r="P208" s="1472"/>
      <c r="Q208" s="1298"/>
      <c r="R208" s="1298"/>
      <c r="S208" s="330"/>
      <c r="T208" s="330"/>
      <c r="U208" s="330"/>
      <c r="V208" s="330"/>
      <c r="W208" s="1299"/>
      <c r="Y208" s="1268"/>
      <c r="Z208" s="1268"/>
      <c r="AA208" s="1268"/>
      <c r="AB208" s="1268"/>
      <c r="AC208" s="1268"/>
      <c r="AD208" s="1268"/>
      <c r="AE208" s="1268"/>
      <c r="AF208" s="1268"/>
      <c r="AG208" s="1268"/>
      <c r="AH208" s="1268"/>
      <c r="AI208" s="1268"/>
      <c r="AJ208" s="1268"/>
      <c r="AK208" s="1268"/>
      <c r="AL208" s="1268"/>
      <c r="AM208" s="1268"/>
      <c r="AN208" s="1268"/>
      <c r="AO208" s="1268"/>
      <c r="AP208" s="1268"/>
      <c r="AQ208" s="1268"/>
      <c r="AR208" s="1468">
        <v>0</v>
      </c>
    </row>
    <row s="1854" customFormat="1" customHeight="1" ht="17.25" hidden="1">
      <c r="A209" s="322"/>
      <c r="C209" s="321"/>
      <c r="D209" s="2136"/>
      <c r="E209" s="2144"/>
      <c r="F209" s="2147"/>
      <c r="G209" s="2144"/>
      <c r="H209" s="2150"/>
      <c r="I209" s="2152"/>
      <c r="J209" s="2155"/>
      <c r="K209" s="2139"/>
      <c r="L209" s="1298"/>
      <c r="M209" s="1298"/>
      <c r="N209" s="1298"/>
      <c r="O209" s="1298"/>
      <c r="P209" s="1298"/>
      <c r="Q209" s="1298"/>
      <c r="R209" s="1298"/>
      <c r="S209" s="330"/>
      <c r="T209" s="330"/>
      <c r="U209" s="330"/>
      <c r="V209" s="330"/>
      <c r="W209" s="1299"/>
      <c r="Y209" s="1260"/>
      <c r="Z209" s="1260"/>
      <c r="AA209" s="1260"/>
      <c r="AB209" s="1260"/>
      <c r="AC209" s="1260"/>
      <c r="AD209" s="1260"/>
      <c r="AE209" s="1260"/>
      <c r="AF209" s="1260"/>
      <c r="AG209" s="1260"/>
      <c r="AH209" s="1260"/>
      <c r="AI209" s="1260"/>
      <c r="AJ209" s="1260"/>
      <c r="AK209" s="1260"/>
      <c r="AL209" s="1260"/>
      <c r="AM209" s="1260"/>
      <c r="AN209" s="1260"/>
      <c r="AO209" s="1260"/>
      <c r="AP209" s="1260"/>
      <c r="AQ209" s="1260"/>
      <c r="AR209" s="1468">
        <v>0</v>
      </c>
    </row>
    <row s="1854" customFormat="1" customHeight="1" ht="17.25" hidden="1">
      <c r="A210" s="322"/>
      <c r="C210" s="321"/>
      <c r="D210" s="2137"/>
      <c r="E210" s="2145"/>
      <c r="F210" s="2148"/>
      <c r="G210" s="2145"/>
      <c r="H210" s="1300"/>
      <c r="I210" s="1301"/>
      <c r="J210" s="1301"/>
      <c r="K210" s="1301"/>
      <c r="L210" s="1301"/>
      <c r="M210" s="1301"/>
      <c r="N210" s="1301"/>
      <c r="O210" s="1301"/>
      <c r="P210" s="1301"/>
      <c r="Q210" s="1301"/>
      <c r="R210" s="1301"/>
      <c r="S210" s="1302"/>
      <c r="T210" s="1302"/>
      <c r="U210" s="1302"/>
      <c r="V210" s="1302"/>
      <c r="W210" s="1303"/>
      <c r="Y210" s="1260"/>
      <c r="Z210" s="1260"/>
      <c r="AA210" s="1260"/>
      <c r="AB210" s="1260"/>
      <c r="AC210" s="1260"/>
      <c r="AD210" s="1260"/>
      <c r="AE210" s="1260"/>
      <c r="AF210" s="1260"/>
      <c r="AG210" s="1260"/>
      <c r="AH210" s="1260"/>
      <c r="AI210" s="1260"/>
      <c r="AJ210" s="1260"/>
      <c r="AK210" s="1260"/>
      <c r="AL210" s="1260"/>
      <c r="AM210" s="1260"/>
      <c r="AN210" s="1260"/>
      <c r="AO210" s="1260"/>
      <c r="AP210" s="1260"/>
      <c r="AQ210" s="1260"/>
      <c r="AR210" s="1468">
        <v>0</v>
      </c>
    </row>
    <row s="1854" customFormat="1" customHeight="1" ht="17.25" hidden="1">
      <c r="A211" s="322"/>
      <c r="C211" s="210"/>
      <c r="D211" s="2136">
        <v>2</v>
      </c>
      <c r="E211" s="2144" t="s">
        <v>399</v>
      </c>
      <c r="F211" s="2146" t="s">
        <v>19</v>
      </c>
      <c r="G211" s="2144"/>
      <c r="H211" s="2149"/>
      <c r="I211" s="2151"/>
      <c r="J211" s="2153"/>
      <c r="K211" s="2138"/>
      <c r="L211" s="2138"/>
      <c r="M211" s="2138"/>
      <c r="N211" s="2140"/>
      <c r="O211" s="2138"/>
      <c r="P211" s="2138"/>
      <c r="Q211" s="2138"/>
      <c r="R211" s="2143"/>
      <c r="S211" s="2138"/>
      <c r="T211" s="1471"/>
      <c r="U211" s="1471"/>
      <c r="V211" s="1473"/>
      <c r="W211" s="1297"/>
      <c r="X211" s="1268"/>
      <c r="Y211" s="1268"/>
      <c r="Z211" s="1268"/>
      <c r="AA211" s="1268"/>
      <c r="AB211" s="1268"/>
      <c r="AC211" s="1268" t="s">
        <v>400</v>
      </c>
      <c r="AD211" s="1268" t="s">
        <v>401</v>
      </c>
      <c r="AE211" s="1268" t="s">
        <v>402</v>
      </c>
      <c r="AF211" s="1268" t="s">
        <v>403</v>
      </c>
      <c r="AG211" s="1268"/>
      <c r="AH211" s="1268" t="str">
        <f>IF($E$211=0,"",$E$211)</f>
        <v>Тариф на транспортировку сточных вод</v>
      </c>
      <c r="AI211" s="1268" t="str">
        <f>IF($G$211=0,"",$G$211)</f>
        <v/>
      </c>
      <c r="AJ211" s="1268" t="str">
        <f>IF($J$211=0,"",$J$211)</f>
        <v/>
      </c>
      <c r="AK211" s="1268" t="str">
        <f>IF($K$211="нет","без дифференциации",IF($N$211=0,"",$N$211))</f>
        <v/>
      </c>
      <c r="AL211" s="1268" t="str">
        <f>IF($O$211="нет","без дифференциации",IF($R$211=0,"",$R$211))</f>
        <v/>
      </c>
      <c r="AM211" s="1268" t="str">
        <f>IF($S$211="нет","без дифференциации",IF($V$211=0,"",$V$211))</f>
        <v/>
      </c>
      <c r="AN211" s="1773">
        <f>$I$211</f>
        <v>0</v>
      </c>
      <c r="AO211" s="1268" t="str">
        <f>$I$211&amp;"."&amp;$M$211</f>
        <v>.</v>
      </c>
      <c r="AP211" s="1260" t="str">
        <f>$I$211&amp;"."&amp;$M$211&amp;"."&amp;$Q$211</f>
        <v>..</v>
      </c>
      <c r="AQ211" s="1260" t="str">
        <f>$I$211&amp;"."&amp;$M$211&amp;"."&amp;$Q$211&amp;"."&amp;$U$211</f>
        <v>...</v>
      </c>
      <c r="AR211" s="1468">
        <v>0</v>
      </c>
    </row>
    <row s="1854" customFormat="1" customHeight="1" ht="17.25" hidden="1">
      <c r="A212" s="322"/>
      <c r="C212" s="321"/>
      <c r="D212" s="2136"/>
      <c r="E212" s="2144"/>
      <c r="F212" s="2147"/>
      <c r="G212" s="2144"/>
      <c r="H212" s="2150"/>
      <c r="I212" s="2152"/>
      <c r="J212" s="2154"/>
      <c r="K212" s="2139"/>
      <c r="L212" s="2139"/>
      <c r="M212" s="2139"/>
      <c r="N212" s="2141"/>
      <c r="O212" s="2139"/>
      <c r="P212" s="2139"/>
      <c r="Q212" s="2139"/>
      <c r="R212" s="2142"/>
      <c r="S212" s="2139"/>
      <c r="T212" s="1298"/>
      <c r="U212" s="1298"/>
      <c r="V212" s="1298"/>
      <c r="W212" s="1299"/>
      <c r="X212" s="1260"/>
      <c r="Y212" s="1260"/>
      <c r="Z212" s="1260"/>
      <c r="AA212" s="1260"/>
      <c r="AB212" s="1260"/>
      <c r="AC212" s="1260"/>
      <c r="AD212" s="1260"/>
      <c r="AE212" s="1260"/>
      <c r="AF212" s="1260"/>
      <c r="AG212" s="1260"/>
      <c r="AH212" s="1260"/>
      <c r="AI212" s="1260"/>
      <c r="AJ212" s="1260"/>
      <c r="AK212" s="1260"/>
      <c r="AL212" s="1260"/>
      <c r="AM212" s="1260"/>
      <c r="AN212" s="1260"/>
      <c r="AO212" s="1260"/>
      <c r="AP212" s="1260"/>
      <c r="AQ212" s="1260"/>
      <c r="AR212" s="1468">
        <v>0</v>
      </c>
    </row>
    <row s="1854" customFormat="1" customHeight="1" ht="17.25" hidden="1">
      <c r="A213" s="322"/>
      <c r="C213" s="321"/>
      <c r="D213" s="2137"/>
      <c r="E213" s="2145"/>
      <c r="F213" s="2147"/>
      <c r="G213" s="2145"/>
      <c r="H213" s="2150"/>
      <c r="I213" s="2152"/>
      <c r="J213" s="2155"/>
      <c r="K213" s="2139"/>
      <c r="L213" s="2139"/>
      <c r="M213" s="2139"/>
      <c r="N213" s="2142"/>
      <c r="O213" s="2139"/>
      <c r="P213" s="1472"/>
      <c r="Q213" s="1298"/>
      <c r="R213" s="1298"/>
      <c r="S213" s="330"/>
      <c r="T213" s="330"/>
      <c r="U213" s="330"/>
      <c r="V213" s="330"/>
      <c r="W213" s="1299"/>
      <c r="X213" s="1260"/>
      <c r="Y213" s="1260"/>
      <c r="Z213" s="1260"/>
      <c r="AA213" s="1260"/>
      <c r="AB213" s="1260"/>
      <c r="AC213" s="1260"/>
      <c r="AD213" s="1260"/>
      <c r="AE213" s="1260"/>
      <c r="AF213" s="1260"/>
      <c r="AG213" s="1260"/>
      <c r="AH213" s="1260"/>
      <c r="AI213" s="1260"/>
      <c r="AJ213" s="1260"/>
      <c r="AK213" s="1260"/>
      <c r="AL213" s="1260"/>
      <c r="AM213" s="1260"/>
      <c r="AN213" s="1260"/>
      <c r="AO213" s="1260"/>
      <c r="AP213" s="1260"/>
      <c r="AQ213" s="1260"/>
      <c r="AR213" s="1468">
        <v>0</v>
      </c>
    </row>
    <row s="1854" customFormat="1" customHeight="1" ht="17.25" hidden="1">
      <c r="A214" s="322"/>
      <c r="C214" s="321"/>
      <c r="D214" s="2137"/>
      <c r="E214" s="2145"/>
      <c r="F214" s="2147"/>
      <c r="G214" s="2145"/>
      <c r="H214" s="2150"/>
      <c r="I214" s="2152"/>
      <c r="J214" s="2155"/>
      <c r="K214" s="2139"/>
      <c r="L214" s="1298"/>
      <c r="M214" s="1298"/>
      <c r="N214" s="1298"/>
      <c r="O214" s="1298"/>
      <c r="P214" s="1298"/>
      <c r="Q214" s="1298"/>
      <c r="R214" s="1298"/>
      <c r="S214" s="330"/>
      <c r="T214" s="330"/>
      <c r="U214" s="330"/>
      <c r="V214" s="330"/>
      <c r="W214" s="1299"/>
      <c r="X214" s="1260"/>
      <c r="Y214" s="1260"/>
      <c r="Z214" s="1260"/>
      <c r="AA214" s="1260"/>
      <c r="AB214" s="1260"/>
      <c r="AC214" s="1260"/>
      <c r="AD214" s="1260"/>
      <c r="AE214" s="1260"/>
      <c r="AF214" s="1260"/>
      <c r="AG214" s="1260"/>
      <c r="AH214" s="1260"/>
      <c r="AI214" s="1260"/>
      <c r="AJ214" s="1260"/>
      <c r="AK214" s="1260"/>
      <c r="AL214" s="1260"/>
      <c r="AM214" s="1260"/>
      <c r="AN214" s="1260"/>
      <c r="AO214" s="1260"/>
      <c r="AP214" s="1260"/>
      <c r="AQ214" s="1260"/>
      <c r="AR214" s="1468">
        <v>0</v>
      </c>
    </row>
    <row s="1854" customFormat="1" customHeight="1" ht="17.25" hidden="1">
      <c r="A215" s="322"/>
      <c r="C215" s="321"/>
      <c r="D215" s="2137"/>
      <c r="E215" s="2145"/>
      <c r="F215" s="2148"/>
      <c r="G215" s="2145"/>
      <c r="H215" s="1300"/>
      <c r="I215" s="1301"/>
      <c r="J215" s="1301"/>
      <c r="K215" s="1301"/>
      <c r="L215" s="1301"/>
      <c r="M215" s="1301"/>
      <c r="N215" s="1301"/>
      <c r="O215" s="1301"/>
      <c r="P215" s="1301"/>
      <c r="Q215" s="1301"/>
      <c r="R215" s="1301"/>
      <c r="S215" s="1302"/>
      <c r="T215" s="1302"/>
      <c r="U215" s="1302"/>
      <c r="V215" s="1302"/>
      <c r="W215" s="1303"/>
      <c r="X215" s="1260"/>
      <c r="Y215" s="1260"/>
      <c r="Z215" s="1260"/>
      <c r="AA215" s="1260"/>
      <c r="AB215" s="1260"/>
      <c r="AC215" s="1260"/>
      <c r="AD215" s="1260"/>
      <c r="AE215" s="1260"/>
      <c r="AF215" s="1260"/>
      <c r="AG215" s="1260"/>
      <c r="AH215" s="1260"/>
      <c r="AI215" s="1260"/>
      <c r="AJ215" s="1260"/>
      <c r="AK215" s="1260"/>
      <c r="AL215" s="1260"/>
      <c r="AM215" s="1260"/>
      <c r="AN215" s="1260"/>
      <c r="AO215" s="1260"/>
      <c r="AP215" s="1260"/>
      <c r="AQ215" s="1260"/>
      <c r="AR215" s="1468">
        <v>0</v>
      </c>
    </row>
    <row s="1854" customFormat="1" customHeight="1" ht="17.25" hidden="1">
      <c r="A216" s="322"/>
      <c r="C216" s="210"/>
      <c r="D216" s="2136">
        <v>3</v>
      </c>
      <c r="E216" s="2144" t="s">
        <v>404</v>
      </c>
      <c r="F216" s="2146" t="s">
        <v>19</v>
      </c>
      <c r="G216" s="2144"/>
      <c r="H216" s="2149"/>
      <c r="I216" s="2151"/>
      <c r="J216" s="2153"/>
      <c r="K216" s="2138"/>
      <c r="L216" s="2138"/>
      <c r="M216" s="2138"/>
      <c r="N216" s="2140"/>
      <c r="O216" s="2138"/>
      <c r="P216" s="2138"/>
      <c r="Q216" s="2138"/>
      <c r="R216" s="2143"/>
      <c r="S216" s="2138"/>
      <c r="T216" s="1944"/>
      <c r="U216" s="1944"/>
      <c r="V216" s="1946"/>
      <c r="W216" s="1297"/>
      <c r="X216" s="1268"/>
      <c r="Y216" s="1268"/>
      <c r="Z216" s="1268"/>
      <c r="AA216" s="1268"/>
      <c r="AB216" s="1268"/>
      <c r="AC216" s="1268" t="s">
        <v>405</v>
      </c>
      <c r="AD216" s="1268" t="s">
        <v>406</v>
      </c>
      <c r="AE216" s="1268" t="s">
        <v>407</v>
      </c>
      <c r="AF216" s="1268" t="s">
        <v>408</v>
      </c>
      <c r="AG216" s="1268"/>
      <c r="AH216" s="1268" t="str">
        <f>IF($E$216=0,"",$E$216)</f>
        <v>Тариф на подключение (технологическое присоединение) к централизованной системе водоотведения</v>
      </c>
      <c r="AI216" s="1268" t="str">
        <f>IF($G$216=0,"",$G$216)</f>
        <v/>
      </c>
      <c r="AJ216" s="1268" t="str">
        <f>IF($J$216=0,"",$J$216)</f>
        <v/>
      </c>
      <c r="AK216" s="1268" t="str">
        <f>IF($K$216="нет","без дифференциации",IF($N$216=0,"",$N$216))</f>
        <v/>
      </c>
      <c r="AL216" s="1268" t="str">
        <f>IF($O$216="нет","без дифференциации",IF($R$216=0,"",$R$216))</f>
        <v/>
      </c>
      <c r="AM216" s="1268" t="str">
        <f>IF($S$216="нет","без дифференциации",IF($V$216=0,"",$V$216))</f>
        <v/>
      </c>
      <c r="AN216" s="1773">
        <f>$I$216</f>
        <v>0</v>
      </c>
      <c r="AO216" s="1268" t="str">
        <f>$I$216&amp;"."&amp;$M$216</f>
        <v>.</v>
      </c>
      <c r="AP216" s="1267" t="str">
        <f>$I$216&amp;"."&amp;$M$216&amp;"."&amp;$Q$216</f>
        <v>..</v>
      </c>
      <c r="AQ216" s="1267" t="str">
        <f>$I$216&amp;"."&amp;$M$216&amp;"."&amp;$Q$216&amp;"."&amp;$U$216</f>
        <v>...</v>
      </c>
      <c r="AR216" s="1468">
        <v>0</v>
      </c>
    </row>
    <row s="1854" customFormat="1" customHeight="1" ht="17.25" hidden="1">
      <c r="A217" s="322"/>
      <c r="C217" s="321"/>
      <c r="D217" s="2136"/>
      <c r="E217" s="2144"/>
      <c r="F217" s="2147"/>
      <c r="G217" s="2144"/>
      <c r="H217" s="2150"/>
      <c r="I217" s="2152"/>
      <c r="J217" s="2154"/>
      <c r="K217" s="2139"/>
      <c r="L217" s="2139"/>
      <c r="M217" s="2139"/>
      <c r="N217" s="2141"/>
      <c r="O217" s="2139"/>
      <c r="P217" s="2139"/>
      <c r="Q217" s="2139"/>
      <c r="R217" s="2142"/>
      <c r="S217" s="2139"/>
      <c r="T217" s="1949"/>
      <c r="U217" s="1949"/>
      <c r="V217" s="1949"/>
      <c r="W217" s="1950"/>
      <c r="X217" s="1267"/>
      <c r="Y217" s="1267"/>
      <c r="Z217" s="1267"/>
      <c r="AA217" s="1267"/>
      <c r="AB217" s="1267"/>
      <c r="AC217" s="1267"/>
      <c r="AD217" s="1267"/>
      <c r="AE217" s="1267"/>
      <c r="AF217" s="1267"/>
      <c r="AG217" s="1267"/>
      <c r="AH217" s="1267"/>
      <c r="AI217" s="1267"/>
      <c r="AJ217" s="1267"/>
      <c r="AK217" s="1267"/>
      <c r="AL217" s="1267"/>
      <c r="AM217" s="1267"/>
      <c r="AN217" s="1267"/>
      <c r="AO217" s="1267"/>
      <c r="AP217" s="1267"/>
      <c r="AQ217" s="1267"/>
      <c r="AR217" s="1468">
        <v>0</v>
      </c>
    </row>
    <row s="1854" customFormat="1" customHeight="1" ht="17.25" hidden="1">
      <c r="A218" s="322"/>
      <c r="C218" s="321"/>
      <c r="D218" s="2137"/>
      <c r="E218" s="2145"/>
      <c r="F218" s="2147"/>
      <c r="G218" s="2145"/>
      <c r="H218" s="2150"/>
      <c r="I218" s="2152"/>
      <c r="J218" s="2155"/>
      <c r="K218" s="2139"/>
      <c r="L218" s="2139"/>
      <c r="M218" s="2139"/>
      <c r="N218" s="2142"/>
      <c r="O218" s="2139"/>
      <c r="P218" s="1945"/>
      <c r="Q218" s="1949"/>
      <c r="R218" s="1949"/>
      <c r="S218" s="330"/>
      <c r="T218" s="330"/>
      <c r="U218" s="330"/>
      <c r="V218" s="330"/>
      <c r="W218" s="1950"/>
      <c r="X218" s="1267"/>
      <c r="Y218" s="1267"/>
      <c r="Z218" s="1267"/>
      <c r="AA218" s="1267"/>
      <c r="AB218" s="1267"/>
      <c r="AC218" s="1267"/>
      <c r="AD218" s="1267"/>
      <c r="AE218" s="1267"/>
      <c r="AF218" s="1267"/>
      <c r="AG218" s="1267"/>
      <c r="AH218" s="1267"/>
      <c r="AI218" s="1267"/>
      <c r="AJ218" s="1267"/>
      <c r="AK218" s="1267"/>
      <c r="AL218" s="1267"/>
      <c r="AM218" s="1267"/>
      <c r="AN218" s="1267"/>
      <c r="AO218" s="1267"/>
      <c r="AP218" s="1267"/>
      <c r="AQ218" s="1267"/>
      <c r="AR218" s="1468">
        <v>0</v>
      </c>
    </row>
    <row s="1854" customFormat="1" customHeight="1" ht="17.25" hidden="1">
      <c r="A219" s="322"/>
      <c r="C219" s="321"/>
      <c r="D219" s="2137"/>
      <c r="E219" s="2145"/>
      <c r="F219" s="2147"/>
      <c r="G219" s="2145"/>
      <c r="H219" s="2150"/>
      <c r="I219" s="2152"/>
      <c r="J219" s="2155"/>
      <c r="K219" s="2139"/>
      <c r="L219" s="1949"/>
      <c r="M219" s="1949"/>
      <c r="N219" s="1949"/>
      <c r="O219" s="1949"/>
      <c r="P219" s="1949"/>
      <c r="Q219" s="1949"/>
      <c r="R219" s="1949"/>
      <c r="S219" s="330"/>
      <c r="T219" s="330"/>
      <c r="U219" s="330"/>
      <c r="V219" s="330"/>
      <c r="W219" s="1950"/>
      <c r="X219" s="1267"/>
      <c r="Y219" s="1267"/>
      <c r="Z219" s="1267"/>
      <c r="AA219" s="1267"/>
      <c r="AB219" s="1267"/>
      <c r="AC219" s="1267"/>
      <c r="AD219" s="1267"/>
      <c r="AE219" s="1267"/>
      <c r="AF219" s="1267"/>
      <c r="AG219" s="1267"/>
      <c r="AH219" s="1267"/>
      <c r="AI219" s="1267"/>
      <c r="AJ219" s="1267"/>
      <c r="AK219" s="1267"/>
      <c r="AL219" s="1267"/>
      <c r="AM219" s="1267"/>
      <c r="AN219" s="1267"/>
      <c r="AO219" s="1267"/>
      <c r="AP219" s="1267"/>
      <c r="AQ219" s="1267"/>
      <c r="AR219" s="1468">
        <v>0</v>
      </c>
    </row>
    <row s="1854" customFormat="1" customHeight="1" ht="17.25" hidden="1">
      <c r="A220" s="322"/>
      <c r="C220" s="321"/>
      <c r="D220" s="2137"/>
      <c r="E220" s="2145"/>
      <c r="F220" s="2148"/>
      <c r="G220" s="2145"/>
      <c r="H220" s="1300"/>
      <c r="I220" s="1947"/>
      <c r="J220" s="1947"/>
      <c r="K220" s="1947"/>
      <c r="L220" s="1947"/>
      <c r="M220" s="1947"/>
      <c r="N220" s="1947"/>
      <c r="O220" s="1947"/>
      <c r="P220" s="1947"/>
      <c r="Q220" s="1947"/>
      <c r="R220" s="1947"/>
      <c r="S220" s="1302"/>
      <c r="T220" s="1302"/>
      <c r="U220" s="1302"/>
      <c r="V220" s="1302"/>
      <c r="W220" s="1948"/>
      <c r="X220" s="1267"/>
      <c r="Y220" s="1267"/>
      <c r="Z220" s="1267"/>
      <c r="AA220" s="1267"/>
      <c r="AB220" s="1267"/>
      <c r="AC220" s="1267"/>
      <c r="AD220" s="1267"/>
      <c r="AE220" s="1267"/>
      <c r="AF220" s="1267"/>
      <c r="AG220" s="1267"/>
      <c r="AH220" s="1267"/>
      <c r="AI220" s="1267"/>
      <c r="AJ220" s="1267"/>
      <c r="AK220" s="1267"/>
      <c r="AL220" s="1267"/>
      <c r="AM220" s="1267"/>
      <c r="AN220" s="1267"/>
      <c r="AO220" s="1267"/>
      <c r="AP220" s="1267"/>
      <c r="AQ220" s="1267"/>
      <c r="AR220" s="1468">
        <v>0</v>
      </c>
    </row>
    <row customHeight="1" ht="11.549999999999999">
      <c r="AR221" s="105">
        <v>11</v>
      </c>
    </row>
    <row customHeight="1" ht="11.549999999999999">
      <c r="AR222" s="105">
        <v>11</v>
      </c>
    </row>
    <row customHeight="1" ht="11.549999999999999">
      <c r="AR223" s="105">
        <v>11</v>
      </c>
    </row>
    <row customHeight="1" ht="11.549999999999999">
      <c r="E224" s="1351"/>
      <c r="AR224" s="105">
        <v>11</v>
      </c>
    </row>
    <row customHeight="1" ht="11.549999999999999">
      <c r="E225" s="1351"/>
      <c r="AR225" s="105">
        <v>11</v>
      </c>
    </row>
    <row customHeight="1" ht="11.549999999999999">
      <c r="E226" s="1351"/>
      <c r="AR226" s="105">
        <v>11</v>
      </c>
    </row>
    <row customHeight="1" ht="11.549999999999999">
      <c r="E227" s="1351"/>
      <c r="AR227" s="105">
        <v>11</v>
      </c>
    </row>
    <row customHeight="1" ht="11.549999999999999">
      <c r="E228" s="1351"/>
      <c r="AR228" s="105">
        <v>11</v>
      </c>
    </row>
    <row customHeight="1" ht="11.549999999999999">
      <c r="E229" s="1351"/>
      <c r="AR229" s="105">
        <v>11</v>
      </c>
    </row>
    <row customHeight="1" ht="11.549999999999999">
      <c r="E230" s="1351"/>
      <c r="AR230" s="105">
        <v>11</v>
      </c>
    </row>
    <row customHeight="1" ht="11.25" hidden="1">
      <c r="A231" s="154" t="s">
        <v>86</v>
      </c>
      <c r="B231" s="154">
        <v>0</v>
      </c>
      <c r="C231" s="105">
        <v>3</v>
      </c>
      <c r="D231" s="105">
        <v>6</v>
      </c>
      <c r="E231" s="105">
        <v>42</v>
      </c>
      <c r="F231" s="1284">
        <v>14</v>
      </c>
      <c r="G231" s="105">
        <v>42</v>
      </c>
      <c r="H231" s="105">
        <v>3</v>
      </c>
      <c r="I231" s="105">
        <v>5</v>
      </c>
      <c r="J231" s="105">
        <v>47</v>
      </c>
      <c r="K231" s="105">
        <v>3</v>
      </c>
      <c r="L231" s="105">
        <v>3</v>
      </c>
      <c r="M231" s="105">
        <v>5</v>
      </c>
      <c r="N231" s="105">
        <v>28</v>
      </c>
      <c r="O231" s="105">
        <v>3</v>
      </c>
      <c r="P231" s="105">
        <v>3</v>
      </c>
      <c r="Q231" s="105">
        <v>5</v>
      </c>
      <c r="R231" s="105">
        <v>34</v>
      </c>
      <c r="S231" s="283">
        <v>0</v>
      </c>
      <c r="T231" s="283">
        <v>0</v>
      </c>
      <c r="U231" s="283">
        <v>0</v>
      </c>
      <c r="V231" s="283">
        <v>0</v>
      </c>
      <c r="W231" s="105">
        <v>30</v>
      </c>
      <c r="X231" s="105">
        <v>3</v>
      </c>
      <c r="Y231" s="1260">
        <v>0</v>
      </c>
      <c r="Z231" s="1260">
        <v>0</v>
      </c>
      <c r="AA231" s="1260">
        <v>0</v>
      </c>
      <c r="AB231" s="1260">
        <v>0</v>
      </c>
      <c r="AC231" s="1260">
        <v>0</v>
      </c>
      <c r="AD231" s="1260">
        <v>0</v>
      </c>
      <c r="AE231" s="1260">
        <v>0</v>
      </c>
      <c r="AF231" s="1260">
        <v>0</v>
      </c>
      <c r="AG231" s="1260">
        <v>0</v>
      </c>
      <c r="AH231" s="1260">
        <v>0</v>
      </c>
      <c r="AI231" s="1260">
        <v>0</v>
      </c>
      <c r="AJ231" s="1260">
        <v>0</v>
      </c>
      <c r="AK231" s="1260">
        <v>0</v>
      </c>
      <c r="AL231" s="1260">
        <v>0</v>
      </c>
      <c r="AM231" s="1260">
        <v>0</v>
      </c>
      <c r="AN231" s="1260">
        <v>0</v>
      </c>
      <c r="AO231" s="1260">
        <v>0</v>
      </c>
      <c r="AP231" s="1260">
        <v>0</v>
      </c>
      <c r="AQ231" s="1260">
        <v>0</v>
      </c>
      <c r="AR231" s="105">
        <v>11</v>
      </c>
    </row>
  </sheetData>
  <sheetProtection formatColumns="0" formatRows="0" autoFilter="0" sort="0" insertRows="0" insertColumns="1" deleteRows="0" deleteColumns="0"/>
  <mergeCells count="627">
    <mergeCell ref="R72:R73"/>
    <mergeCell ref="S72:S73"/>
    <mergeCell ref="G72:G76"/>
    <mergeCell ref="H72:H75"/>
    <mergeCell ref="I72:I75"/>
    <mergeCell ref="J72:J75"/>
    <mergeCell ref="K72:K75"/>
    <mergeCell ref="L72:L74"/>
    <mergeCell ref="M72:M74"/>
    <mergeCell ref="N72:N74"/>
    <mergeCell ref="O72:O74"/>
    <mergeCell ref="M216:M218"/>
    <mergeCell ref="N216:N218"/>
    <mergeCell ref="O216:O218"/>
    <mergeCell ref="P216:P217"/>
    <mergeCell ref="Q216:Q217"/>
    <mergeCell ref="R216:R217"/>
    <mergeCell ref="S216:S217"/>
    <mergeCell ref="D216:D220"/>
    <mergeCell ref="E216:E220"/>
    <mergeCell ref="F216:F220"/>
    <mergeCell ref="G216:G220"/>
    <mergeCell ref="H216:H219"/>
    <mergeCell ref="I216:I219"/>
    <mergeCell ref="J216:J219"/>
    <mergeCell ref="K216:K219"/>
    <mergeCell ref="L216:L218"/>
    <mergeCell ref="N184:N186"/>
    <mergeCell ref="O184:O186"/>
    <mergeCell ref="P184:P185"/>
    <mergeCell ref="Q184:Q185"/>
    <mergeCell ref="R184:R185"/>
    <mergeCell ref="S184:S185"/>
    <mergeCell ref="D200:D204"/>
    <mergeCell ref="E200:E204"/>
    <mergeCell ref="F200:F204"/>
    <mergeCell ref="G200:G204"/>
    <mergeCell ref="H200:H203"/>
    <mergeCell ref="I200:I203"/>
    <mergeCell ref="J200:J203"/>
    <mergeCell ref="K200:K203"/>
    <mergeCell ref="L200:L202"/>
    <mergeCell ref="M200:M202"/>
    <mergeCell ref="N200:N202"/>
    <mergeCell ref="O200:O202"/>
    <mergeCell ref="P200:P201"/>
    <mergeCell ref="Q200:Q201"/>
    <mergeCell ref="R200:R201"/>
    <mergeCell ref="S200:S201"/>
    <mergeCell ref="D184:D188"/>
    <mergeCell ref="E184:E188"/>
    <mergeCell ref="F184:F188"/>
    <mergeCell ref="G184:G188"/>
    <mergeCell ref="H184:H187"/>
    <mergeCell ref="I184:I187"/>
    <mergeCell ref="J184:J187"/>
    <mergeCell ref="K184:K187"/>
    <mergeCell ref="L184:L186"/>
    <mergeCell ref="S211:S212"/>
    <mergeCell ref="D211:D215"/>
    <mergeCell ref="E211:E215"/>
    <mergeCell ref="F211:F215"/>
    <mergeCell ref="G211:G215"/>
    <mergeCell ref="H211:H214"/>
    <mergeCell ref="I211:I214"/>
    <mergeCell ref="J211:J214"/>
    <mergeCell ref="K211:K214"/>
    <mergeCell ref="L211:L213"/>
    <mergeCell ref="H206:H209"/>
    <mergeCell ref="I206:I209"/>
    <mergeCell ref="J206:J209"/>
    <mergeCell ref="K206:K209"/>
    <mergeCell ref="L206:L208"/>
    <mergeCell ref="M206:M208"/>
    <mergeCell ref="N206:N208"/>
    <mergeCell ref="M211:M213"/>
    <mergeCell ref="N211:N213"/>
    <mergeCell ref="O211:O213"/>
    <mergeCell ref="P206:P207"/>
    <mergeCell ref="Q206:Q207"/>
    <mergeCell ref="R206:R207"/>
    <mergeCell ref="P211:P212"/>
    <mergeCell ref="Q211:Q212"/>
    <mergeCell ref="R211:R212"/>
    <mergeCell ref="S206:S207"/>
    <mergeCell ref="D206:D210"/>
    <mergeCell ref="E206:E210"/>
    <mergeCell ref="F206:F210"/>
    <mergeCell ref="G206:G210"/>
    <mergeCell ref="M195:M197"/>
    <mergeCell ref="N195:N197"/>
    <mergeCell ref="O195:O197"/>
    <mergeCell ref="P195:P196"/>
    <mergeCell ref="Q195:Q196"/>
    <mergeCell ref="R195:R196"/>
    <mergeCell ref="S195:S196"/>
    <mergeCell ref="D195:D199"/>
    <mergeCell ref="E195:E199"/>
    <mergeCell ref="F195:F199"/>
    <mergeCell ref="G195:G199"/>
    <mergeCell ref="H195:H198"/>
    <mergeCell ref="I195:I198"/>
    <mergeCell ref="J195:J198"/>
    <mergeCell ref="K195:K198"/>
    <mergeCell ref="L195:L197"/>
    <mergeCell ref="O206:O208"/>
    <mergeCell ref="N117:N119"/>
    <mergeCell ref="D190:D194"/>
    <mergeCell ref="E190:E194"/>
    <mergeCell ref="F190:F194"/>
    <mergeCell ref="G190:G194"/>
    <mergeCell ref="H190:H193"/>
    <mergeCell ref="I190:I193"/>
    <mergeCell ref="J190:J193"/>
    <mergeCell ref="K190:K193"/>
    <mergeCell ref="L190:L192"/>
    <mergeCell ref="P138:P139"/>
    <mergeCell ref="Q138:Q139"/>
    <mergeCell ref="R138:R139"/>
    <mergeCell ref="S138:S139"/>
    <mergeCell ref="M190:M192"/>
    <mergeCell ref="N190:N192"/>
    <mergeCell ref="O190:O192"/>
    <mergeCell ref="P190:P191"/>
    <mergeCell ref="Q190:Q191"/>
    <mergeCell ref="R190:R191"/>
    <mergeCell ref="S190:S191"/>
    <mergeCell ref="O138:O140"/>
    <mergeCell ref="E162:W162"/>
    <mergeCell ref="E154:W154"/>
    <mergeCell ref="E155:W155"/>
    <mergeCell ref="E156:W156"/>
    <mergeCell ref="E157:W157"/>
    <mergeCell ref="E158:W158"/>
    <mergeCell ref="L164:L166"/>
    <mergeCell ref="M164:M166"/>
    <mergeCell ref="E160:W160"/>
    <mergeCell ref="E161:W161"/>
    <mergeCell ref="K174:K177"/>
    <mergeCell ref="E122:E126"/>
    <mergeCell ref="F122:F126"/>
    <mergeCell ref="H122:H125"/>
    <mergeCell ref="G122:G126"/>
    <mergeCell ref="G92:G116"/>
    <mergeCell ref="S117:S118"/>
    <mergeCell ref="S122:S123"/>
    <mergeCell ref="E117:E121"/>
    <mergeCell ref="F117:F121"/>
    <mergeCell ref="H117:H120"/>
    <mergeCell ref="P117:P118"/>
    <mergeCell ref="Q117:Q118"/>
    <mergeCell ref="R117:R118"/>
    <mergeCell ref="D117:D121"/>
    <mergeCell ref="D127:D137"/>
    <mergeCell ref="E127:E137"/>
    <mergeCell ref="F127:F137"/>
    <mergeCell ref="G127:G137"/>
    <mergeCell ref="D92:D116"/>
    <mergeCell ref="E92:E116"/>
    <mergeCell ref="F92:F116"/>
    <mergeCell ref="P122:P123"/>
    <mergeCell ref="O117:O119"/>
    <mergeCell ref="Q122:Q123"/>
    <mergeCell ref="R122:R123"/>
    <mergeCell ref="O122:O124"/>
    <mergeCell ref="D138:D142"/>
    <mergeCell ref="E138:E142"/>
    <mergeCell ref="F138:F142"/>
    <mergeCell ref="H138:H141"/>
    <mergeCell ref="N122:N124"/>
    <mergeCell ref="G117:G121"/>
    <mergeCell ref="K117:K120"/>
    <mergeCell ref="G138:G142"/>
    <mergeCell ref="K138:K141"/>
    <mergeCell ref="N138:N140"/>
    <mergeCell ref="I138:I141"/>
    <mergeCell ref="J138:J141"/>
    <mergeCell ref="L138:L140"/>
    <mergeCell ref="M138:M140"/>
    <mergeCell ref="L122:L124"/>
    <mergeCell ref="M122:M124"/>
    <mergeCell ref="K122:K125"/>
    <mergeCell ref="D122:D126"/>
    <mergeCell ref="I122:I125"/>
    <mergeCell ref="J122:J125"/>
    <mergeCell ref="I117:I120"/>
    <mergeCell ref="J117:J120"/>
    <mergeCell ref="L117:L119"/>
    <mergeCell ref="M117:M119"/>
    <mergeCell ref="D52:D71"/>
    <mergeCell ref="E52:E71"/>
    <mergeCell ref="F52:F71"/>
    <mergeCell ref="D77:D91"/>
    <mergeCell ref="E77:E91"/>
    <mergeCell ref="F77:F91"/>
    <mergeCell ref="G77:G91"/>
    <mergeCell ref="D72:D76"/>
    <mergeCell ref="E72:E76"/>
    <mergeCell ref="F72:F76"/>
    <mergeCell ref="L10:M10"/>
    <mergeCell ref="P10:Q10"/>
    <mergeCell ref="L11:M11"/>
    <mergeCell ref="P11:Q11"/>
    <mergeCell ref="P72:P73"/>
    <mergeCell ref="Q72:Q73"/>
    <mergeCell ref="D5:J5"/>
    <mergeCell ref="D9:D10"/>
    <mergeCell ref="D7:J7"/>
    <mergeCell ref="G9:G10"/>
    <mergeCell ref="H9:I10"/>
    <mergeCell ref="D6:J6"/>
    <mergeCell ref="D13:D51"/>
    <mergeCell ref="E13:E51"/>
    <mergeCell ref="G13:G51"/>
    <mergeCell ref="J9:J10"/>
    <mergeCell ref="H11:I11"/>
    <mergeCell ref="E9:F9"/>
    <mergeCell ref="F13:F51"/>
    <mergeCell ref="W9:W10"/>
    <mergeCell ref="O9:R9"/>
    <mergeCell ref="K9:N9"/>
    <mergeCell ref="T11:U11"/>
    <mergeCell ref="S9:V9"/>
    <mergeCell ref="T10:U10"/>
    <mergeCell ref="D164:D168"/>
    <mergeCell ref="E164:E168"/>
    <mergeCell ref="D169:D173"/>
    <mergeCell ref="E169:E173"/>
    <mergeCell ref="F169:F173"/>
    <mergeCell ref="G169:G173"/>
    <mergeCell ref="H169:H172"/>
    <mergeCell ref="I169:I172"/>
    <mergeCell ref="J169:J172"/>
    <mergeCell ref="F164:F168"/>
    <mergeCell ref="G164:G168"/>
    <mergeCell ref="H164:H167"/>
    <mergeCell ref="I164:I167"/>
    <mergeCell ref="J164:J167"/>
    <mergeCell ref="G52:G71"/>
    <mergeCell ref="L174:L176"/>
    <mergeCell ref="Q169:Q170"/>
    <mergeCell ref="R169:R170"/>
    <mergeCell ref="S169:S170"/>
    <mergeCell ref="K169:K172"/>
    <mergeCell ref="K164:K167"/>
    <mergeCell ref="N169:N171"/>
    <mergeCell ref="O169:O171"/>
    <mergeCell ref="P169:P170"/>
    <mergeCell ref="S174:S175"/>
    <mergeCell ref="N174:N176"/>
    <mergeCell ref="O174:O176"/>
    <mergeCell ref="P174:P175"/>
    <mergeCell ref="Q174:Q175"/>
    <mergeCell ref="R174:R175"/>
    <mergeCell ref="L169:L171"/>
    <mergeCell ref="N164:N166"/>
    <mergeCell ref="O164:O166"/>
    <mergeCell ref="P164:P165"/>
    <mergeCell ref="Q164:Q165"/>
    <mergeCell ref="R164:R165"/>
    <mergeCell ref="S164:S165"/>
    <mergeCell ref="M169:M171"/>
    <mergeCell ref="M179:M181"/>
    <mergeCell ref="N179:N181"/>
    <mergeCell ref="O179:O181"/>
    <mergeCell ref="P179:P180"/>
    <mergeCell ref="Q179:Q180"/>
    <mergeCell ref="R179:R180"/>
    <mergeCell ref="S179:S180"/>
    <mergeCell ref="D174:D178"/>
    <mergeCell ref="E174:E178"/>
    <mergeCell ref="M174:M176"/>
    <mergeCell ref="D179:D183"/>
    <mergeCell ref="E179:E183"/>
    <mergeCell ref="F179:F183"/>
    <mergeCell ref="G179:G183"/>
    <mergeCell ref="H179:H182"/>
    <mergeCell ref="I179:I182"/>
    <mergeCell ref="J179:J182"/>
    <mergeCell ref="K179:K182"/>
    <mergeCell ref="L179:L181"/>
    <mergeCell ref="F174:F178"/>
    <mergeCell ref="G174:G178"/>
    <mergeCell ref="H174:H177"/>
    <mergeCell ref="I174:I177"/>
    <mergeCell ref="J174:J177"/>
    <mergeCell ref="S148:S149"/>
    <mergeCell ref="E143:E147"/>
    <mergeCell ref="F143:F147"/>
    <mergeCell ref="G143:G147"/>
    <mergeCell ref="H143:H146"/>
    <mergeCell ref="I143:I146"/>
    <mergeCell ref="J143:J146"/>
    <mergeCell ref="K143:K146"/>
    <mergeCell ref="L143:L145"/>
    <mergeCell ref="D143:D147"/>
    <mergeCell ref="M184:M186"/>
    <mergeCell ref="M143:M145"/>
    <mergeCell ref="N143:N145"/>
    <mergeCell ref="O143:O145"/>
    <mergeCell ref="P143:P144"/>
    <mergeCell ref="Q143:Q144"/>
    <mergeCell ref="R143:R144"/>
    <mergeCell ref="S143:S144"/>
    <mergeCell ref="D148:D152"/>
    <mergeCell ref="E148:E152"/>
    <mergeCell ref="F148:F152"/>
    <mergeCell ref="G148:G152"/>
    <mergeCell ref="H148:H151"/>
    <mergeCell ref="I148:I151"/>
    <mergeCell ref="J148:J151"/>
    <mergeCell ref="K148:K151"/>
    <mergeCell ref="L148:L150"/>
    <mergeCell ref="M148:M150"/>
    <mergeCell ref="N148:N150"/>
    <mergeCell ref="O148:O150"/>
    <mergeCell ref="P148:P149"/>
    <mergeCell ref="Q148:Q149"/>
    <mergeCell ref="R148:R149"/>
    <mergeCell ref="O13:O15"/>
    <mergeCell ref="S13:S14"/>
    <mergeCell ref="P13:P14"/>
    <mergeCell ref="Q13:Q14"/>
    <mergeCell ref="R13:R14"/>
    <mergeCell ref="K13:K19"/>
    <mergeCell ref="M13:M15"/>
    <mergeCell ref="L13:L15"/>
    <mergeCell ref="N13:N15"/>
    <mergeCell ref="J13:J19"/>
    <mergeCell ref="H13:H19"/>
    <mergeCell ref="I13:I19"/>
    <mergeCell ref="H20:H26"/>
    <mergeCell ref="I20:I26"/>
    <mergeCell ref="J20:J26"/>
    <mergeCell ref="K20:K26"/>
    <mergeCell ref="L20:L22"/>
    <mergeCell ref="M20:M22"/>
    <mergeCell ref="N20:N22"/>
    <mergeCell ref="S20:S21"/>
    <mergeCell ref="O20:O22"/>
    <mergeCell ref="P20:P21"/>
    <mergeCell ref="Q20:Q21"/>
    <mergeCell ref="R20:R21"/>
    <mergeCell ref="L16:L18"/>
    <mergeCell ref="M16:M18"/>
    <mergeCell ref="N16:N18"/>
    <mergeCell ref="O16:O18"/>
    <mergeCell ref="S16:S17"/>
    <mergeCell ref="P16:P17"/>
    <mergeCell ref="Q16:Q17"/>
    <mergeCell ref="R16:R17"/>
    <mergeCell ref="L23:L25"/>
    <mergeCell ref="M23:M25"/>
    <mergeCell ref="N23:N25"/>
    <mergeCell ref="O23:O25"/>
    <mergeCell ref="S23:S24"/>
    <mergeCell ref="P23:P24"/>
    <mergeCell ref="Q23:Q24"/>
    <mergeCell ref="R23:R24"/>
    <mergeCell ref="H27:H30"/>
    <mergeCell ref="I27:I30"/>
    <mergeCell ref="J27:J30"/>
    <mergeCell ref="K27:K30"/>
    <mergeCell ref="L27:L29"/>
    <mergeCell ref="M27:M29"/>
    <mergeCell ref="N27:N29"/>
    <mergeCell ref="S27:S28"/>
    <mergeCell ref="O27:O29"/>
    <mergeCell ref="P27:P28"/>
    <mergeCell ref="Q27:Q28"/>
    <mergeCell ref="R27:R28"/>
    <mergeCell ref="H31:H34"/>
    <mergeCell ref="I31:I34"/>
    <mergeCell ref="J31:J34"/>
    <mergeCell ref="K31:K34"/>
    <mergeCell ref="L31:L33"/>
    <mergeCell ref="M31:M33"/>
    <mergeCell ref="N31:N33"/>
    <mergeCell ref="S31:S32"/>
    <mergeCell ref="O31:O33"/>
    <mergeCell ref="P31:P32"/>
    <mergeCell ref="Q31:Q32"/>
    <mergeCell ref="R31:R32"/>
    <mergeCell ref="H35:H38"/>
    <mergeCell ref="I35:I38"/>
    <mergeCell ref="J35:J38"/>
    <mergeCell ref="K35:K38"/>
    <mergeCell ref="L35:L37"/>
    <mergeCell ref="M35:M37"/>
    <mergeCell ref="N35:N37"/>
    <mergeCell ref="S35:S36"/>
    <mergeCell ref="O35:O37"/>
    <mergeCell ref="P35:P36"/>
    <mergeCell ref="Q35:Q36"/>
    <mergeCell ref="R35:R36"/>
    <mergeCell ref="H39:H42"/>
    <mergeCell ref="I39:I42"/>
    <mergeCell ref="J39:J42"/>
    <mergeCell ref="K39:K42"/>
    <mergeCell ref="L39:L41"/>
    <mergeCell ref="M39:M41"/>
    <mergeCell ref="N39:N41"/>
    <mergeCell ref="S39:S40"/>
    <mergeCell ref="O39:O41"/>
    <mergeCell ref="P39:P40"/>
    <mergeCell ref="Q39:Q40"/>
    <mergeCell ref="R39:R40"/>
    <mergeCell ref="H43:H46"/>
    <mergeCell ref="I43:I46"/>
    <mergeCell ref="J43:J46"/>
    <mergeCell ref="K43:K46"/>
    <mergeCell ref="L43:L45"/>
    <mergeCell ref="M43:M45"/>
    <mergeCell ref="N43:N45"/>
    <mergeCell ref="S43:S44"/>
    <mergeCell ref="O43:O45"/>
    <mergeCell ref="P43:P44"/>
    <mergeCell ref="Q43:Q44"/>
    <mergeCell ref="R43:R44"/>
    <mergeCell ref="H47:H50"/>
    <mergeCell ref="I47:I50"/>
    <mergeCell ref="J47:J50"/>
    <mergeCell ref="K47:K50"/>
    <mergeCell ref="L47:L49"/>
    <mergeCell ref="M47:M49"/>
    <mergeCell ref="N47:N49"/>
    <mergeCell ref="S47:S48"/>
    <mergeCell ref="O47:O49"/>
    <mergeCell ref="P47:P48"/>
    <mergeCell ref="Q47:Q48"/>
    <mergeCell ref="R47:R48"/>
    <mergeCell ref="O52:O54"/>
    <mergeCell ref="S52:S53"/>
    <mergeCell ref="P52:P53"/>
    <mergeCell ref="Q52:Q53"/>
    <mergeCell ref="R52:R53"/>
    <mergeCell ref="K52:K55"/>
    <mergeCell ref="M52:M54"/>
    <mergeCell ref="L52:L54"/>
    <mergeCell ref="N52:N54"/>
    <mergeCell ref="J52:J55"/>
    <mergeCell ref="H52:H55"/>
    <mergeCell ref="I52:I55"/>
    <mergeCell ref="H56:H59"/>
    <mergeCell ref="I56:I59"/>
    <mergeCell ref="J56:J59"/>
    <mergeCell ref="K56:K59"/>
    <mergeCell ref="L56:L58"/>
    <mergeCell ref="M56:M58"/>
    <mergeCell ref="N56:N58"/>
    <mergeCell ref="S56:S57"/>
    <mergeCell ref="O56:O58"/>
    <mergeCell ref="P56:P57"/>
    <mergeCell ref="Q56:Q57"/>
    <mergeCell ref="R56:R57"/>
    <mergeCell ref="H60:H63"/>
    <mergeCell ref="I60:I63"/>
    <mergeCell ref="J60:J63"/>
    <mergeCell ref="K60:K63"/>
    <mergeCell ref="L60:L62"/>
    <mergeCell ref="M60:M62"/>
    <mergeCell ref="N60:N62"/>
    <mergeCell ref="S60:S61"/>
    <mergeCell ref="O60:O62"/>
    <mergeCell ref="P60:P61"/>
    <mergeCell ref="Q60:Q61"/>
    <mergeCell ref="R60:R61"/>
    <mergeCell ref="H64:H70"/>
    <mergeCell ref="I64:I70"/>
    <mergeCell ref="J64:J70"/>
    <mergeCell ref="K64:K70"/>
    <mergeCell ref="L64:L66"/>
    <mergeCell ref="M64:M66"/>
    <mergeCell ref="N64:N66"/>
    <mergeCell ref="S64:S65"/>
    <mergeCell ref="O64:O66"/>
    <mergeCell ref="P64:P65"/>
    <mergeCell ref="Q64:Q65"/>
    <mergeCell ref="R64:R65"/>
    <mergeCell ref="L67:L69"/>
    <mergeCell ref="M67:M69"/>
    <mergeCell ref="N67:N69"/>
    <mergeCell ref="O67:O69"/>
    <mergeCell ref="S67:S68"/>
    <mergeCell ref="P67:P68"/>
    <mergeCell ref="Q67:Q68"/>
    <mergeCell ref="R67:R68"/>
    <mergeCell ref="O77:O79"/>
    <mergeCell ref="S77:S78"/>
    <mergeCell ref="P77:P78"/>
    <mergeCell ref="Q77:Q78"/>
    <mergeCell ref="R77:R78"/>
    <mergeCell ref="K77:K83"/>
    <mergeCell ref="M77:M79"/>
    <mergeCell ref="L77:L79"/>
    <mergeCell ref="N77:N79"/>
    <mergeCell ref="J77:J83"/>
    <mergeCell ref="H77:H83"/>
    <mergeCell ref="I77:I83"/>
    <mergeCell ref="H84:H90"/>
    <mergeCell ref="I84:I90"/>
    <mergeCell ref="J84:J90"/>
    <mergeCell ref="K84:K90"/>
    <mergeCell ref="L84:L86"/>
    <mergeCell ref="M84:M86"/>
    <mergeCell ref="N84:N86"/>
    <mergeCell ref="S84:S85"/>
    <mergeCell ref="O84:O86"/>
    <mergeCell ref="P84:P85"/>
    <mergeCell ref="Q84:Q85"/>
    <mergeCell ref="R84:R85"/>
    <mergeCell ref="L80:L82"/>
    <mergeCell ref="M80:M82"/>
    <mergeCell ref="N80:N82"/>
    <mergeCell ref="O80:O82"/>
    <mergeCell ref="S80:S81"/>
    <mergeCell ref="P80:P81"/>
    <mergeCell ref="Q80:Q81"/>
    <mergeCell ref="R80:R81"/>
    <mergeCell ref="L87:L89"/>
    <mergeCell ref="M87:M89"/>
    <mergeCell ref="N87:N89"/>
    <mergeCell ref="O87:O89"/>
    <mergeCell ref="S87:S88"/>
    <mergeCell ref="P87:P88"/>
    <mergeCell ref="Q87:Q88"/>
    <mergeCell ref="R87:R88"/>
    <mergeCell ref="O92:O94"/>
    <mergeCell ref="S92:S93"/>
    <mergeCell ref="P92:P93"/>
    <mergeCell ref="Q92:Q93"/>
    <mergeCell ref="R92:R93"/>
    <mergeCell ref="K92:K95"/>
    <mergeCell ref="M92:M94"/>
    <mergeCell ref="L92:L94"/>
    <mergeCell ref="N92:N94"/>
    <mergeCell ref="J92:J95"/>
    <mergeCell ref="H92:H95"/>
    <mergeCell ref="I92:I95"/>
    <mergeCell ref="H96:H99"/>
    <mergeCell ref="I96:I99"/>
    <mergeCell ref="J96:J99"/>
    <mergeCell ref="K96:K99"/>
    <mergeCell ref="L96:L98"/>
    <mergeCell ref="M96:M98"/>
    <mergeCell ref="N96:N98"/>
    <mergeCell ref="S96:S97"/>
    <mergeCell ref="O96:O98"/>
    <mergeCell ref="P96:P97"/>
    <mergeCell ref="Q96:Q97"/>
    <mergeCell ref="R96:R97"/>
    <mergeCell ref="H100:H103"/>
    <mergeCell ref="I100:I103"/>
    <mergeCell ref="J100:J103"/>
    <mergeCell ref="K100:K103"/>
    <mergeCell ref="L100:L102"/>
    <mergeCell ref="M100:M102"/>
    <mergeCell ref="N100:N102"/>
    <mergeCell ref="S100:S101"/>
    <mergeCell ref="O100:O102"/>
    <mergeCell ref="P100:P101"/>
    <mergeCell ref="Q100:Q101"/>
    <mergeCell ref="R100:R101"/>
    <mergeCell ref="H104:H107"/>
    <mergeCell ref="I104:I107"/>
    <mergeCell ref="J104:J107"/>
    <mergeCell ref="K104:K107"/>
    <mergeCell ref="L104:L106"/>
    <mergeCell ref="M104:M106"/>
    <mergeCell ref="N104:N106"/>
    <mergeCell ref="S104:S105"/>
    <mergeCell ref="O104:O106"/>
    <mergeCell ref="P104:P105"/>
    <mergeCell ref="Q104:Q105"/>
    <mergeCell ref="R104:R105"/>
    <mergeCell ref="H108:H111"/>
    <mergeCell ref="I108:I111"/>
    <mergeCell ref="J108:J111"/>
    <mergeCell ref="K108:K111"/>
    <mergeCell ref="L108:L110"/>
    <mergeCell ref="M108:M110"/>
    <mergeCell ref="N108:N110"/>
    <mergeCell ref="S108:S109"/>
    <mergeCell ref="O108:O110"/>
    <mergeCell ref="P108:P109"/>
    <mergeCell ref="Q108:Q109"/>
    <mergeCell ref="R108:R109"/>
    <mergeCell ref="H112:H115"/>
    <mergeCell ref="I112:I115"/>
    <mergeCell ref="J112:J115"/>
    <mergeCell ref="K112:K115"/>
    <mergeCell ref="L112:L114"/>
    <mergeCell ref="M112:M114"/>
    <mergeCell ref="N112:N114"/>
    <mergeCell ref="S112:S113"/>
    <mergeCell ref="O112:O114"/>
    <mergeCell ref="P112:P113"/>
    <mergeCell ref="Q112:Q113"/>
    <mergeCell ref="R112:R113"/>
    <mergeCell ref="O127:O129"/>
    <mergeCell ref="S127:S128"/>
    <mergeCell ref="P127:P128"/>
    <mergeCell ref="Q127:Q128"/>
    <mergeCell ref="R127:R128"/>
    <mergeCell ref="K127:K136"/>
    <mergeCell ref="M127:M129"/>
    <mergeCell ref="L127:L129"/>
    <mergeCell ref="N127:N129"/>
    <mergeCell ref="J127:J136"/>
    <mergeCell ref="H127:H136"/>
    <mergeCell ref="I127:I136"/>
    <mergeCell ref="L130:L132"/>
    <mergeCell ref="M130:M132"/>
    <mergeCell ref="N130:N132"/>
    <mergeCell ref="O130:O132"/>
    <mergeCell ref="S130:S131"/>
    <mergeCell ref="P130:P131"/>
    <mergeCell ref="Q130:Q131"/>
    <mergeCell ref="R130:R131"/>
    <mergeCell ref="L133:L135"/>
    <mergeCell ref="M133:M135"/>
    <mergeCell ref="N133:N135"/>
    <mergeCell ref="O133:O135"/>
    <mergeCell ref="S133:S134"/>
    <mergeCell ref="P133:P134"/>
    <mergeCell ref="Q133:Q134"/>
    <mergeCell ref="R133:R134"/>
  </mergeCells>
  <dataValidations count="539">
    <dataValidation allowBlank="1" showInputMessage="1" showErrorMessage="1"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135"/>
    <dataValidation allowBlank="1" showInputMessage="1" showErrorMessage="1" prompt="Выберите виды деятельности, выполнив двойной щелчок левой кнопки мыши по ячейке." sqref="G135"/>
    <dataValidation allowBlank="1" showInputMessage="1" showErrorMessage="1" prompt="Для выбора выполните двойной щелчок левой клавиши мыши по соответствующей ячейке." sqref="F135"/>
    <dataValidation allowBlank="1" showInputMessage="1" showErrorMessage="1" prompt="Для выбора выполните двойной щелчок левой клавиши мыши по соответствующей ячейке." sqref="S134"/>
    <dataValidation type="textLength" operator="lessThanOrEqual" allowBlank="1" showInputMessage="1" showErrorMessage="1" errorTitle="Ошибка" error="Допускается ввод не более 900 символов!" sqref="R134">
      <formula1>900</formula1>
    </dataValidation>
    <dataValidation allowBlank="1" showInputMessage="1" showErrorMessage="1"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134"/>
    <dataValidation type="textLength" operator="lessThanOrEqual" allowBlank="1" showInputMessage="1" showErrorMessage="1" errorTitle="Ошибка" error="Допускается ввод не более 900 символов!" sqref="J134">
      <formula1>900</formula1>
    </dataValidation>
    <dataValidation allowBlank="1" showInputMessage="1" showErrorMessage="1" prompt="Выберите виды деятельности, выполнив двойной щелчок левой кнопки мыши по ячейке." sqref="G134"/>
    <dataValidation allowBlank="1" showInputMessage="1" showErrorMessage="1" prompt="Для выбора выполните двойной щелчок левой клавиши мыши по соответствующей ячейке." sqref="F134"/>
    <dataValidation type="textLength" operator="lessThanOrEqual" allowBlank="1" showInputMessage="1" showErrorMessage="1" errorTitle="Ошибка" error="Допускается ввод не более 900 символов!" sqref="W133">
      <formula1>900</formula1>
    </dataValidation>
    <dataValidation type="textLength" operator="lessThanOrEqual" allowBlank="1" showInputMessage="1" showErrorMessage="1" errorTitle="Ошибка" error="Допускается ввод не более 900 символов!" sqref="V133">
      <formula1>900</formula1>
    </dataValidation>
    <dataValidation allowBlank="1" showInputMessage="1" showErrorMessage="1" prompt="Для выбора выполните двойной щелчок левой клавиши мыши по соответствующей ячейке." sqref="S133"/>
    <dataValidation type="textLength" operator="lessThanOrEqual" allowBlank="1" showInputMessage="1" showErrorMessage="1" errorTitle="Ошибка" error="Допускается ввод не более 900 символов!" sqref="R133">
      <formula1>900</formula1>
    </dataValidation>
    <dataValidation allowBlank="1" showInputMessage="1" showErrorMessage="1" prompt="Для выбора выполните двойной щелчок левой клавиши мыши по соответствующей ячейке." sqref="O133"/>
    <dataValidation allowBlank="1" showInputMessage="1" showErrorMessage="1"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133"/>
    <dataValidation allowBlank="1" showInputMessage="1" showErrorMessage="1" prompt="Для выбора выполните двойной щелчок левой клавиши мыши по соответствующей ячейке." sqref="K133"/>
    <dataValidation type="textLength" operator="lessThanOrEqual" allowBlank="1" showInputMessage="1" showErrorMessage="1" errorTitle="Ошибка" error="Допускается ввод не более 900 символов!" sqref="J133">
      <formula1>900</formula1>
    </dataValidation>
    <dataValidation allowBlank="1" showInputMessage="1" showErrorMessage="1" prompt="Выберите виды деятельности, выполнив двойной щелчок левой кнопки мыши по ячейке." sqref="G133"/>
    <dataValidation allowBlank="1" showInputMessage="1" showErrorMessage="1" prompt="Для выбора выполните двойной щелчок левой клавиши мыши по соответствующей ячейке." sqref="F133"/>
    <dataValidation allowBlank="1" showInputMessage="1" showErrorMessage="1"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132"/>
    <dataValidation allowBlank="1" showInputMessage="1" showErrorMessage="1" prompt="Выберите виды деятельности, выполнив двойной щелчок левой кнопки мыши по ячейке." sqref="G132"/>
    <dataValidation allowBlank="1" showInputMessage="1" showErrorMessage="1" prompt="Для выбора выполните двойной щелчок левой клавиши мыши по соответствующей ячейке." sqref="F132"/>
    <dataValidation allowBlank="1" showInputMessage="1" showErrorMessage="1" prompt="Для выбора выполните двойной щелчок левой клавиши мыши по соответствующей ячейке." sqref="S131"/>
    <dataValidation type="textLength" operator="lessThanOrEqual" allowBlank="1" showInputMessage="1" showErrorMessage="1" errorTitle="Ошибка" error="Допускается ввод не более 900 символов!" sqref="R131">
      <formula1>900</formula1>
    </dataValidation>
    <dataValidation allowBlank="1" showInputMessage="1" showErrorMessage="1"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131"/>
    <dataValidation type="textLength" operator="lessThanOrEqual" allowBlank="1" showInputMessage="1" showErrorMessage="1" errorTitle="Ошибка" error="Допускается ввод не более 900 символов!" sqref="J131">
      <formula1>900</formula1>
    </dataValidation>
    <dataValidation allowBlank="1" showInputMessage="1" showErrorMessage="1" prompt="Выберите виды деятельности, выполнив двойной щелчок левой кнопки мыши по ячейке." sqref="G131"/>
    <dataValidation allowBlank="1" showInputMessage="1" showErrorMessage="1" prompt="Для выбора выполните двойной щелчок левой клавиши мыши по соответствующей ячейке." sqref="F131"/>
    <dataValidation type="textLength" operator="lessThanOrEqual" allowBlank="1" showInputMessage="1" showErrorMessage="1" errorTitle="Ошибка" error="Допускается ввод не более 900 символов!" sqref="W130">
      <formula1>900</formula1>
    </dataValidation>
    <dataValidation type="textLength" operator="lessThanOrEqual" allowBlank="1" showInputMessage="1" showErrorMessage="1" errorTitle="Ошибка" error="Допускается ввод не более 900 символов!" sqref="V130">
      <formula1>900</formula1>
    </dataValidation>
    <dataValidation allowBlank="1" showInputMessage="1" showErrorMessage="1" prompt="Для выбора выполните двойной щелчок левой клавиши мыши по соответствующей ячейке." sqref="S130"/>
    <dataValidation type="textLength" operator="lessThanOrEqual" allowBlank="1" showInputMessage="1" showErrorMessage="1" errorTitle="Ошибка" error="Допускается ввод не более 900 символов!" sqref="R130">
      <formula1>900</formula1>
    </dataValidation>
    <dataValidation allowBlank="1" showInputMessage="1" showErrorMessage="1" prompt="Для выбора выполните двойной щелчок левой клавиши мыши по соответствующей ячейке." sqref="O130"/>
    <dataValidation allowBlank="1" showInputMessage="1" showErrorMessage="1"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130"/>
    <dataValidation allowBlank="1" showInputMessage="1" showErrorMessage="1" prompt="Для выбора выполните двойной щелчок левой клавиши мыши по соответствующей ячейке." sqref="K130"/>
    <dataValidation type="textLength" operator="lessThanOrEqual" allowBlank="1" showInputMessage="1" showErrorMessage="1" errorTitle="Ошибка" error="Допускается ввод не более 900 символов!" sqref="J130">
      <formula1>900</formula1>
    </dataValidation>
    <dataValidation allowBlank="1" showInputMessage="1" showErrorMessage="1" prompt="Выберите виды деятельности, выполнив двойной щелчок левой кнопки мыши по ячейке." sqref="G130"/>
    <dataValidation allowBlank="1" showInputMessage="1" showErrorMessage="1" prompt="Для выбора выполните двойной щелчок левой клавиши мыши по соответствующей ячейке." sqref="F130"/>
    <dataValidation allowBlank="1" showInputMessage="1" showErrorMessage="1"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129"/>
    <dataValidation allowBlank="1" showInputMessage="1" showErrorMessage="1" prompt="Для выбора выполните двойной щелчок левой клавиши мыши по соответствующей ячейке." sqref="S128"/>
    <dataValidation type="textLength" operator="lessThanOrEqual" allowBlank="1" showInputMessage="1" showErrorMessage="1" errorTitle="Ошибка" error="Допускается ввод не более 900 символов!" sqref="R128">
      <formula1>900</formula1>
    </dataValidation>
    <dataValidation allowBlank="1" showInputMessage="1" showErrorMessage="1"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128"/>
    <dataValidation type="textLength" operator="lessThanOrEqual" allowBlank="1" showInputMessage="1" showErrorMessage="1" errorTitle="Ошибка" error="Допускается ввод не более 900 символов!" sqref="J128">
      <formula1>900</formula1>
    </dataValidation>
    <dataValidation type="textLength" operator="lessThanOrEqual" allowBlank="1" showInputMessage="1" showErrorMessage="1" errorTitle="Ошибка" error="Допускается ввод не более 900 символов!" sqref="W127">
      <formula1>900</formula1>
    </dataValidation>
    <dataValidation type="textLength" operator="lessThanOrEqual" allowBlank="1" showInputMessage="1" showErrorMessage="1" errorTitle="Ошибка" error="Допускается ввод не более 900 символов!" sqref="V127">
      <formula1>900</formula1>
    </dataValidation>
    <dataValidation allowBlank="1" showInputMessage="1" showErrorMessage="1" prompt="Для выбора выполните двойной щелчок левой клавиши мыши по соответствующей ячейке." sqref="S127"/>
    <dataValidation type="textLength" operator="lessThanOrEqual" allowBlank="1" showInputMessage="1" showErrorMessage="1" errorTitle="Ошибка" error="Допускается ввод не более 900 символов!" sqref="R127">
      <formula1>900</formula1>
    </dataValidation>
    <dataValidation allowBlank="1" showInputMessage="1" showErrorMessage="1" prompt="Для выбора выполните двойной щелчок левой клавиши мыши по соответствующей ячейке." sqref="O127"/>
    <dataValidation allowBlank="1" showInputMessage="1" showErrorMessage="1"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127"/>
    <dataValidation allowBlank="1" showInputMessage="1" showErrorMessage="1" prompt="Для выбора выполните двойной щелчок левой клавиши мыши по соответствующей ячейке." sqref="K127"/>
    <dataValidation type="textLength" operator="lessThanOrEqual" allowBlank="1" showInputMessage="1" showErrorMessage="1" errorTitle="Ошибка" error="Допускается ввод не более 900 символов!" sqref="J127">
      <formula1>900</formula1>
    </dataValidation>
    <dataValidation allowBlank="1" showInputMessage="1" showErrorMessage="1" prompt="Выберите виды деятельности, выполнив двойной щелчок левой кнопки мыши по ячейке." sqref="G115"/>
    <dataValidation allowBlank="1" showInputMessage="1" showErrorMessage="1" prompt="Для выбора выполните двойной щелчок левой клавиши мыши по соответствующей ячейке." sqref="F115"/>
    <dataValidation allowBlank="1" showInputMessage="1" showErrorMessage="1"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114"/>
    <dataValidation allowBlank="1" showInputMessage="1" showErrorMessage="1" prompt="Выберите виды деятельности, выполнив двойной щелчок левой кнопки мыши по ячейке." sqref="G114"/>
    <dataValidation allowBlank="1" showInputMessage="1" showErrorMessage="1" prompt="Для выбора выполните двойной щелчок левой клавиши мыши по соответствующей ячейке." sqref="F114"/>
    <dataValidation allowBlank="1" showInputMessage="1" showErrorMessage="1" prompt="Для выбора выполните двойной щелчок левой клавиши мыши по соответствующей ячейке." sqref="S113"/>
    <dataValidation type="textLength" operator="lessThanOrEqual" allowBlank="1" showInputMessage="1" showErrorMessage="1" errorTitle="Ошибка" error="Допускается ввод не более 900 символов!" sqref="R113">
      <formula1>900</formula1>
    </dataValidation>
    <dataValidation allowBlank="1" showInputMessage="1" showErrorMessage="1"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113"/>
    <dataValidation type="textLength" operator="lessThanOrEqual" allowBlank="1" showInputMessage="1" showErrorMessage="1" errorTitle="Ошибка" error="Допускается ввод не более 900 символов!" sqref="J113">
      <formula1>900</formula1>
    </dataValidation>
    <dataValidation allowBlank="1" showInputMessage="1" showErrorMessage="1" prompt="Выберите виды деятельности, выполнив двойной щелчок левой кнопки мыши по ячейке." sqref="G113"/>
    <dataValidation allowBlank="1" showInputMessage="1" showErrorMessage="1" prompt="Для выбора выполните двойной щелчок левой клавиши мыши по соответствующей ячейке." sqref="F113"/>
    <dataValidation type="textLength" operator="lessThanOrEqual" allowBlank="1" showInputMessage="1" showErrorMessage="1" errorTitle="Ошибка" error="Допускается ввод не более 900 символов!" sqref="W112">
      <formula1>900</formula1>
    </dataValidation>
    <dataValidation type="textLength" operator="lessThanOrEqual" allowBlank="1" showInputMessage="1" showErrorMessage="1" errorTitle="Ошибка" error="Допускается ввод не более 900 символов!" sqref="V112">
      <formula1>900</formula1>
    </dataValidation>
    <dataValidation allowBlank="1" showInputMessage="1" showErrorMessage="1" prompt="Для выбора выполните двойной щелчок левой клавиши мыши по соответствующей ячейке." sqref="S112"/>
    <dataValidation type="textLength" operator="lessThanOrEqual" allowBlank="1" showInputMessage="1" showErrorMessage="1" errorTitle="Ошибка" error="Допускается ввод не более 900 символов!" sqref="R112">
      <formula1>900</formula1>
    </dataValidation>
    <dataValidation allowBlank="1" showInputMessage="1" showErrorMessage="1" prompt="Для выбора выполните двойной щелчок левой клавиши мыши по соответствующей ячейке." sqref="O112"/>
    <dataValidation allowBlank="1" showInputMessage="1" showErrorMessage="1"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112"/>
    <dataValidation allowBlank="1" showInputMessage="1" showErrorMessage="1" prompt="Для выбора выполните двойной щелчок левой клавиши мыши по соответствующей ячейке." sqref="K112"/>
    <dataValidation type="textLength" operator="lessThanOrEqual" allowBlank="1" showInputMessage="1" showErrorMessage="1" errorTitle="Ошибка" error="Допускается ввод не более 900 символов!" sqref="J112">
      <formula1>900</formula1>
    </dataValidation>
    <dataValidation allowBlank="1" showInputMessage="1" showErrorMessage="1" prompt="Выберите виды деятельности, выполнив двойной щелчок левой кнопки мыши по ячейке." sqref="G112"/>
    <dataValidation allowBlank="1" showInputMessage="1" showErrorMessage="1" prompt="Для выбора выполните двойной щелчок левой клавиши мыши по соответствующей ячейке." sqref="F112"/>
    <dataValidation allowBlank="1" showInputMessage="1" showErrorMessage="1" prompt="Выберите виды деятельности, выполнив двойной щелчок левой кнопки мыши по ячейке." sqref="G111"/>
    <dataValidation allowBlank="1" showInputMessage="1" showErrorMessage="1" prompt="Для выбора выполните двойной щелчок левой клавиши мыши по соответствующей ячейке." sqref="F111"/>
    <dataValidation allowBlank="1" showInputMessage="1" showErrorMessage="1"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110"/>
    <dataValidation allowBlank="1" showInputMessage="1" showErrorMessage="1" prompt="Выберите виды деятельности, выполнив двойной щелчок левой кнопки мыши по ячейке." sqref="G110"/>
    <dataValidation allowBlank="1" showInputMessage="1" showErrorMessage="1" prompt="Для выбора выполните двойной щелчок левой клавиши мыши по соответствующей ячейке." sqref="F110"/>
    <dataValidation allowBlank="1" showInputMessage="1" showErrorMessage="1" prompt="Для выбора выполните двойной щелчок левой клавиши мыши по соответствующей ячейке." sqref="S109"/>
    <dataValidation type="textLength" operator="lessThanOrEqual" allowBlank="1" showInputMessage="1" showErrorMessage="1" errorTitle="Ошибка" error="Допускается ввод не более 900 символов!" sqref="R109">
      <formula1>900</formula1>
    </dataValidation>
    <dataValidation allowBlank="1" showInputMessage="1" showErrorMessage="1"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109"/>
    <dataValidation type="textLength" operator="lessThanOrEqual" allowBlank="1" showInputMessage="1" showErrorMessage="1" errorTitle="Ошибка" error="Допускается ввод не более 900 символов!" sqref="J109">
      <formula1>900</formula1>
    </dataValidation>
    <dataValidation allowBlank="1" showInputMessage="1" showErrorMessage="1" prompt="Выберите виды деятельности, выполнив двойной щелчок левой кнопки мыши по ячейке." sqref="G109"/>
    <dataValidation allowBlank="1" showInputMessage="1" showErrorMessage="1" prompt="Для выбора выполните двойной щелчок левой клавиши мыши по соответствующей ячейке." sqref="F109"/>
    <dataValidation type="textLength" operator="lessThanOrEqual" allowBlank="1" showInputMessage="1" showErrorMessage="1" errorTitle="Ошибка" error="Допускается ввод не более 900 символов!" sqref="W108">
      <formula1>900</formula1>
    </dataValidation>
    <dataValidation type="textLength" operator="lessThanOrEqual" allowBlank="1" showInputMessage="1" showErrorMessage="1" errorTitle="Ошибка" error="Допускается ввод не более 900 символов!" sqref="V108">
      <formula1>900</formula1>
    </dataValidation>
    <dataValidation allowBlank="1" showInputMessage="1" showErrorMessage="1" prompt="Для выбора выполните двойной щелчок левой клавиши мыши по соответствующей ячейке." sqref="S108"/>
    <dataValidation type="textLength" operator="lessThanOrEqual" allowBlank="1" showInputMessage="1" showErrorMessage="1" errorTitle="Ошибка" error="Допускается ввод не более 900 символов!" sqref="R108">
      <formula1>900</formula1>
    </dataValidation>
    <dataValidation allowBlank="1" showInputMessage="1" showErrorMessage="1" prompt="Для выбора выполните двойной щелчок левой клавиши мыши по соответствующей ячейке." sqref="O108"/>
    <dataValidation allowBlank="1" showInputMessage="1" showErrorMessage="1"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108"/>
    <dataValidation allowBlank="1" showInputMessage="1" showErrorMessage="1" prompt="Для выбора выполните двойной щелчок левой клавиши мыши по соответствующей ячейке." sqref="K108"/>
    <dataValidation type="textLength" operator="lessThanOrEqual" allowBlank="1" showInputMessage="1" showErrorMessage="1" errorTitle="Ошибка" error="Допускается ввод не более 900 символов!" sqref="J108">
      <formula1>900</formula1>
    </dataValidation>
    <dataValidation allowBlank="1" showInputMessage="1" showErrorMessage="1" prompt="Выберите виды деятельности, выполнив двойной щелчок левой кнопки мыши по ячейке." sqref="G108"/>
    <dataValidation allowBlank="1" showInputMessage="1" showErrorMessage="1" prompt="Для выбора выполните двойной щелчок левой клавиши мыши по соответствующей ячейке." sqref="F108"/>
    <dataValidation allowBlank="1" showInputMessage="1" showErrorMessage="1" prompt="Выберите виды деятельности, выполнив двойной щелчок левой кнопки мыши по ячейке." sqref="G107"/>
    <dataValidation allowBlank="1" showInputMessage="1" showErrorMessage="1" prompt="Для выбора выполните двойной щелчок левой клавиши мыши по соответствующей ячейке." sqref="F107"/>
    <dataValidation allowBlank="1" showInputMessage="1" showErrorMessage="1"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106"/>
    <dataValidation allowBlank="1" showInputMessage="1" showErrorMessage="1" prompt="Выберите виды деятельности, выполнив двойной щелчок левой кнопки мыши по ячейке." sqref="G106"/>
    <dataValidation allowBlank="1" showInputMessage="1" showErrorMessage="1" prompt="Для выбора выполните двойной щелчок левой клавиши мыши по соответствующей ячейке." sqref="F106"/>
    <dataValidation allowBlank="1" showInputMessage="1" showErrorMessage="1" prompt="Для выбора выполните двойной щелчок левой клавиши мыши по соответствующей ячейке." sqref="S105"/>
    <dataValidation type="textLength" operator="lessThanOrEqual" allowBlank="1" showInputMessage="1" showErrorMessage="1" errorTitle="Ошибка" error="Допускается ввод не более 900 символов!" sqref="R105">
      <formula1>900</formula1>
    </dataValidation>
    <dataValidation allowBlank="1" showInputMessage="1" showErrorMessage="1"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105"/>
    <dataValidation type="textLength" operator="lessThanOrEqual" allowBlank="1" showInputMessage="1" showErrorMessage="1" errorTitle="Ошибка" error="Допускается ввод не более 900 символов!" sqref="J105">
      <formula1>900</formula1>
    </dataValidation>
    <dataValidation allowBlank="1" showInputMessage="1" showErrorMessage="1" prompt="Выберите виды деятельности, выполнив двойной щелчок левой кнопки мыши по ячейке." sqref="G105"/>
    <dataValidation allowBlank="1" showInputMessage="1" showErrorMessage="1" prompt="Для выбора выполните двойной щелчок левой клавиши мыши по соответствующей ячейке." sqref="F105"/>
    <dataValidation type="textLength" operator="lessThanOrEqual" allowBlank="1" showInputMessage="1" showErrorMessage="1" errorTitle="Ошибка" error="Допускается ввод не более 900 символов!" sqref="W104">
      <formula1>900</formula1>
    </dataValidation>
    <dataValidation type="textLength" operator="lessThanOrEqual" allowBlank="1" showInputMessage="1" showErrorMessage="1" errorTitle="Ошибка" error="Допускается ввод не более 900 символов!" sqref="V104">
      <formula1>900</formula1>
    </dataValidation>
    <dataValidation allowBlank="1" showInputMessage="1" showErrorMessage="1" prompt="Для выбора выполните двойной щелчок левой клавиши мыши по соответствующей ячейке." sqref="S104"/>
    <dataValidation type="textLength" operator="lessThanOrEqual" allowBlank="1" showInputMessage="1" showErrorMessage="1" errorTitle="Ошибка" error="Допускается ввод не более 900 символов!" sqref="R104">
      <formula1>900</formula1>
    </dataValidation>
    <dataValidation allowBlank="1" showInputMessage="1" showErrorMessage="1" prompt="Для выбора выполните двойной щелчок левой клавиши мыши по соответствующей ячейке." sqref="O104"/>
    <dataValidation allowBlank="1" showInputMessage="1" showErrorMessage="1"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104"/>
    <dataValidation allowBlank="1" showInputMessage="1" showErrorMessage="1" prompt="Для выбора выполните двойной щелчок левой клавиши мыши по соответствующей ячейке." sqref="K104"/>
    <dataValidation type="textLength" operator="lessThanOrEqual" allowBlank="1" showInputMessage="1" showErrorMessage="1" errorTitle="Ошибка" error="Допускается ввод не более 900 символов!" sqref="J104">
      <formula1>900</formula1>
    </dataValidation>
    <dataValidation allowBlank="1" showInputMessage="1" showErrorMessage="1" prompt="Выберите виды деятельности, выполнив двойной щелчок левой кнопки мыши по ячейке." sqref="G104"/>
    <dataValidation allowBlank="1" showInputMessage="1" showErrorMessage="1" prompt="Для выбора выполните двойной щелчок левой клавиши мыши по соответствующей ячейке." sqref="F104"/>
    <dataValidation allowBlank="1" showInputMessage="1" showErrorMessage="1" prompt="Выберите виды деятельности, выполнив двойной щелчок левой кнопки мыши по ячейке." sqref="G103"/>
    <dataValidation allowBlank="1" showInputMessage="1" showErrorMessage="1" prompt="Для выбора выполните двойной щелчок левой клавиши мыши по соответствующей ячейке." sqref="F103"/>
    <dataValidation allowBlank="1" showInputMessage="1" showErrorMessage="1"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102"/>
    <dataValidation allowBlank="1" showInputMessage="1" showErrorMessage="1" prompt="Выберите виды деятельности, выполнив двойной щелчок левой кнопки мыши по ячейке." sqref="G102"/>
    <dataValidation allowBlank="1" showInputMessage="1" showErrorMessage="1" prompt="Для выбора выполните двойной щелчок левой клавиши мыши по соответствующей ячейке." sqref="F102"/>
    <dataValidation allowBlank="1" showInputMessage="1" showErrorMessage="1" prompt="Для выбора выполните двойной щелчок левой клавиши мыши по соответствующей ячейке." sqref="S101"/>
    <dataValidation type="textLength" operator="lessThanOrEqual" allowBlank="1" showInputMessage="1" showErrorMessage="1" errorTitle="Ошибка" error="Допускается ввод не более 900 символов!" sqref="R101">
      <formula1>900</formula1>
    </dataValidation>
    <dataValidation allowBlank="1" showInputMessage="1" showErrorMessage="1"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101"/>
    <dataValidation type="textLength" operator="lessThanOrEqual" allowBlank="1" showInputMessage="1" showErrorMessage="1" errorTitle="Ошибка" error="Допускается ввод не более 900 символов!" sqref="J101">
      <formula1>900</formula1>
    </dataValidation>
    <dataValidation allowBlank="1" showInputMessage="1" showErrorMessage="1" prompt="Выберите виды деятельности, выполнив двойной щелчок левой кнопки мыши по ячейке." sqref="G101"/>
    <dataValidation allowBlank="1" showInputMessage="1" showErrorMessage="1" prompt="Для выбора выполните двойной щелчок левой клавиши мыши по соответствующей ячейке." sqref="F101"/>
    <dataValidation type="textLength" operator="lessThanOrEqual" allowBlank="1" showInputMessage="1" showErrorMessage="1" errorTitle="Ошибка" error="Допускается ввод не более 900 символов!" sqref="W100">
      <formula1>900</formula1>
    </dataValidation>
    <dataValidation type="textLength" operator="lessThanOrEqual" allowBlank="1" showInputMessage="1" showErrorMessage="1" errorTitle="Ошибка" error="Допускается ввод не более 900 символов!" sqref="V100">
      <formula1>900</formula1>
    </dataValidation>
    <dataValidation allowBlank="1" showInputMessage="1" showErrorMessage="1" prompt="Для выбора выполните двойной щелчок левой клавиши мыши по соответствующей ячейке." sqref="S100"/>
    <dataValidation type="textLength" operator="lessThanOrEqual" allowBlank="1" showInputMessage="1" showErrorMessage="1" errorTitle="Ошибка" error="Допускается ввод не более 900 символов!" sqref="R100">
      <formula1>900</formula1>
    </dataValidation>
    <dataValidation allowBlank="1" showInputMessage="1" showErrorMessage="1" prompt="Для выбора выполните двойной щелчок левой клавиши мыши по соответствующей ячейке." sqref="O100"/>
    <dataValidation allowBlank="1" showInputMessage="1" showErrorMessage="1"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100"/>
    <dataValidation allowBlank="1" showInputMessage="1" showErrorMessage="1" prompt="Для выбора выполните двойной щелчок левой клавиши мыши по соответствующей ячейке." sqref="K100"/>
    <dataValidation type="textLength" operator="lessThanOrEqual" allowBlank="1" showInputMessage="1" showErrorMessage="1" errorTitle="Ошибка" error="Допускается ввод не более 900 символов!" sqref="J100">
      <formula1>900</formula1>
    </dataValidation>
    <dataValidation allowBlank="1" showInputMessage="1" showErrorMessage="1" prompt="Выберите виды деятельности, выполнив двойной щелчок левой кнопки мыши по ячейке." sqref="G100"/>
    <dataValidation allowBlank="1" showInputMessage="1" showErrorMessage="1" prompt="Для выбора выполните двойной щелчок левой клавиши мыши по соответствующей ячейке." sqref="F100"/>
    <dataValidation allowBlank="1" showInputMessage="1" showErrorMessage="1" prompt="Выберите виды деятельности, выполнив двойной щелчок левой кнопки мыши по ячейке." sqref="G99"/>
    <dataValidation allowBlank="1" showInputMessage="1" showErrorMessage="1" prompt="Для выбора выполните двойной щелчок левой клавиши мыши по соответствующей ячейке." sqref="F99"/>
    <dataValidation allowBlank="1" showInputMessage="1" showErrorMessage="1"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98"/>
    <dataValidation allowBlank="1" showInputMessage="1" showErrorMessage="1" prompt="Выберите виды деятельности, выполнив двойной щелчок левой кнопки мыши по ячейке." sqref="G98"/>
    <dataValidation allowBlank="1" showInputMessage="1" showErrorMessage="1" prompt="Для выбора выполните двойной щелчок левой клавиши мыши по соответствующей ячейке." sqref="F98"/>
    <dataValidation allowBlank="1" showInputMessage="1" showErrorMessage="1" prompt="Для выбора выполните двойной щелчок левой клавиши мыши по соответствующей ячейке." sqref="S97"/>
    <dataValidation type="textLength" operator="lessThanOrEqual" allowBlank="1" showInputMessage="1" showErrorMessage="1" errorTitle="Ошибка" error="Допускается ввод не более 900 символов!" sqref="R97">
      <formula1>900</formula1>
    </dataValidation>
    <dataValidation allowBlank="1" showInputMessage="1" showErrorMessage="1"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97"/>
    <dataValidation type="textLength" operator="lessThanOrEqual" allowBlank="1" showInputMessage="1" showErrorMessage="1" errorTitle="Ошибка" error="Допускается ввод не более 900 символов!" sqref="J97">
      <formula1>900</formula1>
    </dataValidation>
    <dataValidation allowBlank="1" showInputMessage="1" showErrorMessage="1" prompt="Выберите виды деятельности, выполнив двойной щелчок левой кнопки мыши по ячейке." sqref="G97"/>
    <dataValidation allowBlank="1" showInputMessage="1" showErrorMessage="1" prompt="Для выбора выполните двойной щелчок левой клавиши мыши по соответствующей ячейке." sqref="F97"/>
    <dataValidation type="textLength" operator="lessThanOrEqual" allowBlank="1" showInputMessage="1" showErrorMessage="1" errorTitle="Ошибка" error="Допускается ввод не более 900 символов!" sqref="W96">
      <formula1>900</formula1>
    </dataValidation>
    <dataValidation type="textLength" operator="lessThanOrEqual" allowBlank="1" showInputMessage="1" showErrorMessage="1" errorTitle="Ошибка" error="Допускается ввод не более 900 символов!" sqref="V96">
      <formula1>900</formula1>
    </dataValidation>
    <dataValidation allowBlank="1" showInputMessage="1" showErrorMessage="1" prompt="Для выбора выполните двойной щелчок левой клавиши мыши по соответствующей ячейке." sqref="S96"/>
    <dataValidation type="textLength" operator="lessThanOrEqual" allowBlank="1" showInputMessage="1" showErrorMessage="1" errorTitle="Ошибка" error="Допускается ввод не более 900 символов!" sqref="R96">
      <formula1>900</formula1>
    </dataValidation>
    <dataValidation allowBlank="1" showInputMessage="1" showErrorMessage="1" prompt="Для выбора выполните двойной щелчок левой клавиши мыши по соответствующей ячейке." sqref="O96"/>
    <dataValidation allowBlank="1" showInputMessage="1" showErrorMessage="1"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96"/>
    <dataValidation allowBlank="1" showInputMessage="1" showErrorMessage="1" prompt="Для выбора выполните двойной щелчок левой клавиши мыши по соответствующей ячейке." sqref="K96"/>
    <dataValidation type="textLength" operator="lessThanOrEqual" allowBlank="1" showInputMessage="1" showErrorMessage="1" errorTitle="Ошибка" error="Допускается ввод не более 900 символов!" sqref="J96">
      <formula1>900</formula1>
    </dataValidation>
    <dataValidation allowBlank="1" showInputMessage="1" showErrorMessage="1" prompt="Выберите виды деятельности, выполнив двойной щелчок левой кнопки мыши по ячейке." sqref="G96"/>
    <dataValidation allowBlank="1" showInputMessage="1" showErrorMessage="1" prompt="Для выбора выполните двойной щелчок левой клавиши мыши по соответствующей ячейке." sqref="F96"/>
    <dataValidation allowBlank="1" showInputMessage="1" showErrorMessage="1"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94"/>
    <dataValidation allowBlank="1" showInputMessage="1" showErrorMessage="1" prompt="Для выбора выполните двойной щелчок левой клавиши мыши по соответствующей ячейке." sqref="S93"/>
    <dataValidation type="textLength" operator="lessThanOrEqual" allowBlank="1" showInputMessage="1" showErrorMessage="1" errorTitle="Ошибка" error="Допускается ввод не более 900 символов!" sqref="R93">
      <formula1>900</formula1>
    </dataValidation>
    <dataValidation allowBlank="1" showInputMessage="1" showErrorMessage="1"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93"/>
    <dataValidation type="textLength" operator="lessThanOrEqual" allowBlank="1" showInputMessage="1" showErrorMessage="1" errorTitle="Ошибка" error="Допускается ввод не более 900 символов!" sqref="J93">
      <formula1>900</formula1>
    </dataValidation>
    <dataValidation type="textLength" operator="lessThanOrEqual" allowBlank="1" showInputMessage="1" showErrorMessage="1" errorTitle="Ошибка" error="Допускается ввод не более 900 символов!" sqref="W92">
      <formula1>900</formula1>
    </dataValidation>
    <dataValidation type="textLength" operator="lessThanOrEqual" allowBlank="1" showInputMessage="1" showErrorMessage="1" errorTitle="Ошибка" error="Допускается ввод не более 900 символов!" sqref="V92">
      <formula1>900</formula1>
    </dataValidation>
    <dataValidation allowBlank="1" showInputMessage="1" showErrorMessage="1" prompt="Для выбора выполните двойной щелчок левой клавиши мыши по соответствующей ячейке." sqref="S92"/>
    <dataValidation type="textLength" operator="lessThanOrEqual" allowBlank="1" showInputMessage="1" showErrorMessage="1" errorTitle="Ошибка" error="Допускается ввод не более 900 символов!" sqref="R92">
      <formula1>900</formula1>
    </dataValidation>
    <dataValidation allowBlank="1" showInputMessage="1" showErrorMessage="1" prompt="Для выбора выполните двойной щелчок левой клавиши мыши по соответствующей ячейке." sqref="O92"/>
    <dataValidation allowBlank="1" showInputMessage="1" showErrorMessage="1"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92"/>
    <dataValidation allowBlank="1" showInputMessage="1" showErrorMessage="1" prompt="Для выбора выполните двойной щелчок левой клавиши мыши по соответствующей ячейке." sqref="K92"/>
    <dataValidation type="textLength" operator="lessThanOrEqual" allowBlank="1" showInputMessage="1" showErrorMessage="1" errorTitle="Ошибка" error="Допускается ввод не более 900 символов!" sqref="J92">
      <formula1>900</formula1>
    </dataValidation>
    <dataValidation allowBlank="1" showInputMessage="1" showErrorMessage="1"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89"/>
    <dataValidation allowBlank="1" showInputMessage="1" showErrorMessage="1" prompt="Выберите виды деятельности, выполнив двойной щелчок левой кнопки мыши по ячейке." sqref="G89"/>
    <dataValidation allowBlank="1" showInputMessage="1" showErrorMessage="1" prompt="Для выбора выполните двойной щелчок левой клавиши мыши по соответствующей ячейке." sqref="F89"/>
    <dataValidation allowBlank="1" showInputMessage="1" showErrorMessage="1" prompt="Для выбора выполните двойной щелчок левой клавиши мыши по соответствующей ячейке." sqref="S88"/>
    <dataValidation type="textLength" operator="lessThanOrEqual" allowBlank="1" showInputMessage="1" showErrorMessage="1" errorTitle="Ошибка" error="Допускается ввод не более 900 символов!" sqref="R88">
      <formula1>900</formula1>
    </dataValidation>
    <dataValidation allowBlank="1" showInputMessage="1" showErrorMessage="1"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88"/>
    <dataValidation type="textLength" operator="lessThanOrEqual" allowBlank="1" showInputMessage="1" showErrorMessage="1" errorTitle="Ошибка" error="Допускается ввод не более 900 символов!" sqref="J88">
      <formula1>900</formula1>
    </dataValidation>
    <dataValidation allowBlank="1" showInputMessage="1" showErrorMessage="1" prompt="Выберите виды деятельности, выполнив двойной щелчок левой кнопки мыши по ячейке." sqref="G88"/>
    <dataValidation allowBlank="1" showInputMessage="1" showErrorMessage="1" prompt="Для выбора выполните двойной щелчок левой клавиши мыши по соответствующей ячейке." sqref="F88"/>
    <dataValidation type="textLength" operator="lessThanOrEqual" allowBlank="1" showInputMessage="1" showErrorMessage="1" errorTitle="Ошибка" error="Допускается ввод не более 900 символов!" sqref="W87">
      <formula1>900</formula1>
    </dataValidation>
    <dataValidation type="textLength" operator="lessThanOrEqual" allowBlank="1" showInputMessage="1" showErrorMessage="1" errorTitle="Ошибка" error="Допускается ввод не более 900 символов!" sqref="V87">
      <formula1>900</formula1>
    </dataValidation>
    <dataValidation allowBlank="1" showInputMessage="1" showErrorMessage="1" prompt="Для выбора выполните двойной щелчок левой клавиши мыши по соответствующей ячейке." sqref="S87"/>
    <dataValidation type="textLength" operator="lessThanOrEqual" allowBlank="1" showInputMessage="1" showErrorMessage="1" errorTitle="Ошибка" error="Допускается ввод не более 900 символов!" sqref="R87">
      <formula1>900</formula1>
    </dataValidation>
    <dataValidation allowBlank="1" showInputMessage="1" showErrorMessage="1" prompt="Для выбора выполните двойной щелчок левой клавиши мыши по соответствующей ячейке." sqref="O87"/>
    <dataValidation allowBlank="1" showInputMessage="1" showErrorMessage="1"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87"/>
    <dataValidation allowBlank="1" showInputMessage="1" showErrorMessage="1" prompt="Для выбора выполните двойной щелчок левой клавиши мыши по соответствующей ячейке." sqref="K87"/>
    <dataValidation type="textLength" operator="lessThanOrEqual" allowBlank="1" showInputMessage="1" showErrorMessage="1" errorTitle="Ошибка" error="Допускается ввод не более 900 символов!" sqref="J87">
      <formula1>900</formula1>
    </dataValidation>
    <dataValidation allowBlank="1" showInputMessage="1" showErrorMessage="1" prompt="Выберите виды деятельности, выполнив двойной щелчок левой кнопки мыши по ячейке." sqref="G87"/>
    <dataValidation allowBlank="1" showInputMessage="1" showErrorMessage="1" prompt="Для выбора выполните двойной щелчок левой клавиши мыши по соответствующей ячейке." sqref="F87"/>
    <dataValidation allowBlank="1" showInputMessage="1" showErrorMessage="1"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82"/>
    <dataValidation allowBlank="1" showInputMessage="1" showErrorMessage="1" prompt="Выберите виды деятельности, выполнив двойной щелчок левой кнопки мыши по ячейке." sqref="G82"/>
    <dataValidation allowBlank="1" showInputMessage="1" showErrorMessage="1" prompt="Для выбора выполните двойной щелчок левой клавиши мыши по соответствующей ячейке." sqref="F82"/>
    <dataValidation allowBlank="1" showInputMessage="1" showErrorMessage="1" prompt="Для выбора выполните двойной щелчок левой клавиши мыши по соответствующей ячейке." sqref="S81"/>
    <dataValidation type="textLength" operator="lessThanOrEqual" allowBlank="1" showInputMessage="1" showErrorMessage="1" errorTitle="Ошибка" error="Допускается ввод не более 900 символов!" sqref="R81">
      <formula1>900</formula1>
    </dataValidation>
    <dataValidation allowBlank="1" showInputMessage="1" showErrorMessage="1"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81"/>
    <dataValidation type="textLength" operator="lessThanOrEqual" allowBlank="1" showInputMessage="1" showErrorMessage="1" errorTitle="Ошибка" error="Допускается ввод не более 900 символов!" sqref="J81">
      <formula1>900</formula1>
    </dataValidation>
    <dataValidation allowBlank="1" showInputMessage="1" showErrorMessage="1" prompt="Выберите виды деятельности, выполнив двойной щелчок левой кнопки мыши по ячейке." sqref="G81"/>
    <dataValidation allowBlank="1" showInputMessage="1" showErrorMessage="1" prompt="Для выбора выполните двойной щелчок левой клавиши мыши по соответствующей ячейке." sqref="F81"/>
    <dataValidation type="textLength" operator="lessThanOrEqual" allowBlank="1" showInputMessage="1" showErrorMessage="1" errorTitle="Ошибка" error="Допускается ввод не более 900 символов!" sqref="W80">
      <formula1>900</formula1>
    </dataValidation>
    <dataValidation type="textLength" operator="lessThanOrEqual" allowBlank="1" showInputMessage="1" showErrorMessage="1" errorTitle="Ошибка" error="Допускается ввод не более 900 символов!" sqref="V80">
      <formula1>900</formula1>
    </dataValidation>
    <dataValidation allowBlank="1" showInputMessage="1" showErrorMessage="1" prompt="Для выбора выполните двойной щелчок левой клавиши мыши по соответствующей ячейке." sqref="S80"/>
    <dataValidation type="textLength" operator="lessThanOrEqual" allowBlank="1" showInputMessage="1" showErrorMessage="1" errorTitle="Ошибка" error="Допускается ввод не более 900 символов!" sqref="R80">
      <formula1>900</formula1>
    </dataValidation>
    <dataValidation allowBlank="1" showInputMessage="1" showErrorMessage="1" prompt="Для выбора выполните двойной щелчок левой клавиши мыши по соответствующей ячейке." sqref="O80"/>
    <dataValidation allowBlank="1" showInputMessage="1" showErrorMessage="1"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80"/>
    <dataValidation allowBlank="1" showInputMessage="1" showErrorMessage="1" prompt="Для выбора выполните двойной щелчок левой клавиши мыши по соответствующей ячейке." sqref="K80"/>
    <dataValidation type="textLength" operator="lessThanOrEqual" allowBlank="1" showInputMessage="1" showErrorMessage="1" errorTitle="Ошибка" error="Допускается ввод не более 900 символов!" sqref="J80">
      <formula1>900</formula1>
    </dataValidation>
    <dataValidation allowBlank="1" showInputMessage="1" showErrorMessage="1" prompt="Выберите виды деятельности, выполнив двойной щелчок левой кнопки мыши по ячейке." sqref="G80"/>
    <dataValidation allowBlank="1" showInputMessage="1" showErrorMessage="1" prompt="Для выбора выполните двойной щелчок левой клавиши мыши по соответствующей ячейке." sqref="F80"/>
    <dataValidation allowBlank="1" showInputMessage="1" showErrorMessage="1" prompt="Выберите виды деятельности, выполнив двойной щелчок левой кнопки мыши по ячейке." sqref="G90"/>
    <dataValidation allowBlank="1" showInputMessage="1" showErrorMessage="1" prompt="Для выбора выполните двойной щелчок левой клавиши мыши по соответствующей ячейке." sqref="F90"/>
    <dataValidation allowBlank="1" showInputMessage="1" showErrorMessage="1"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86"/>
    <dataValidation allowBlank="1" showInputMessage="1" showErrorMessage="1" prompt="Выберите виды деятельности, выполнив двойной щелчок левой кнопки мыши по ячейке." sqref="G86"/>
    <dataValidation allowBlank="1" showInputMessage="1" showErrorMessage="1" prompt="Для выбора выполните двойной щелчок левой клавиши мыши по соответствующей ячейке." sqref="F86"/>
    <dataValidation allowBlank="1" showInputMessage="1" showErrorMessage="1" prompt="Для выбора выполните двойной щелчок левой клавиши мыши по соответствующей ячейке." sqref="S85"/>
    <dataValidation type="textLength" operator="lessThanOrEqual" allowBlank="1" showInputMessage="1" showErrorMessage="1" errorTitle="Ошибка" error="Допускается ввод не более 900 символов!" sqref="R85">
      <formula1>900</formula1>
    </dataValidation>
    <dataValidation allowBlank="1" showInputMessage="1" showErrorMessage="1"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85"/>
    <dataValidation type="textLength" operator="lessThanOrEqual" allowBlank="1" showInputMessage="1" showErrorMessage="1" errorTitle="Ошибка" error="Допускается ввод не более 900 символов!" sqref="J85">
      <formula1>900</formula1>
    </dataValidation>
    <dataValidation allowBlank="1" showInputMessage="1" showErrorMessage="1" prompt="Выберите виды деятельности, выполнив двойной щелчок левой кнопки мыши по ячейке." sqref="G85"/>
    <dataValidation allowBlank="1" showInputMessage="1" showErrorMessage="1" prompt="Для выбора выполните двойной щелчок левой клавиши мыши по соответствующей ячейке." sqref="F85"/>
    <dataValidation type="textLength" operator="lessThanOrEqual" allowBlank="1" showInputMessage="1" showErrorMessage="1" errorTitle="Ошибка" error="Допускается ввод не более 900 символов!" sqref="W84">
      <formula1>900</formula1>
    </dataValidation>
    <dataValidation type="textLength" operator="lessThanOrEqual" allowBlank="1" showInputMessage="1" showErrorMessage="1" errorTitle="Ошибка" error="Допускается ввод не более 900 символов!" sqref="V84">
      <formula1>900</formula1>
    </dataValidation>
    <dataValidation allowBlank="1" showInputMessage="1" showErrorMessage="1" prompt="Для выбора выполните двойной щелчок левой клавиши мыши по соответствующей ячейке." sqref="S84"/>
    <dataValidation type="textLength" operator="lessThanOrEqual" allowBlank="1" showInputMessage="1" showErrorMessage="1" errorTitle="Ошибка" error="Допускается ввод не более 900 символов!" sqref="R84">
      <formula1>900</formula1>
    </dataValidation>
    <dataValidation allowBlank="1" showInputMessage="1" showErrorMessage="1" prompt="Для выбора выполните двойной щелчок левой клавиши мыши по соответствующей ячейке." sqref="O84"/>
    <dataValidation allowBlank="1" showInputMessage="1" showErrorMessage="1"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84"/>
    <dataValidation allowBlank="1" showInputMessage="1" showErrorMessage="1" prompt="Для выбора выполните двойной щелчок левой клавиши мыши по соответствующей ячейке." sqref="K84"/>
    <dataValidation type="textLength" operator="lessThanOrEqual" allowBlank="1" showInputMessage="1" showErrorMessage="1" errorTitle="Ошибка" error="Допускается ввод не более 900 символов!" sqref="J84">
      <formula1>900</formula1>
    </dataValidation>
    <dataValidation allowBlank="1" showInputMessage="1" showErrorMessage="1" prompt="Выберите виды деятельности, выполнив двойной щелчок левой кнопки мыши по ячейке." sqref="G84"/>
    <dataValidation allowBlank="1" showInputMessage="1" showErrorMessage="1" prompt="Для выбора выполните двойной щелчок левой клавиши мыши по соответствующей ячейке." sqref="F84"/>
    <dataValidation allowBlank="1" showInputMessage="1" showErrorMessage="1"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79"/>
    <dataValidation allowBlank="1" showInputMessage="1" showErrorMessage="1" prompt="Для выбора выполните двойной щелчок левой клавиши мыши по соответствующей ячейке." sqref="S78"/>
    <dataValidation type="textLength" operator="lessThanOrEqual" allowBlank="1" showInputMessage="1" showErrorMessage="1" errorTitle="Ошибка" error="Допускается ввод не более 900 символов!" sqref="R78">
      <formula1>900</formula1>
    </dataValidation>
    <dataValidation allowBlank="1" showInputMessage="1" showErrorMessage="1"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78"/>
    <dataValidation type="textLength" operator="lessThanOrEqual" allowBlank="1" showInputMessage="1" showErrorMessage="1" errorTitle="Ошибка" error="Допускается ввод не более 900 символов!" sqref="J78">
      <formula1>900</formula1>
    </dataValidation>
    <dataValidation type="textLength" operator="lessThanOrEqual" allowBlank="1" showInputMessage="1" showErrorMessage="1" errorTitle="Ошибка" error="Допускается ввод не более 900 символов!" sqref="W77">
      <formula1>900</formula1>
    </dataValidation>
    <dataValidation type="textLength" operator="lessThanOrEqual" allowBlank="1" showInputMessage="1" showErrorMessage="1" errorTitle="Ошибка" error="Допускается ввод не более 900 символов!" sqref="V77">
      <formula1>900</formula1>
    </dataValidation>
    <dataValidation allowBlank="1" showInputMessage="1" showErrorMessage="1" prompt="Для выбора выполните двойной щелчок левой клавиши мыши по соответствующей ячейке." sqref="S77"/>
    <dataValidation type="textLength" operator="lessThanOrEqual" allowBlank="1" showInputMessage="1" showErrorMessage="1" errorTitle="Ошибка" error="Допускается ввод не более 900 символов!" sqref="R77">
      <formula1>900</formula1>
    </dataValidation>
    <dataValidation allowBlank="1" showInputMessage="1" showErrorMessage="1" prompt="Для выбора выполните двойной щелчок левой клавиши мыши по соответствующей ячейке." sqref="O77"/>
    <dataValidation allowBlank="1" showInputMessage="1" showErrorMessage="1"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77"/>
    <dataValidation allowBlank="1" showInputMessage="1" showErrorMessage="1" prompt="Для выбора выполните двойной щелчок левой клавиши мыши по соответствующей ячейке." sqref="K77"/>
    <dataValidation type="textLength" operator="lessThanOrEqual" allowBlank="1" showInputMessage="1" showErrorMessage="1" errorTitle="Ошибка" error="Допускается ввод не более 900 символов!" sqref="J77">
      <formula1>900</formula1>
    </dataValidation>
    <dataValidation allowBlank="1" showInputMessage="1" showErrorMessage="1"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69"/>
    <dataValidation allowBlank="1" showInputMessage="1" showErrorMessage="1" prompt="Выберите виды деятельности, выполнив двойной щелчок левой кнопки мыши по ячейке." sqref="G69"/>
    <dataValidation allowBlank="1" showInputMessage="1" showErrorMessage="1" prompt="Для выбора выполните двойной щелчок левой клавиши мыши по соответствующей ячейке." sqref="F69"/>
    <dataValidation allowBlank="1" showInputMessage="1" showErrorMessage="1" prompt="Для выбора выполните двойной щелчок левой клавиши мыши по соответствующей ячейке." sqref="S68"/>
    <dataValidation type="textLength" operator="lessThanOrEqual" allowBlank="1" showInputMessage="1" showErrorMessage="1" errorTitle="Ошибка" error="Допускается ввод не более 900 символов!" sqref="R68">
      <formula1>900</formula1>
    </dataValidation>
    <dataValidation allowBlank="1" showInputMessage="1" showErrorMessage="1"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68"/>
    <dataValidation type="textLength" operator="lessThanOrEqual" allowBlank="1" showInputMessage="1" showErrorMessage="1" errorTitle="Ошибка" error="Допускается ввод не более 900 символов!" sqref="J68">
      <formula1>900</formula1>
    </dataValidation>
    <dataValidation allowBlank="1" showInputMessage="1" showErrorMessage="1" prompt="Выберите виды деятельности, выполнив двойной щелчок левой кнопки мыши по ячейке." sqref="G68"/>
    <dataValidation allowBlank="1" showInputMessage="1" showErrorMessage="1" prompt="Для выбора выполните двойной щелчок левой клавиши мыши по соответствующей ячейке." sqref="F68"/>
    <dataValidation type="textLength" operator="lessThanOrEqual" allowBlank="1" showInputMessage="1" showErrorMessage="1" errorTitle="Ошибка" error="Допускается ввод не более 900 символов!" sqref="W67">
      <formula1>900</formula1>
    </dataValidation>
    <dataValidation type="textLength" operator="lessThanOrEqual" allowBlank="1" showInputMessage="1" showErrorMessage="1" errorTitle="Ошибка" error="Допускается ввод не более 900 символов!" sqref="V67">
      <formula1>900</formula1>
    </dataValidation>
    <dataValidation allowBlank="1" showInputMessage="1" showErrorMessage="1" prompt="Для выбора выполните двойной щелчок левой клавиши мыши по соответствующей ячейке." sqref="S67"/>
    <dataValidation type="textLength" operator="lessThanOrEqual" allowBlank="1" showInputMessage="1" showErrorMessage="1" errorTitle="Ошибка" error="Допускается ввод не более 900 символов!" sqref="R67">
      <formula1>900</formula1>
    </dataValidation>
    <dataValidation allowBlank="1" showInputMessage="1" showErrorMessage="1" prompt="Для выбора выполните двойной щелчок левой клавиши мыши по соответствующей ячейке." sqref="O67"/>
    <dataValidation allowBlank="1" showInputMessage="1" showErrorMessage="1"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67"/>
    <dataValidation allowBlank="1" showInputMessage="1" showErrorMessage="1" prompt="Для выбора выполните двойной щелчок левой клавиши мыши по соответствующей ячейке." sqref="K67"/>
    <dataValidation type="textLength" operator="lessThanOrEqual" allowBlank="1" showInputMessage="1" showErrorMessage="1" errorTitle="Ошибка" error="Допускается ввод не более 900 символов!" sqref="J67">
      <formula1>900</formula1>
    </dataValidation>
    <dataValidation allowBlank="1" showInputMessage="1" showErrorMessage="1" prompt="Выберите виды деятельности, выполнив двойной щелчок левой кнопки мыши по ячейке." sqref="G67"/>
    <dataValidation allowBlank="1" showInputMessage="1" showErrorMessage="1" prompt="Для выбора выполните двойной щелчок левой клавиши мыши по соответствующей ячейке." sqref="F67"/>
    <dataValidation allowBlank="1" showInputMessage="1" showErrorMessage="1" prompt="Выберите виды деятельности, выполнив двойной щелчок левой кнопки мыши по ячейке." sqref="G70"/>
    <dataValidation allowBlank="1" showInputMessage="1" showErrorMessage="1" prompt="Для выбора выполните двойной щелчок левой клавиши мыши по соответствующей ячейке." sqref="F70"/>
    <dataValidation allowBlank="1" showInputMessage="1" showErrorMessage="1"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66"/>
    <dataValidation allowBlank="1" showInputMessage="1" showErrorMessage="1" prompt="Выберите виды деятельности, выполнив двойной щелчок левой кнопки мыши по ячейке." sqref="G66"/>
    <dataValidation allowBlank="1" showInputMessage="1" showErrorMessage="1" prompt="Для выбора выполните двойной щелчок левой клавиши мыши по соответствующей ячейке." sqref="F66"/>
    <dataValidation allowBlank="1" showInputMessage="1" showErrorMessage="1" prompt="Для выбора выполните двойной щелчок левой клавиши мыши по соответствующей ячейке." sqref="S65"/>
    <dataValidation type="textLength" operator="lessThanOrEqual" allowBlank="1" showInputMessage="1" showErrorMessage="1" errorTitle="Ошибка" error="Допускается ввод не более 900 символов!" sqref="R65">
      <formula1>900</formula1>
    </dataValidation>
    <dataValidation allowBlank="1" showInputMessage="1" showErrorMessage="1"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65"/>
    <dataValidation type="textLength" operator="lessThanOrEqual" allowBlank="1" showInputMessage="1" showErrorMessage="1" errorTitle="Ошибка" error="Допускается ввод не более 900 символов!" sqref="J65">
      <formula1>900</formula1>
    </dataValidation>
    <dataValidation allowBlank="1" showInputMessage="1" showErrorMessage="1" prompt="Выберите виды деятельности, выполнив двойной щелчок левой кнопки мыши по ячейке." sqref="G65"/>
    <dataValidation allowBlank="1" showInputMessage="1" showErrorMessage="1" prompt="Для выбора выполните двойной щелчок левой клавиши мыши по соответствующей ячейке." sqref="F65"/>
    <dataValidation type="textLength" operator="lessThanOrEqual" allowBlank="1" showInputMessage="1" showErrorMessage="1" errorTitle="Ошибка" error="Допускается ввод не более 900 символов!" sqref="W64">
      <formula1>900</formula1>
    </dataValidation>
    <dataValidation type="textLength" operator="lessThanOrEqual" allowBlank="1" showInputMessage="1" showErrorMessage="1" errorTitle="Ошибка" error="Допускается ввод не более 900 символов!" sqref="V64">
      <formula1>900</formula1>
    </dataValidation>
    <dataValidation allowBlank="1" showInputMessage="1" showErrorMessage="1" prompt="Для выбора выполните двойной щелчок левой клавиши мыши по соответствующей ячейке." sqref="S64"/>
    <dataValidation type="textLength" operator="lessThanOrEqual" allowBlank="1" showInputMessage="1" showErrorMessage="1" errorTitle="Ошибка" error="Допускается ввод не более 900 символов!" sqref="R64">
      <formula1>900</formula1>
    </dataValidation>
    <dataValidation allowBlank="1" showInputMessage="1" showErrorMessage="1" prompt="Для выбора выполните двойной щелчок левой клавиши мыши по соответствующей ячейке." sqref="O64"/>
    <dataValidation allowBlank="1" showInputMessage="1" showErrorMessage="1"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64"/>
    <dataValidation allowBlank="1" showInputMessage="1" showErrorMessage="1" prompt="Для выбора выполните двойной щелчок левой клавиши мыши по соответствующей ячейке." sqref="K64"/>
    <dataValidation type="textLength" operator="lessThanOrEqual" allowBlank="1" showInputMessage="1" showErrorMessage="1" errorTitle="Ошибка" error="Допускается ввод не более 900 символов!" sqref="J64">
      <formula1>900</formula1>
    </dataValidation>
    <dataValidation allowBlank="1" showInputMessage="1" showErrorMessage="1" prompt="Выберите виды деятельности, выполнив двойной щелчок левой кнопки мыши по ячейке." sqref="G64"/>
    <dataValidation allowBlank="1" showInputMessage="1" showErrorMessage="1" prompt="Для выбора выполните двойной щелчок левой клавиши мыши по соответствующей ячейке." sqref="F64"/>
    <dataValidation allowBlank="1" showInputMessage="1" showErrorMessage="1" prompt="Выберите виды деятельности, выполнив двойной щелчок левой кнопки мыши по ячейке." sqref="G63"/>
    <dataValidation allowBlank="1" showInputMessage="1" showErrorMessage="1" prompt="Для выбора выполните двойной щелчок левой клавиши мыши по соответствующей ячейке." sqref="F63"/>
    <dataValidation allowBlank="1" showInputMessage="1" showErrorMessage="1"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62"/>
    <dataValidation allowBlank="1" showInputMessage="1" showErrorMessage="1" prompt="Выберите виды деятельности, выполнив двойной щелчок левой кнопки мыши по ячейке." sqref="G62"/>
    <dataValidation allowBlank="1" showInputMessage="1" showErrorMessage="1" prompt="Для выбора выполните двойной щелчок левой клавиши мыши по соответствующей ячейке." sqref="F62"/>
    <dataValidation allowBlank="1" showInputMessage="1" showErrorMessage="1" prompt="Для выбора выполните двойной щелчок левой клавиши мыши по соответствующей ячейке." sqref="S61"/>
    <dataValidation type="textLength" operator="lessThanOrEqual" allowBlank="1" showInputMessage="1" showErrorMessage="1" errorTitle="Ошибка" error="Допускается ввод не более 900 символов!" sqref="R61">
      <formula1>900</formula1>
    </dataValidation>
    <dataValidation allowBlank="1" showInputMessage="1" showErrorMessage="1"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61"/>
    <dataValidation type="textLength" operator="lessThanOrEqual" allowBlank="1" showInputMessage="1" showErrorMessage="1" errorTitle="Ошибка" error="Допускается ввод не более 900 символов!" sqref="J61">
      <formula1>900</formula1>
    </dataValidation>
    <dataValidation allowBlank="1" showInputMessage="1" showErrorMessage="1" prompt="Выберите виды деятельности, выполнив двойной щелчок левой кнопки мыши по ячейке." sqref="G61"/>
    <dataValidation allowBlank="1" showInputMessage="1" showErrorMessage="1" prompt="Для выбора выполните двойной щелчок левой клавиши мыши по соответствующей ячейке." sqref="F61"/>
    <dataValidation type="textLength" operator="lessThanOrEqual" allowBlank="1" showInputMessage="1" showErrorMessage="1" errorTitle="Ошибка" error="Допускается ввод не более 900 символов!" sqref="W60">
      <formula1>900</formula1>
    </dataValidation>
    <dataValidation type="textLength" operator="lessThanOrEqual" allowBlank="1" showInputMessage="1" showErrorMessage="1" errorTitle="Ошибка" error="Допускается ввод не более 900 символов!" sqref="V60">
      <formula1>900</formula1>
    </dataValidation>
    <dataValidation allowBlank="1" showInputMessage="1" showErrorMessage="1" prompt="Для выбора выполните двойной щелчок левой клавиши мыши по соответствующей ячейке." sqref="S60"/>
    <dataValidation type="textLength" operator="lessThanOrEqual" allowBlank="1" showInputMessage="1" showErrorMessage="1" errorTitle="Ошибка" error="Допускается ввод не более 900 символов!" sqref="R60">
      <formula1>900</formula1>
    </dataValidation>
    <dataValidation allowBlank="1" showInputMessage="1" showErrorMessage="1" prompt="Для выбора выполните двойной щелчок левой клавиши мыши по соответствующей ячейке." sqref="O60"/>
    <dataValidation allowBlank="1" showInputMessage="1" showErrorMessage="1"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60"/>
    <dataValidation allowBlank="1" showInputMessage="1" showErrorMessage="1" prompt="Для выбора выполните двойной щелчок левой клавиши мыши по соответствующей ячейке." sqref="K60"/>
    <dataValidation type="textLength" operator="lessThanOrEqual" allowBlank="1" showInputMessage="1" showErrorMessage="1" errorTitle="Ошибка" error="Допускается ввод не более 900 символов!" sqref="J60">
      <formula1>900</formula1>
    </dataValidation>
    <dataValidation allowBlank="1" showInputMessage="1" showErrorMessage="1" prompt="Выберите виды деятельности, выполнив двойной щелчок левой кнопки мыши по ячейке." sqref="G60"/>
    <dataValidation allowBlank="1" showInputMessage="1" showErrorMessage="1" prompt="Для выбора выполните двойной щелчок левой клавиши мыши по соответствующей ячейке." sqref="F60"/>
    <dataValidation allowBlank="1" showInputMessage="1" showErrorMessage="1" prompt="Выберите виды деятельности, выполнив двойной щелчок левой кнопки мыши по ячейке." sqref="G59"/>
    <dataValidation allowBlank="1" showInputMessage="1" showErrorMessage="1" prompt="Для выбора выполните двойной щелчок левой клавиши мыши по соответствующей ячейке." sqref="F59"/>
    <dataValidation allowBlank="1" showInputMessage="1" showErrorMessage="1"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58"/>
    <dataValidation allowBlank="1" showInputMessage="1" showErrorMessage="1" prompt="Выберите виды деятельности, выполнив двойной щелчок левой кнопки мыши по ячейке." sqref="G58"/>
    <dataValidation allowBlank="1" showInputMessage="1" showErrorMessage="1" prompt="Для выбора выполните двойной щелчок левой клавиши мыши по соответствующей ячейке." sqref="F58"/>
    <dataValidation allowBlank="1" showInputMessage="1" showErrorMessage="1" prompt="Для выбора выполните двойной щелчок левой клавиши мыши по соответствующей ячейке." sqref="S57"/>
    <dataValidation type="textLength" operator="lessThanOrEqual" allowBlank="1" showInputMessage="1" showErrorMessage="1" errorTitle="Ошибка" error="Допускается ввод не более 900 символов!" sqref="R57">
      <formula1>900</formula1>
    </dataValidation>
    <dataValidation allowBlank="1" showInputMessage="1" showErrorMessage="1"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57"/>
    <dataValidation type="textLength" operator="lessThanOrEqual" allowBlank="1" showInputMessage="1" showErrorMessage="1" errorTitle="Ошибка" error="Допускается ввод не более 900 символов!" sqref="J57">
      <formula1>900</formula1>
    </dataValidation>
    <dataValidation allowBlank="1" showInputMessage="1" showErrorMessage="1" prompt="Выберите виды деятельности, выполнив двойной щелчок левой кнопки мыши по ячейке." sqref="G57"/>
    <dataValidation allowBlank="1" showInputMessage="1" showErrorMessage="1" prompt="Для выбора выполните двойной щелчок левой клавиши мыши по соответствующей ячейке." sqref="F57"/>
    <dataValidation type="textLength" operator="lessThanOrEqual" allowBlank="1" showInputMessage="1" showErrorMessage="1" errorTitle="Ошибка" error="Допускается ввод не более 900 символов!" sqref="W56">
      <formula1>900</formula1>
    </dataValidation>
    <dataValidation type="textLength" operator="lessThanOrEqual" allowBlank="1" showInputMessage="1" showErrorMessage="1" errorTitle="Ошибка" error="Допускается ввод не более 900 символов!" sqref="V56">
      <formula1>900</formula1>
    </dataValidation>
    <dataValidation allowBlank="1" showInputMessage="1" showErrorMessage="1" prompt="Для выбора выполните двойной щелчок левой клавиши мыши по соответствующей ячейке." sqref="S56"/>
    <dataValidation type="textLength" operator="lessThanOrEqual" allowBlank="1" showInputMessage="1" showErrorMessage="1" errorTitle="Ошибка" error="Допускается ввод не более 900 символов!" sqref="R56">
      <formula1>900</formula1>
    </dataValidation>
    <dataValidation allowBlank="1" showInputMessage="1" showErrorMessage="1" prompt="Для выбора выполните двойной щелчок левой клавиши мыши по соответствующей ячейке." sqref="O56"/>
    <dataValidation allowBlank="1" showInputMessage="1" showErrorMessage="1"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56"/>
    <dataValidation allowBlank="1" showInputMessage="1" showErrorMessage="1" prompt="Для выбора выполните двойной щелчок левой клавиши мыши по соответствующей ячейке." sqref="K56"/>
    <dataValidation type="textLength" operator="lessThanOrEqual" allowBlank="1" showInputMessage="1" showErrorMessage="1" errorTitle="Ошибка" error="Допускается ввод не более 900 символов!" sqref="J56">
      <formula1>900</formula1>
    </dataValidation>
    <dataValidation allowBlank="1" showInputMessage="1" showErrorMessage="1" prompt="Выберите виды деятельности, выполнив двойной щелчок левой кнопки мыши по ячейке." sqref="G56"/>
    <dataValidation allowBlank="1" showInputMessage="1" showErrorMessage="1" prompt="Для выбора выполните двойной щелчок левой клавиши мыши по соответствующей ячейке." sqref="F56"/>
    <dataValidation allowBlank="1" showInputMessage="1" showErrorMessage="1"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54"/>
    <dataValidation allowBlank="1" showInputMessage="1" showErrorMessage="1" prompt="Для выбора выполните двойной щелчок левой клавиши мыши по соответствующей ячейке." sqref="S53"/>
    <dataValidation type="textLength" operator="lessThanOrEqual" allowBlank="1" showInputMessage="1" showErrorMessage="1" errorTitle="Ошибка" error="Допускается ввод не более 900 символов!" sqref="R53">
      <formula1>900</formula1>
    </dataValidation>
    <dataValidation allowBlank="1" showInputMessage="1" showErrorMessage="1"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53"/>
    <dataValidation type="textLength" operator="lessThanOrEqual" allowBlank="1" showInputMessage="1" showErrorMessage="1" errorTitle="Ошибка" error="Допускается ввод не более 900 символов!" sqref="J53">
      <formula1>900</formula1>
    </dataValidation>
    <dataValidation type="textLength" operator="lessThanOrEqual" allowBlank="1" showInputMessage="1" showErrorMessage="1" errorTitle="Ошибка" error="Допускается ввод не более 900 символов!" sqref="W52">
      <formula1>900</formula1>
    </dataValidation>
    <dataValidation type="textLength" operator="lessThanOrEqual" allowBlank="1" showInputMessage="1" showErrorMessage="1" errorTitle="Ошибка" error="Допускается ввод не более 900 символов!" sqref="V52">
      <formula1>900</formula1>
    </dataValidation>
    <dataValidation allowBlank="1" showInputMessage="1" showErrorMessage="1" prompt="Для выбора выполните двойной щелчок левой клавиши мыши по соответствующей ячейке." sqref="S52"/>
    <dataValidation type="textLength" operator="lessThanOrEqual" allowBlank="1" showInputMessage="1" showErrorMessage="1" errorTitle="Ошибка" error="Допускается ввод не более 900 символов!" sqref="R52">
      <formula1>900</formula1>
    </dataValidation>
    <dataValidation allowBlank="1" showInputMessage="1" showErrorMessage="1" prompt="Для выбора выполните двойной щелчок левой клавиши мыши по соответствующей ячейке." sqref="O52"/>
    <dataValidation allowBlank="1" showInputMessage="1" showErrorMessage="1"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52"/>
    <dataValidation allowBlank="1" showInputMessage="1" showErrorMessage="1" prompt="Для выбора выполните двойной щелчок левой клавиши мыши по соответствующей ячейке." sqref="K52"/>
    <dataValidation type="textLength" operator="lessThanOrEqual" allowBlank="1" showInputMessage="1" showErrorMessage="1" errorTitle="Ошибка" error="Допускается ввод не более 900 символов!" sqref="J52">
      <formula1>900</formula1>
    </dataValidation>
    <dataValidation allowBlank="1" showInputMessage="1" showErrorMessage="1" prompt="Выберите виды деятельности, выполнив двойной щелчок левой кнопки мыши по ячейке." sqref="G50"/>
    <dataValidation allowBlank="1" showInputMessage="1" showErrorMessage="1" prompt="Для выбора выполните двойной щелчок левой клавиши мыши по соответствующей ячейке." sqref="F50"/>
    <dataValidation allowBlank="1" showInputMessage="1" showErrorMessage="1"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49"/>
    <dataValidation allowBlank="1" showInputMessage="1" showErrorMessage="1" prompt="Выберите виды деятельности, выполнив двойной щелчок левой кнопки мыши по ячейке." sqref="G49"/>
    <dataValidation allowBlank="1" showInputMessage="1" showErrorMessage="1" prompt="Для выбора выполните двойной щелчок левой клавиши мыши по соответствующей ячейке." sqref="F49"/>
    <dataValidation allowBlank="1" showInputMessage="1" showErrorMessage="1" prompt="Для выбора выполните двойной щелчок левой клавиши мыши по соответствующей ячейке." sqref="S48"/>
    <dataValidation type="textLength" operator="lessThanOrEqual" allowBlank="1" showInputMessage="1" showErrorMessage="1" errorTitle="Ошибка" error="Допускается ввод не более 900 символов!" sqref="R48">
      <formula1>900</formula1>
    </dataValidation>
    <dataValidation allowBlank="1" showInputMessage="1" showErrorMessage="1"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48"/>
    <dataValidation type="textLength" operator="lessThanOrEqual" allowBlank="1" showInputMessage="1" showErrorMessage="1" errorTitle="Ошибка" error="Допускается ввод не более 900 символов!" sqref="J48">
      <formula1>900</formula1>
    </dataValidation>
    <dataValidation allowBlank="1" showInputMessage="1" showErrorMessage="1" prompt="Выберите виды деятельности, выполнив двойной щелчок левой кнопки мыши по ячейке." sqref="G48"/>
    <dataValidation allowBlank="1" showInputMessage="1" showErrorMessage="1" prompt="Для выбора выполните двойной щелчок левой клавиши мыши по соответствующей ячейке." sqref="F48"/>
    <dataValidation type="textLength" operator="lessThanOrEqual" allowBlank="1" showInputMessage="1" showErrorMessage="1" errorTitle="Ошибка" error="Допускается ввод не более 900 символов!" sqref="W47">
      <formula1>900</formula1>
    </dataValidation>
    <dataValidation type="textLength" operator="lessThanOrEqual" allowBlank="1" showInputMessage="1" showErrorMessage="1" errorTitle="Ошибка" error="Допускается ввод не более 900 символов!" sqref="V47">
      <formula1>900</formula1>
    </dataValidation>
    <dataValidation allowBlank="1" showInputMessage="1" showErrorMessage="1" prompt="Для выбора выполните двойной щелчок левой клавиши мыши по соответствующей ячейке." sqref="S47"/>
    <dataValidation type="textLength" operator="lessThanOrEqual" allowBlank="1" showInputMessage="1" showErrorMessage="1" errorTitle="Ошибка" error="Допускается ввод не более 900 символов!" sqref="R47">
      <formula1>900</formula1>
    </dataValidation>
    <dataValidation allowBlank="1" showInputMessage="1" showErrorMessage="1" prompt="Для выбора выполните двойной щелчок левой клавиши мыши по соответствующей ячейке." sqref="O47"/>
    <dataValidation allowBlank="1" showInputMessage="1" showErrorMessage="1"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47"/>
    <dataValidation allowBlank="1" showInputMessage="1" showErrorMessage="1" prompt="Для выбора выполните двойной щелчок левой клавиши мыши по соответствующей ячейке." sqref="K47"/>
    <dataValidation type="textLength" operator="lessThanOrEqual" allowBlank="1" showInputMessage="1" showErrorMessage="1" errorTitle="Ошибка" error="Допускается ввод не более 900 символов!" sqref="J47">
      <formula1>900</formula1>
    </dataValidation>
    <dataValidation allowBlank="1" showInputMessage="1" showErrorMessage="1" prompt="Выберите виды деятельности, выполнив двойной щелчок левой кнопки мыши по ячейке." sqref="G47"/>
    <dataValidation allowBlank="1" showInputMessage="1" showErrorMessage="1" prompt="Для выбора выполните двойной щелчок левой клавиши мыши по соответствующей ячейке." sqref="F47"/>
    <dataValidation allowBlank="1" showInputMessage="1" showErrorMessage="1" prompt="Выберите виды деятельности, выполнив двойной щелчок левой кнопки мыши по ячейке." sqref="G46"/>
    <dataValidation allowBlank="1" showInputMessage="1" showErrorMessage="1" prompt="Для выбора выполните двойной щелчок левой клавиши мыши по соответствующей ячейке." sqref="F46"/>
    <dataValidation allowBlank="1" showInputMessage="1" showErrorMessage="1"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45"/>
    <dataValidation allowBlank="1" showInputMessage="1" showErrorMessage="1" prompt="Выберите виды деятельности, выполнив двойной щелчок левой кнопки мыши по ячейке." sqref="G45"/>
    <dataValidation allowBlank="1" showInputMessage="1" showErrorMessage="1" prompt="Для выбора выполните двойной щелчок левой клавиши мыши по соответствующей ячейке." sqref="F45"/>
    <dataValidation allowBlank="1" showInputMessage="1" showErrorMessage="1" prompt="Для выбора выполните двойной щелчок левой клавиши мыши по соответствующей ячейке." sqref="S44"/>
    <dataValidation type="textLength" operator="lessThanOrEqual" allowBlank="1" showInputMessage="1" showErrorMessage="1" errorTitle="Ошибка" error="Допускается ввод не более 900 символов!" sqref="R44">
      <formula1>900</formula1>
    </dataValidation>
    <dataValidation allowBlank="1" showInputMessage="1" showErrorMessage="1"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44"/>
    <dataValidation type="textLength" operator="lessThanOrEqual" allowBlank="1" showInputMessage="1" showErrorMessage="1" errorTitle="Ошибка" error="Допускается ввод не более 900 символов!" sqref="J44">
      <formula1>900</formula1>
    </dataValidation>
    <dataValidation allowBlank="1" showInputMessage="1" showErrorMessage="1" prompt="Выберите виды деятельности, выполнив двойной щелчок левой кнопки мыши по ячейке." sqref="G44"/>
    <dataValidation allowBlank="1" showInputMessage="1" showErrorMessage="1" prompt="Для выбора выполните двойной щелчок левой клавиши мыши по соответствующей ячейке." sqref="F44"/>
    <dataValidation type="textLength" operator="lessThanOrEqual" allowBlank="1" showInputMessage="1" showErrorMessage="1" errorTitle="Ошибка" error="Допускается ввод не более 900 символов!" sqref="W43">
      <formula1>900</formula1>
    </dataValidation>
    <dataValidation type="textLength" operator="lessThanOrEqual" allowBlank="1" showInputMessage="1" showErrorMessage="1" errorTitle="Ошибка" error="Допускается ввод не более 900 символов!" sqref="V43">
      <formula1>900</formula1>
    </dataValidation>
    <dataValidation allowBlank="1" showInputMessage="1" showErrorMessage="1" prompt="Для выбора выполните двойной щелчок левой клавиши мыши по соответствующей ячейке." sqref="S43"/>
    <dataValidation type="textLength" operator="lessThanOrEqual" allowBlank="1" showInputMessage="1" showErrorMessage="1" errorTitle="Ошибка" error="Допускается ввод не более 900 символов!" sqref="R43">
      <formula1>900</formula1>
    </dataValidation>
    <dataValidation allowBlank="1" showInputMessage="1" showErrorMessage="1" prompt="Для выбора выполните двойной щелчок левой клавиши мыши по соответствующей ячейке." sqref="O43"/>
    <dataValidation allowBlank="1" showInputMessage="1" showErrorMessage="1"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43"/>
    <dataValidation allowBlank="1" showInputMessage="1" showErrorMessage="1" prompt="Для выбора выполните двойной щелчок левой клавиши мыши по соответствующей ячейке." sqref="K43"/>
    <dataValidation type="textLength" operator="lessThanOrEqual" allowBlank="1" showInputMessage="1" showErrorMessage="1" errorTitle="Ошибка" error="Допускается ввод не более 900 символов!" sqref="J43">
      <formula1>900</formula1>
    </dataValidation>
    <dataValidation allowBlank="1" showInputMessage="1" showErrorMessage="1" prompt="Выберите виды деятельности, выполнив двойной щелчок левой кнопки мыши по ячейке." sqref="G43"/>
    <dataValidation allowBlank="1" showInputMessage="1" showErrorMessage="1" prompt="Для выбора выполните двойной щелчок левой клавиши мыши по соответствующей ячейке." sqref="F43"/>
    <dataValidation allowBlank="1" showInputMessage="1" showErrorMessage="1" prompt="Выберите виды деятельности, выполнив двойной щелчок левой кнопки мыши по ячейке." sqref="G42"/>
    <dataValidation allowBlank="1" showInputMessage="1" showErrorMessage="1" prompt="Для выбора выполните двойной щелчок левой клавиши мыши по соответствующей ячейке." sqref="F42"/>
    <dataValidation allowBlank="1" showInputMessage="1" showErrorMessage="1"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41"/>
    <dataValidation allowBlank="1" showInputMessage="1" showErrorMessage="1" prompt="Выберите виды деятельности, выполнив двойной щелчок левой кнопки мыши по ячейке." sqref="G41"/>
    <dataValidation allowBlank="1" showInputMessage="1" showErrorMessage="1" prompt="Для выбора выполните двойной щелчок левой клавиши мыши по соответствующей ячейке." sqref="F41"/>
    <dataValidation allowBlank="1" showInputMessage="1" showErrorMessage="1" prompt="Для выбора выполните двойной щелчок левой клавиши мыши по соответствующей ячейке." sqref="S40"/>
    <dataValidation type="textLength" operator="lessThanOrEqual" allowBlank="1" showInputMessage="1" showErrorMessage="1" errorTitle="Ошибка" error="Допускается ввод не более 900 символов!" sqref="R40">
      <formula1>900</formula1>
    </dataValidation>
    <dataValidation allowBlank="1" showInputMessage="1" showErrorMessage="1"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40"/>
    <dataValidation type="textLength" operator="lessThanOrEqual" allowBlank="1" showInputMessage="1" showErrorMessage="1" errorTitle="Ошибка" error="Допускается ввод не более 900 символов!" sqref="J40">
      <formula1>900</formula1>
    </dataValidation>
    <dataValidation allowBlank="1" showInputMessage="1" showErrorMessage="1" prompt="Выберите виды деятельности, выполнив двойной щелчок левой кнопки мыши по ячейке." sqref="G40"/>
    <dataValidation allowBlank="1" showInputMessage="1" showErrorMessage="1" prompt="Для выбора выполните двойной щелчок левой клавиши мыши по соответствующей ячейке." sqref="F40"/>
    <dataValidation type="textLength" operator="lessThanOrEqual" allowBlank="1" showInputMessage="1" showErrorMessage="1" errorTitle="Ошибка" error="Допускается ввод не более 900 символов!" sqref="W39">
      <formula1>900</formula1>
    </dataValidation>
    <dataValidation type="textLength" operator="lessThanOrEqual" allowBlank="1" showInputMessage="1" showErrorMessage="1" errorTitle="Ошибка" error="Допускается ввод не более 900 символов!" sqref="V39">
      <formula1>900</formula1>
    </dataValidation>
    <dataValidation allowBlank="1" showInputMessage="1" showErrorMessage="1" prompt="Для выбора выполните двойной щелчок левой клавиши мыши по соответствующей ячейке." sqref="S39"/>
    <dataValidation type="textLength" operator="lessThanOrEqual" allowBlank="1" showInputMessage="1" showErrorMessage="1" errorTitle="Ошибка" error="Допускается ввод не более 900 символов!" sqref="R39">
      <formula1>900</formula1>
    </dataValidation>
    <dataValidation allowBlank="1" showInputMessage="1" showErrorMessage="1" prompt="Для выбора выполните двойной щелчок левой клавиши мыши по соответствующей ячейке." sqref="O39"/>
    <dataValidation allowBlank="1" showInputMessage="1" showErrorMessage="1"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39"/>
    <dataValidation allowBlank="1" showInputMessage="1" showErrorMessage="1" prompt="Для выбора выполните двойной щелчок левой клавиши мыши по соответствующей ячейке." sqref="K39"/>
    <dataValidation type="textLength" operator="lessThanOrEqual" allowBlank="1" showInputMessage="1" showErrorMessage="1" errorTitle="Ошибка" error="Допускается ввод не более 900 символов!" sqref="J39">
      <formula1>900</formula1>
    </dataValidation>
    <dataValidation allowBlank="1" showInputMessage="1" showErrorMessage="1" prompt="Выберите виды деятельности, выполнив двойной щелчок левой кнопки мыши по ячейке." sqref="G39"/>
    <dataValidation allowBlank="1" showInputMessage="1" showErrorMessage="1" prompt="Для выбора выполните двойной щелчок левой клавиши мыши по соответствующей ячейке." sqref="F39"/>
    <dataValidation allowBlank="1" showInputMessage="1" showErrorMessage="1" prompt="Выберите виды деятельности, выполнив двойной щелчок левой кнопки мыши по ячейке." sqref="G38"/>
    <dataValidation allowBlank="1" showInputMessage="1" showErrorMessage="1" prompt="Для выбора выполните двойной щелчок левой клавиши мыши по соответствующей ячейке." sqref="F38"/>
    <dataValidation allowBlank="1" showInputMessage="1" showErrorMessage="1"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37"/>
    <dataValidation allowBlank="1" showInputMessage="1" showErrorMessage="1" prompt="Выберите виды деятельности, выполнив двойной щелчок левой кнопки мыши по ячейке." sqref="G37"/>
    <dataValidation allowBlank="1" showInputMessage="1" showErrorMessage="1" prompt="Для выбора выполните двойной щелчок левой клавиши мыши по соответствующей ячейке." sqref="F37"/>
    <dataValidation allowBlank="1" showInputMessage="1" showErrorMessage="1" prompt="Для выбора выполните двойной щелчок левой клавиши мыши по соответствующей ячейке." sqref="S36"/>
    <dataValidation type="textLength" operator="lessThanOrEqual" allowBlank="1" showInputMessage="1" showErrorMessage="1" errorTitle="Ошибка" error="Допускается ввод не более 900 символов!" sqref="R36">
      <formula1>900</formula1>
    </dataValidation>
    <dataValidation allowBlank="1" showInputMessage="1" showErrorMessage="1"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36"/>
    <dataValidation type="textLength" operator="lessThanOrEqual" allowBlank="1" showInputMessage="1" showErrorMessage="1" errorTitle="Ошибка" error="Допускается ввод не более 900 символов!" sqref="J36">
      <formula1>900</formula1>
    </dataValidation>
    <dataValidation allowBlank="1" showInputMessage="1" showErrorMessage="1" prompt="Выберите виды деятельности, выполнив двойной щелчок левой кнопки мыши по ячейке." sqref="G36"/>
    <dataValidation allowBlank="1" showInputMessage="1" showErrorMessage="1" prompt="Для выбора выполните двойной щелчок левой клавиши мыши по соответствующей ячейке." sqref="F36"/>
    <dataValidation type="textLength" operator="lessThanOrEqual" allowBlank="1" showInputMessage="1" showErrorMessage="1" errorTitle="Ошибка" error="Допускается ввод не более 900 символов!" sqref="W35">
      <formula1>900</formula1>
    </dataValidation>
    <dataValidation type="textLength" operator="lessThanOrEqual" allowBlank="1" showInputMessage="1" showErrorMessage="1" errorTitle="Ошибка" error="Допускается ввод не более 900 символов!" sqref="V35">
      <formula1>900</formula1>
    </dataValidation>
    <dataValidation allowBlank="1" showInputMessage="1" showErrorMessage="1" prompt="Для выбора выполните двойной щелчок левой клавиши мыши по соответствующей ячейке." sqref="S35"/>
    <dataValidation type="textLength" operator="lessThanOrEqual" allowBlank="1" showInputMessage="1" showErrorMessage="1" errorTitle="Ошибка" error="Допускается ввод не более 900 символов!" sqref="R35">
      <formula1>900</formula1>
    </dataValidation>
    <dataValidation allowBlank="1" showInputMessage="1" showErrorMessage="1" prompt="Для выбора выполните двойной щелчок левой клавиши мыши по соответствующей ячейке." sqref="O35"/>
    <dataValidation allowBlank="1" showInputMessage="1" showErrorMessage="1"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35"/>
    <dataValidation allowBlank="1" showInputMessage="1" showErrorMessage="1" prompt="Для выбора выполните двойной щелчок левой клавиши мыши по соответствующей ячейке." sqref="K35"/>
    <dataValidation type="textLength" operator="lessThanOrEqual" allowBlank="1" showInputMessage="1" showErrorMessage="1" errorTitle="Ошибка" error="Допускается ввод не более 900 символов!" sqref="J35">
      <formula1>900</formula1>
    </dataValidation>
    <dataValidation allowBlank="1" showInputMessage="1" showErrorMessage="1" prompt="Выберите виды деятельности, выполнив двойной щелчок левой кнопки мыши по ячейке." sqref="G35"/>
    <dataValidation allowBlank="1" showInputMessage="1" showErrorMessage="1" prompt="Для выбора выполните двойной щелчок левой клавиши мыши по соответствующей ячейке." sqref="F35"/>
    <dataValidation allowBlank="1" showInputMessage="1" showErrorMessage="1" prompt="Выберите виды деятельности, выполнив двойной щелчок левой кнопки мыши по ячейке." sqref="G34"/>
    <dataValidation allowBlank="1" showInputMessage="1" showErrorMessage="1" prompt="Для выбора выполните двойной щелчок левой клавиши мыши по соответствующей ячейке." sqref="F34"/>
    <dataValidation allowBlank="1" showInputMessage="1" showErrorMessage="1"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33"/>
    <dataValidation allowBlank="1" showInputMessage="1" showErrorMessage="1" prompt="Выберите виды деятельности, выполнив двойной щелчок левой кнопки мыши по ячейке." sqref="G33"/>
    <dataValidation allowBlank="1" showInputMessage="1" showErrorMessage="1" prompt="Для выбора выполните двойной щелчок левой клавиши мыши по соответствующей ячейке." sqref="F33"/>
    <dataValidation allowBlank="1" showInputMessage="1" showErrorMessage="1" prompt="Для выбора выполните двойной щелчок левой клавиши мыши по соответствующей ячейке." sqref="S32"/>
    <dataValidation type="textLength" operator="lessThanOrEqual" allowBlank="1" showInputMessage="1" showErrorMessage="1" errorTitle="Ошибка" error="Допускается ввод не более 900 символов!" sqref="R32">
      <formula1>900</formula1>
    </dataValidation>
    <dataValidation allowBlank="1" showInputMessage="1" showErrorMessage="1"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32"/>
    <dataValidation type="textLength" operator="lessThanOrEqual" allowBlank="1" showInputMessage="1" showErrorMessage="1" errorTitle="Ошибка" error="Допускается ввод не более 900 символов!" sqref="J32">
      <formula1>900</formula1>
    </dataValidation>
    <dataValidation allowBlank="1" showInputMessage="1" showErrorMessage="1" prompt="Выберите виды деятельности, выполнив двойной щелчок левой кнопки мыши по ячейке." sqref="G32"/>
    <dataValidation allowBlank="1" showInputMessage="1" showErrorMessage="1" prompt="Для выбора выполните двойной щелчок левой клавиши мыши по соответствующей ячейке." sqref="F32"/>
    <dataValidation type="textLength" operator="lessThanOrEqual" allowBlank="1" showInputMessage="1" showErrorMessage="1" errorTitle="Ошибка" error="Допускается ввод не более 900 символов!" sqref="W31">
      <formula1>900</formula1>
    </dataValidation>
    <dataValidation type="textLength" operator="lessThanOrEqual" allowBlank="1" showInputMessage="1" showErrorMessage="1" errorTitle="Ошибка" error="Допускается ввод не более 900 символов!" sqref="V31">
      <formula1>900</formula1>
    </dataValidation>
    <dataValidation allowBlank="1" showInputMessage="1" showErrorMessage="1" prompt="Для выбора выполните двойной щелчок левой клавиши мыши по соответствующей ячейке." sqref="S31"/>
    <dataValidation type="textLength" operator="lessThanOrEqual" allowBlank="1" showInputMessage="1" showErrorMessage="1" errorTitle="Ошибка" error="Допускается ввод не более 900 символов!" sqref="R31">
      <formula1>900</formula1>
    </dataValidation>
    <dataValidation allowBlank="1" showInputMessage="1" showErrorMessage="1" prompt="Для выбора выполните двойной щелчок левой клавиши мыши по соответствующей ячейке." sqref="O31"/>
    <dataValidation allowBlank="1" showInputMessage="1" showErrorMessage="1"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31"/>
    <dataValidation allowBlank="1" showInputMessage="1" showErrorMessage="1" prompt="Для выбора выполните двойной щелчок левой клавиши мыши по соответствующей ячейке." sqref="K31"/>
    <dataValidation type="textLength" operator="lessThanOrEqual" allowBlank="1" showInputMessage="1" showErrorMessage="1" errorTitle="Ошибка" error="Допускается ввод не более 900 символов!" sqref="J31">
      <formula1>900</formula1>
    </dataValidation>
    <dataValidation allowBlank="1" showInputMessage="1" showErrorMessage="1" prompt="Выберите виды деятельности, выполнив двойной щелчок левой кнопки мыши по ячейке." sqref="G31"/>
    <dataValidation allowBlank="1" showInputMessage="1" showErrorMessage="1" prompt="Для выбора выполните двойной щелчок левой клавиши мыши по соответствующей ячейке." sqref="F31"/>
    <dataValidation allowBlank="1" showInputMessage="1" showErrorMessage="1" prompt="Выберите виды деятельности, выполнив двойной щелчок левой кнопки мыши по ячейке." sqref="G30"/>
    <dataValidation allowBlank="1" showInputMessage="1" showErrorMessage="1" prompt="Для выбора выполните двойной щелчок левой клавиши мыши по соответствующей ячейке." sqref="F30"/>
    <dataValidation allowBlank="1" showInputMessage="1" showErrorMessage="1"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29"/>
    <dataValidation allowBlank="1" showInputMessage="1" showErrorMessage="1" prompt="Выберите виды деятельности, выполнив двойной щелчок левой кнопки мыши по ячейке." sqref="G29"/>
    <dataValidation allowBlank="1" showInputMessage="1" showErrorMessage="1" prompt="Для выбора выполните двойной щелчок левой клавиши мыши по соответствующей ячейке." sqref="F29"/>
    <dataValidation allowBlank="1" showInputMessage="1" showErrorMessage="1" prompt="Для выбора выполните двойной щелчок левой клавиши мыши по соответствующей ячейке." sqref="S28"/>
    <dataValidation type="textLength" operator="lessThanOrEqual" allowBlank="1" showInputMessage="1" showErrorMessage="1" errorTitle="Ошибка" error="Допускается ввод не более 900 символов!" sqref="R28">
      <formula1>900</formula1>
    </dataValidation>
    <dataValidation allowBlank="1" showInputMessage="1" showErrorMessage="1"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28"/>
    <dataValidation type="textLength" operator="lessThanOrEqual" allowBlank="1" showInputMessage="1" showErrorMessage="1" errorTitle="Ошибка" error="Допускается ввод не более 900 символов!" sqref="J28">
      <formula1>900</formula1>
    </dataValidation>
    <dataValidation allowBlank="1" showInputMessage="1" showErrorMessage="1" prompt="Выберите виды деятельности, выполнив двойной щелчок левой кнопки мыши по ячейке." sqref="G28"/>
    <dataValidation allowBlank="1" showInputMessage="1" showErrorMessage="1" prompt="Для выбора выполните двойной щелчок левой клавиши мыши по соответствующей ячейке." sqref="F28"/>
    <dataValidation type="textLength" operator="lessThanOrEqual" allowBlank="1" showInputMessage="1" showErrorMessage="1" errorTitle="Ошибка" error="Допускается ввод не более 900 символов!" sqref="W27">
      <formula1>900</formula1>
    </dataValidation>
    <dataValidation type="textLength" operator="lessThanOrEqual" allowBlank="1" showInputMessage="1" showErrorMessage="1" errorTitle="Ошибка" error="Допускается ввод не более 900 символов!" sqref="V27">
      <formula1>900</formula1>
    </dataValidation>
    <dataValidation allowBlank="1" showInputMessage="1" showErrorMessage="1" prompt="Для выбора выполните двойной щелчок левой клавиши мыши по соответствующей ячейке." sqref="S27"/>
    <dataValidation type="textLength" operator="lessThanOrEqual" allowBlank="1" showInputMessage="1" showErrorMessage="1" errorTitle="Ошибка" error="Допускается ввод не более 900 символов!" sqref="R27">
      <formula1>900</formula1>
    </dataValidation>
    <dataValidation allowBlank="1" showInputMessage="1" showErrorMessage="1" prompt="Для выбора выполните двойной щелчок левой клавиши мыши по соответствующей ячейке." sqref="O27"/>
    <dataValidation allowBlank="1" showInputMessage="1" showErrorMessage="1"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27"/>
    <dataValidation allowBlank="1" showInputMessage="1" showErrorMessage="1" prompt="Для выбора выполните двойной щелчок левой клавиши мыши по соответствующей ячейке." sqref="K27"/>
    <dataValidation type="textLength" operator="lessThanOrEqual" allowBlank="1" showInputMessage="1" showErrorMessage="1" errorTitle="Ошибка" error="Допускается ввод не более 900 символов!" sqref="J27">
      <formula1>900</formula1>
    </dataValidation>
    <dataValidation allowBlank="1" showInputMessage="1" showErrorMessage="1" prompt="Выберите виды деятельности, выполнив двойной щелчок левой кнопки мыши по ячейке." sqref="G27"/>
    <dataValidation allowBlank="1" showInputMessage="1" showErrorMessage="1" prompt="Для выбора выполните двойной щелчок левой клавиши мыши по соответствующей ячейке." sqref="F27"/>
    <dataValidation allowBlank="1" showInputMessage="1" showErrorMessage="1"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25"/>
    <dataValidation allowBlank="1" showInputMessage="1" showErrorMessage="1" prompt="Выберите виды деятельности, выполнив двойной щелчок левой кнопки мыши по ячейке." sqref="G25"/>
    <dataValidation allowBlank="1" showInputMessage="1" showErrorMessage="1" prompt="Для выбора выполните двойной щелчок левой клавиши мыши по соответствующей ячейке." sqref="F25"/>
    <dataValidation allowBlank="1" showInputMessage="1" showErrorMessage="1" prompt="Для выбора выполните двойной щелчок левой клавиши мыши по соответствующей ячейке." sqref="S24"/>
    <dataValidation type="textLength" operator="lessThanOrEqual" allowBlank="1" showInputMessage="1" showErrorMessage="1" errorTitle="Ошибка" error="Допускается ввод не более 900 символов!" sqref="R24">
      <formula1>900</formula1>
    </dataValidation>
    <dataValidation allowBlank="1" showInputMessage="1" showErrorMessage="1"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24"/>
    <dataValidation type="textLength" operator="lessThanOrEqual" allowBlank="1" showInputMessage="1" showErrorMessage="1" errorTitle="Ошибка" error="Допускается ввод не более 900 символов!" sqref="J24">
      <formula1>900</formula1>
    </dataValidation>
    <dataValidation allowBlank="1" showInputMessage="1" showErrorMessage="1" prompt="Выберите виды деятельности, выполнив двойной щелчок левой кнопки мыши по ячейке." sqref="G24"/>
    <dataValidation allowBlank="1" showInputMessage="1" showErrorMessage="1" prompt="Для выбора выполните двойной щелчок левой клавиши мыши по соответствующей ячейке." sqref="F24"/>
    <dataValidation type="textLength" operator="lessThanOrEqual" allowBlank="1" showInputMessage="1" showErrorMessage="1" errorTitle="Ошибка" error="Допускается ввод не более 900 символов!" sqref="W23">
      <formula1>900</formula1>
    </dataValidation>
    <dataValidation type="textLength" operator="lessThanOrEqual" allowBlank="1" showInputMessage="1" showErrorMessage="1" errorTitle="Ошибка" error="Допускается ввод не более 900 символов!" sqref="V23">
      <formula1>900</formula1>
    </dataValidation>
    <dataValidation allowBlank="1" showInputMessage="1" showErrorMessage="1" prompt="Для выбора выполните двойной щелчок левой клавиши мыши по соответствующей ячейке." sqref="S23"/>
    <dataValidation type="textLength" operator="lessThanOrEqual" allowBlank="1" showInputMessage="1" showErrorMessage="1" errorTitle="Ошибка" error="Допускается ввод не более 900 символов!" sqref="R23">
      <formula1>900</formula1>
    </dataValidation>
    <dataValidation allowBlank="1" showInputMessage="1" showErrorMessage="1" prompt="Для выбора выполните двойной щелчок левой клавиши мыши по соответствующей ячейке." sqref="O23"/>
    <dataValidation allowBlank="1" showInputMessage="1" showErrorMessage="1"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23"/>
    <dataValidation allowBlank="1" showInputMessage="1" showErrorMessage="1" prompt="Для выбора выполните двойной щелчок левой клавиши мыши по соответствующей ячейке." sqref="K23"/>
    <dataValidation type="textLength" operator="lessThanOrEqual" allowBlank="1" showInputMessage="1" showErrorMessage="1" errorTitle="Ошибка" error="Допускается ввод не более 900 символов!" sqref="J23">
      <formula1>900</formula1>
    </dataValidation>
    <dataValidation allowBlank="1" showInputMessage="1" showErrorMessage="1" prompt="Выберите виды деятельности, выполнив двойной щелчок левой кнопки мыши по ячейке." sqref="G23"/>
    <dataValidation allowBlank="1" showInputMessage="1" showErrorMessage="1" prompt="Для выбора выполните двойной щелчок левой клавиши мыши по соответствующей ячейке." sqref="F23"/>
    <dataValidation allowBlank="1" showInputMessage="1" showErrorMessage="1"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18"/>
    <dataValidation allowBlank="1" showInputMessage="1" showErrorMessage="1" prompt="Выберите виды деятельности, выполнив двойной щелчок левой кнопки мыши по ячейке." sqref="G18"/>
    <dataValidation allowBlank="1" showInputMessage="1" showErrorMessage="1" prompt="Для выбора выполните двойной щелчок левой клавиши мыши по соответствующей ячейке." sqref="F18"/>
    <dataValidation allowBlank="1" showInputMessage="1" showErrorMessage="1" prompt="Для выбора выполните двойной щелчок левой клавиши мыши по соответствующей ячейке." sqref="S17"/>
    <dataValidation type="textLength" operator="lessThanOrEqual" allowBlank="1" showInputMessage="1" showErrorMessage="1" errorTitle="Ошибка" error="Допускается ввод не более 900 символов!" sqref="R17">
      <formula1>900</formula1>
    </dataValidation>
    <dataValidation allowBlank="1" showInputMessage="1" showErrorMessage="1"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17"/>
    <dataValidation type="textLength" operator="lessThanOrEqual" allowBlank="1" showInputMessage="1" showErrorMessage="1" errorTitle="Ошибка" error="Допускается ввод не более 900 символов!" sqref="J17">
      <formula1>900</formula1>
    </dataValidation>
    <dataValidation allowBlank="1" showInputMessage="1" showErrorMessage="1" prompt="Выберите виды деятельности, выполнив двойной щелчок левой кнопки мыши по ячейке." sqref="G17"/>
    <dataValidation allowBlank="1" showInputMessage="1" showErrorMessage="1" prompt="Для выбора выполните двойной щелчок левой клавиши мыши по соответствующей ячейке." sqref="F17"/>
    <dataValidation type="textLength" operator="lessThanOrEqual" allowBlank="1" showInputMessage="1" showErrorMessage="1" errorTitle="Ошибка" error="Допускается ввод не более 900 символов!" sqref="W16">
      <formula1>900</formula1>
    </dataValidation>
    <dataValidation type="textLength" operator="lessThanOrEqual" allowBlank="1" showInputMessage="1" showErrorMessage="1" errorTitle="Ошибка" error="Допускается ввод не более 900 символов!" sqref="V16">
      <formula1>900</formula1>
    </dataValidation>
    <dataValidation allowBlank="1" showInputMessage="1" showErrorMessage="1" prompt="Для выбора выполните двойной щелчок левой клавиши мыши по соответствующей ячейке." sqref="S16"/>
    <dataValidation type="textLength" operator="lessThanOrEqual" allowBlank="1" showInputMessage="1" showErrorMessage="1" errorTitle="Ошибка" error="Допускается ввод не более 900 символов!" sqref="R16">
      <formula1>900</formula1>
    </dataValidation>
    <dataValidation allowBlank="1" showInputMessage="1" showErrorMessage="1" prompt="Для выбора выполните двойной щелчок левой клавиши мыши по соответствующей ячейке." sqref="O16"/>
    <dataValidation allowBlank="1" showInputMessage="1" showErrorMessage="1"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16"/>
    <dataValidation allowBlank="1" showInputMessage="1" showErrorMessage="1" prompt="Для выбора выполните двойной щелчок левой клавиши мыши по соответствующей ячейке." sqref="K16"/>
    <dataValidation type="textLength" operator="lessThanOrEqual" allowBlank="1" showInputMessage="1" showErrorMessage="1" errorTitle="Ошибка" error="Допускается ввод не более 900 символов!" sqref="J16">
      <formula1>900</formula1>
    </dataValidation>
    <dataValidation allowBlank="1" showInputMessage="1" showErrorMessage="1" prompt="Выберите виды деятельности, выполнив двойной щелчок левой кнопки мыши по ячейке." sqref="G16"/>
    <dataValidation allowBlank="1" showInputMessage="1" showErrorMessage="1" prompt="Для выбора выполните двойной щелчок левой клавиши мыши по соответствующей ячейке." sqref="F16"/>
    <dataValidation allowBlank="1" showInputMessage="1" showErrorMessage="1" prompt="Выберите виды деятельности, выполнив двойной щелчок левой кнопки мыши по ячейке." sqref="G26"/>
    <dataValidation allowBlank="1" showInputMessage="1" showErrorMessage="1" prompt="Для выбора выполните двойной щелчок левой клавиши мыши по соответствующей ячейке." sqref="F26"/>
    <dataValidation allowBlank="1" showInputMessage="1" showErrorMessage="1"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22"/>
    <dataValidation allowBlank="1" showInputMessage="1" showErrorMessage="1" prompt="Выберите виды деятельности, выполнив двойной щелчок левой кнопки мыши по ячейке." sqref="G22"/>
    <dataValidation allowBlank="1" showInputMessage="1" showErrorMessage="1" prompt="Для выбора выполните двойной щелчок левой клавиши мыши по соответствующей ячейке." sqref="F22"/>
    <dataValidation allowBlank="1" showInputMessage="1" showErrorMessage="1" prompt="Для выбора выполните двойной щелчок левой клавиши мыши по соответствующей ячейке." sqref="S21"/>
    <dataValidation type="textLength" operator="lessThanOrEqual" allowBlank="1" showInputMessage="1" showErrorMessage="1" errorTitle="Ошибка" error="Допускается ввод не более 900 символов!" sqref="R21">
      <formula1>900</formula1>
    </dataValidation>
    <dataValidation allowBlank="1" showInputMessage="1" showErrorMessage="1"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21"/>
    <dataValidation type="textLength" operator="lessThanOrEqual" allowBlank="1" showInputMessage="1" showErrorMessage="1" errorTitle="Ошибка" error="Допускается ввод не более 900 символов!" sqref="J21">
      <formula1>900</formula1>
    </dataValidation>
    <dataValidation allowBlank="1" showInputMessage="1" showErrorMessage="1" prompt="Выберите виды деятельности, выполнив двойной щелчок левой кнопки мыши по ячейке." sqref="G21"/>
    <dataValidation allowBlank="1" showInputMessage="1" showErrorMessage="1" prompt="Для выбора выполните двойной щелчок левой клавиши мыши по соответствующей ячейке." sqref="F21"/>
    <dataValidation type="textLength" operator="lessThanOrEqual" allowBlank="1" showInputMessage="1" showErrorMessage="1" errorTitle="Ошибка" error="Допускается ввод не более 900 символов!" sqref="W20">
      <formula1>900</formula1>
    </dataValidation>
    <dataValidation type="textLength" operator="lessThanOrEqual" allowBlank="1" showInputMessage="1" showErrorMessage="1" errorTitle="Ошибка" error="Допускается ввод не более 900 символов!" sqref="V20">
      <formula1>900</formula1>
    </dataValidation>
    <dataValidation allowBlank="1" showInputMessage="1" showErrorMessage="1" prompt="Для выбора выполните двойной щелчок левой клавиши мыши по соответствующей ячейке." sqref="S20"/>
    <dataValidation type="textLength" operator="lessThanOrEqual" allowBlank="1" showInputMessage="1" showErrorMessage="1" errorTitle="Ошибка" error="Допускается ввод не более 900 символов!" sqref="R20">
      <formula1>900</formula1>
    </dataValidation>
    <dataValidation allowBlank="1" showInputMessage="1" showErrorMessage="1" prompt="Для выбора выполните двойной щелчок левой клавиши мыши по соответствующей ячейке." sqref="O20"/>
    <dataValidation allowBlank="1" showInputMessage="1" showErrorMessage="1"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20"/>
    <dataValidation allowBlank="1" showInputMessage="1" showErrorMessage="1" prompt="Для выбора выполните двойной щелчок левой клавиши мыши по соответствующей ячейке." sqref="K20"/>
    <dataValidation type="textLength" operator="lessThanOrEqual" allowBlank="1" showInputMessage="1" showErrorMessage="1" errorTitle="Ошибка" error="Допускается ввод не более 900 символов!" sqref="J20">
      <formula1>900</formula1>
    </dataValidation>
    <dataValidation allowBlank="1" showInputMessage="1" showErrorMessage="1" prompt="Выберите виды деятельности, выполнив двойной щелчок левой кнопки мыши по ячейке." sqref="G20"/>
    <dataValidation allowBlank="1" showInputMessage="1" showErrorMessage="1" prompt="Для выбора выполните двойной щелчок левой клавиши мыши по соответствующей ячейке." sqref="F20"/>
    <dataValidation allowBlank="1" showInputMessage="1" showErrorMessage="1"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15"/>
    <dataValidation allowBlank="1" showInputMessage="1" showErrorMessage="1" prompt="Для выбора выполните двойной щелчок левой клавиши мыши по соответствующей ячейке." sqref="S14"/>
    <dataValidation type="textLength" operator="lessThanOrEqual" allowBlank="1" showInputMessage="1" showErrorMessage="1" errorTitle="Ошибка" error="Допускается ввод не более 900 символов!" sqref="R14">
      <formula1>900</formula1>
    </dataValidation>
    <dataValidation allowBlank="1" showInputMessage="1" showErrorMessage="1"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14"/>
    <dataValidation type="textLength" operator="lessThanOrEqual" allowBlank="1" showInputMessage="1" showErrorMessage="1" errorTitle="Ошибка" error="Допускается ввод не более 900 символов!" sqref="J14">
      <formula1>900</formula1>
    </dataValidation>
    <dataValidation type="textLength" operator="lessThanOrEqual" allowBlank="1" showInputMessage="1" showErrorMessage="1" errorTitle="Ошибка" error="Допускается ввод не более 900 символов!" sqref="W13">
      <formula1>900</formula1>
    </dataValidation>
    <dataValidation type="textLength" operator="lessThanOrEqual" allowBlank="1" showInputMessage="1" showErrorMessage="1" errorTitle="Ошибка" error="Допускается ввод не более 900 символов!" sqref="V13">
      <formula1>900</formula1>
    </dataValidation>
    <dataValidation allowBlank="1" showInputMessage="1" showErrorMessage="1" prompt="Для выбора выполните двойной щелчок левой клавиши мыши по соответствующей ячейке." sqref="S13"/>
    <dataValidation type="textLength" operator="lessThanOrEqual" allowBlank="1" showInputMessage="1" showErrorMessage="1" errorTitle="Ошибка" error="Допускается ввод не более 900 символов!" sqref="R13">
      <formula1>900</formula1>
    </dataValidation>
    <dataValidation allowBlank="1" showInputMessage="1" showErrorMessage="1" prompt="Для выбора выполните двойной щелчок левой клавиши мыши по соответствующей ячейке." sqref="O13"/>
    <dataValidation allowBlank="1" showInputMessage="1" showErrorMessage="1"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13"/>
    <dataValidation allowBlank="1" showInputMessage="1" showErrorMessage="1" prompt="Для выбора выполните двойной щелчок левой клавиши мыши по соответствующей ячейке." sqref="K13"/>
    <dataValidation type="textLength" operator="lessThanOrEqual" allowBlank="1" showInputMessage="1" showErrorMessage="1" errorTitle="Ошибка" error="Допускается ввод не более 900 символов!" sqref="J13">
      <formula1>900</formula1>
    </dataValidation>
    <dataValidation type="list" allowBlank="1" showInputMessage="1" showErrorMessage="1" errorTitle="Ошибка" error="Выберите значение из списка" prompt="Выберите значение из списка" sqref="E52:E55 E71">
      <formula1>kind_of_tariff_RHEAT</formula1>
    </dataValidation>
    <dataValidation allowBlank="1" showInputMessage="1" showErrorMessage="1" prompt="Выберите виды деятельности, выполнив двойной щелчок левой кнопки мыши по ячейке." sqref="G190:G204 G206:G220 G164:G188 G13:G15 G19 G51:G55 G71:G79 G83 G91:G95 G116:G129 G136:G152"/>
    <dataValidation type="list" allowBlank="1" showInputMessage="1" showErrorMessage="1" errorTitle="Ошибка" error="Выберите значение из списка"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122:N124 N117:N119 N164:N166 N179:N181 N169:N171 N174:N176 N138:N140 N190:N192 N195:N197 N211:N213 N206:N208 N143:N145 N148:N150 N184:N186 N200:N202 N216:N218 N72:N74">
      <formula1>DESCRIPTION_TERRITORY</formula1>
    </dataValidation>
    <dataValidation type="textLength" operator="lessThanOrEqual" allowBlank="1" showInputMessage="1" showErrorMessage="1" errorTitle="Ошибка" error="Допускается ввод не более 900 символов!" sqref="J117:J118 J122:J123 R117:R118 R122:R123 V117:W117 V122:W122 J164:J165 R164:R165 V164:W164 J169:J170 R169:R170 V169:W169 J179:J180 R179:R180 V179:W179 J174:J175 R174:R175 V174:W174 J138:J139 R138:R139 V138:W138 J190:J191 R190:R191 V190:W190 J195:J196 R195:R196 V195:W195 J211:J212 R211:R212 V211:W211 J206:J207 R206:R207 V206:W206 J143:J144 R143:R144 V143:W143 J148:J149 R148:R149 V148:W148 J184:J185 R184:R185 V184:W184 J200:J201 R200:R201 V200:W200 J216:J217 R216:R217 V216:W216 J72:J73 R72:R73 V72:W72">
      <formula1>900</formula1>
    </dataValidation>
    <dataValidation allowBlank="1" showInputMessage="1" showErrorMessage="1" prompt="Для выбора выполните двойной щелчок левой клавиши мыши по соответствующей ячейке." sqref="K117:K118 K122:K123 O117:O118 O122:O123 S117:S118 S122:S123 K164:K165 O164:O165 S164:S165 K169:K170 O169:O170 S169:S170 K179:K180 O179:O180 S179:S180 K174:K175 O174:O175 S138:S139 S174:S175 K138:K139 O138:O139 O216:O217 O190:O191 S190:S191 O195:O196 S195:S196 K190:K191 K195:K196 S184:S185 K211:K212 O211:O212 K206:K207 O206:O207 S211:S212 O200:O201 S206:S207 O143:O144 S143:S144 K143:K144 K148:K149 O148:O149 S148:S149 F164:F188 K184:K185 O184:O185 F190:F204 S200:S201 K200:K201 F206:F220 S216:S217 K216:K217 F13:F15 F19 F51:F55 F71:F79 F83 F91:F95 F116:F129 F136:F152 K72:K73 O72:O73 S72:S73"/>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5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0D02DE1-0AC8-AAE6-95E8-373258C44CA8}" mc:Ignorable="x14ac xr xr2 xr3">
  <sheetPr>
    <tabColor theme="2" tint="-0.1"/>
  </sheetPr>
  <dimension ref="A1:V30"/>
  <sheetViews>
    <sheetView showGridLines="0" zoomScale="90" workbookViewId="0">
      <pane xSplit="8" ySplit="18" topLeftCell="I19" activePane="bottomRight" state="frozen"/>
      <selection pane="bottomLeft" activeCell="A19" sqref="A19"/>
      <selection pane="topRight" activeCell="I1" sqref="I1"/>
      <selection pane="bottomRight" activeCell="A1" sqref="A1"/>
    </sheetView>
  </sheetViews>
  <sheetFormatPr defaultColWidth="10.57421875" customHeight="1" defaultRowHeight="15"/>
  <cols>
    <col min="1" max="1" style="1633" width="9.140625" hidden="1" customWidth="1"/>
    <col min="2" max="2" style="1636" width="9.140625" hidden="1" customWidth="1"/>
    <col min="3" max="3" style="684" width="4.00390625" customWidth="1"/>
    <col min="4" max="4" style="1636" width="6.00390625" customWidth="1"/>
    <col min="5" max="5" style="1636" width="47.00390625" customWidth="1"/>
    <col min="6" max="6" style="1636" width="9.00390625" customWidth="1"/>
    <col min="7" max="7" style="1636" width="25.7109375" hidden="1" customWidth="1"/>
    <col min="8" max="8" style="1636" width="34.00390625" hidden="1" customWidth="1"/>
    <col min="9" max="9" style="1636" width="25.7109375" customWidth="1"/>
    <col min="10" max="10" style="1636" width="33.00390625" customWidth="1"/>
    <col min="11" max="11" style="1367" width="50.00390625" customWidth="1"/>
    <col min="12" max="20" style="1636" width="10.00390625" customWidth="1"/>
    <col min="21" max="21" style="676" width="10.00390625" customWidth="1"/>
    <col min="22" max="22" style="1636" width="10.57421875" hidden="1"/>
  </cols>
  <sheetData>
    <row s="1367" customFormat="1" customHeight="1" ht="22.5" hidden="1">
      <c r="C1" s="673"/>
      <c r="G1" s="418">
        <v>4</v>
      </c>
      <c r="I1" s="418">
        <v>4</v>
      </c>
      <c r="U1" s="421"/>
      <c r="V1" s="418" t="s">
        <v>14</v>
      </c>
    </row>
    <row s="1636" customFormat="1" customHeight="1" ht="15" hidden="1">
      <c r="A2" s="363"/>
      <c r="C2" s="177"/>
      <c r="D2" s="347"/>
      <c r="E2" s="674"/>
      <c r="F2" s="523"/>
      <c r="G2" s="617"/>
      <c r="H2" s="617"/>
      <c r="I2" s="617"/>
      <c r="J2" s="617"/>
      <c r="U2" s="675"/>
      <c r="V2" s="510">
        <v>0</v>
      </c>
    </row>
    <row s="1367" customFormat="1" customHeight="1" ht="15" hidden="1">
      <c r="C3" s="673"/>
      <c r="U3" s="421"/>
      <c r="V3" s="418">
        <v>0</v>
      </c>
    </row>
    <row customHeight="1" ht="15.75">
      <c r="C4" s="177"/>
      <c r="D4" s="510"/>
      <c r="E4" s="510"/>
      <c r="F4" s="510"/>
      <c r="G4" s="510"/>
      <c r="H4" s="510"/>
      <c r="I4" s="510"/>
      <c r="J4" s="510"/>
      <c r="V4" s="506">
        <v>15</v>
      </c>
    </row>
    <row customHeight="1" ht="66">
      <c r="C5" s="177"/>
      <c r="D5" s="2238" t="s">
        <v>1294</v>
      </c>
      <c r="E5" s="2238"/>
      <c r="F5" s="2238"/>
      <c r="G5" s="2238"/>
      <c r="H5" s="2238"/>
      <c r="I5" s="2238"/>
      <c r="J5" s="2238"/>
      <c r="V5" s="506">
        <v>63</v>
      </c>
    </row>
    <row customHeight="1" ht="15.75">
      <c r="C6" s="177"/>
      <c r="D6" s="2177" t="str">
        <f>IF(org=0,"Не определено",org)</f>
        <v>ПАО "ТГК-1" (филиал "Кольский")</v>
      </c>
      <c r="E6" s="2177"/>
      <c r="F6" s="2177"/>
      <c r="G6" s="2177"/>
      <c r="H6" s="2177"/>
      <c r="I6" s="2177"/>
      <c r="J6" s="2177"/>
      <c r="K6" s="538"/>
      <c r="V6" s="506">
        <v>15</v>
      </c>
    </row>
    <row customHeight="1" ht="15.75">
      <c r="C7" s="177"/>
      <c r="D7" s="753"/>
      <c r="E7" s="510"/>
      <c r="F7" s="510"/>
      <c r="G7" s="538">
        <v>22</v>
      </c>
      <c r="I7" s="538">
        <v>1</v>
      </c>
      <c r="J7" s="753"/>
      <c r="V7" s="506">
        <v>15</v>
      </c>
    </row>
    <row s="1636" customFormat="1" customHeight="1" ht="1.05">
      <c r="A8" s="760"/>
      <c r="C8" s="177"/>
      <c r="D8" s="510"/>
      <c r="E8" s="510"/>
      <c r="F8" s="510"/>
      <c r="G8" s="538"/>
      <c r="H8" s="753"/>
      <c r="I8" s="538" t="s">
        <v>130</v>
      </c>
      <c r="J8" s="753"/>
      <c r="K8" s="418"/>
      <c r="U8" s="676"/>
      <c r="V8" s="759">
        <v>1</v>
      </c>
    </row>
    <row customHeight="1" ht="15.75">
      <c r="C9" s="177"/>
      <c r="D9" s="712"/>
      <c r="E9" s="2368" t="s">
        <v>119</v>
      </c>
      <c r="F9" s="2369"/>
      <c r="G9" s="2396" t="str">
        <f>IF(G8="","",INDEX(DIFFERENTIATION_UNMERGE_VD,MATCH(G8,DIFFERENTIATION_ID_DIFF,0)))</f>
        <v/>
      </c>
      <c r="H9" s="2397"/>
      <c r="I9" s="2396">
        <f>IF(I8="","",INDEX(DIFFERENTIATION_UNMERGE_VD,MATCH(I8,DIFFERENTIATION_ID_DIFF,0)))</f>
        <v>0</v>
      </c>
      <c r="J9" s="2397"/>
      <c r="K9" s="2176" t="s">
        <v>431</v>
      </c>
      <c r="V9" s="506">
        <v>15</v>
      </c>
    </row>
    <row s="1636" customFormat="1" customHeight="1" ht="15.75">
      <c r="A10" s="760"/>
      <c r="C10" s="177"/>
      <c r="D10" s="712"/>
      <c r="E10" s="2368" t="s">
        <v>695</v>
      </c>
      <c r="F10" s="2369"/>
      <c r="G10" s="2396" t="str">
        <f>IF(G8="","",INDEX(DIFFERENTIATION_UNMERGE_AREA,MATCH(G8,DIFFERENTIATION_ID_DIFF,0)))</f>
        <v/>
      </c>
      <c r="H10" s="2397"/>
      <c r="I10" s="2396" t="str">
        <f>IF(I8="","",INDEX(DIFFERENTIATION_UNMERGE_AREA,MATCH(I8,DIFFERENTIATION_ID_DIFF,0)))</f>
        <v/>
      </c>
      <c r="J10" s="2397"/>
      <c r="K10" s="2200"/>
      <c r="U10" s="676"/>
      <c r="V10" s="759">
        <v>15</v>
      </c>
    </row>
    <row s="1636" customFormat="1" customHeight="1" ht="15.75">
      <c r="A11" s="760"/>
      <c r="C11" s="177"/>
      <c r="D11" s="712"/>
      <c r="E11" s="2368" t="s">
        <v>696</v>
      </c>
      <c r="F11" s="2369"/>
      <c r="G11" s="2396" t="str">
        <f>IF(G8="","",INDEX(DIFFERENTIATION_UNMERGE_SYSTEM,MATCH(G8,DIFFERENTIATION_ID_DIFF,0)))</f>
        <v/>
      </c>
      <c r="H11" s="2397"/>
      <c r="I11" s="2396" t="str">
        <f>IF(I8="","",INDEX(DIFFERENTIATION_UNMERGE_SYSTEM,MATCH(I8,DIFFERENTIATION_ID_DIFF,0)))</f>
        <v>без дифференциации</v>
      </c>
      <c r="J11" s="2397"/>
      <c r="K11" s="2200"/>
      <c r="U11" s="676"/>
      <c r="V11" s="759">
        <v>15</v>
      </c>
    </row>
    <row s="1636" customFormat="1" customHeight="1" ht="15.75">
      <c r="A12" s="760"/>
      <c r="C12" s="177"/>
      <c r="D12" s="2370" t="s">
        <v>430</v>
      </c>
      <c r="E12" s="2371"/>
      <c r="F12" s="2371"/>
      <c r="G12" s="888"/>
      <c r="H12" s="888"/>
      <c r="I12" s="888"/>
      <c r="J12" s="888"/>
      <c r="K12" s="2200"/>
      <c r="U12" s="676"/>
      <c r="V12" s="759">
        <v>15</v>
      </c>
    </row>
    <row customHeight="1" ht="35.699999999999996">
      <c r="C13" s="177"/>
      <c r="D13" s="806" t="s">
        <v>92</v>
      </c>
      <c r="E13" s="808" t="s">
        <v>432</v>
      </c>
      <c r="F13" s="808" t="s">
        <v>697</v>
      </c>
      <c r="G13" s="809" t="s">
        <v>433</v>
      </c>
      <c r="H13" s="808" t="s">
        <v>520</v>
      </c>
      <c r="I13" s="809" t="s">
        <v>433</v>
      </c>
      <c r="J13" s="808" t="s">
        <v>520</v>
      </c>
      <c r="K13" s="2233"/>
      <c r="V13" s="506">
        <v>34</v>
      </c>
    </row>
    <row customHeight="1" ht="15" hidden="1">
      <c r="C14" s="177"/>
      <c r="D14" s="594" t="s">
        <v>123</v>
      </c>
      <c r="E14" s="594" t="s">
        <v>107</v>
      </c>
      <c r="F14" s="594" t="s">
        <v>94</v>
      </c>
      <c r="G14" s="660" t="str">
        <f>G1&amp;".1"</f>
        <v>4.1</v>
      </c>
      <c r="H14" s="660"/>
      <c r="I14" s="660" t="str">
        <f>I1&amp;".1"</f>
        <v>4.1</v>
      </c>
      <c r="J14" s="660"/>
      <c r="K14" s="290"/>
      <c r="V14" s="506">
        <v>0</v>
      </c>
    </row>
    <row customHeight="1" ht="22.5" hidden="1">
      <c r="A15" s="506"/>
      <c r="C15" s="527"/>
      <c r="D15" s="522">
        <v>1</v>
      </c>
      <c r="E15" s="678" t="s">
        <v>939</v>
      </c>
      <c r="F15" s="522" t="s">
        <v>940</v>
      </c>
      <c r="G15" s="679"/>
      <c r="H15" s="679"/>
      <c r="I15" s="679"/>
      <c r="J15" s="679"/>
      <c r="K15" s="290" t="s">
        <v>941</v>
      </c>
      <c r="V15" s="506">
        <v>0</v>
      </c>
    </row>
    <row customHeight="1" ht="22.5" hidden="1">
      <c r="A16" s="506"/>
      <c r="C16" s="527"/>
      <c r="D16" s="522">
        <v>2</v>
      </c>
      <c r="E16" s="280" t="s">
        <v>942</v>
      </c>
      <c r="F16" s="522" t="s">
        <v>943</v>
      </c>
      <c r="G16" s="679"/>
      <c r="H16" s="679"/>
      <c r="I16" s="679"/>
      <c r="J16" s="679"/>
      <c r="K16" s="290" t="s">
        <v>944</v>
      </c>
      <c r="V16" s="506">
        <v>0</v>
      </c>
    </row>
    <row customHeight="1" ht="123.75" hidden="1">
      <c r="A17" s="506"/>
      <c r="C17" s="527"/>
      <c r="D17" s="522">
        <v>3</v>
      </c>
      <c r="E17" s="280" t="s">
        <v>1295</v>
      </c>
      <c r="F17" s="522" t="s">
        <v>436</v>
      </c>
      <c r="G17" s="679"/>
      <c r="H17" s="679"/>
      <c r="I17" s="679"/>
      <c r="J17" s="679"/>
      <c r="K17" s="290" t="s">
        <v>1296</v>
      </c>
      <c r="V17" s="506">
        <v>0</v>
      </c>
    </row>
    <row customHeight="1" ht="48.29999999999999">
      <c r="A18" s="506"/>
      <c r="C18" s="527"/>
      <c r="D18" s="522">
        <v>3</v>
      </c>
      <c r="E18" s="280" t="s">
        <v>945</v>
      </c>
      <c r="F18" s="522" t="s">
        <v>436</v>
      </c>
      <c r="G18" s="810" t="s">
        <v>436</v>
      </c>
      <c r="H18" s="811" t="s">
        <v>436</v>
      </c>
      <c r="I18" s="522" t="s">
        <v>436</v>
      </c>
      <c r="J18" s="579" t="s">
        <v>436</v>
      </c>
      <c r="K18" s="290" t="s">
        <v>1297</v>
      </c>
      <c r="V18" s="506">
        <v>46</v>
      </c>
    </row>
    <row customHeight="1" ht="35.699999999999996">
      <c r="A19" s="506"/>
      <c r="C19" s="527"/>
      <c r="D19" s="540" t="s">
        <v>454</v>
      </c>
      <c r="E19" s="560" t="s">
        <v>947</v>
      </c>
      <c r="F19" s="522" t="s">
        <v>948</v>
      </c>
      <c r="G19" s="818"/>
      <c r="H19" s="107"/>
      <c r="I19" s="818"/>
      <c r="J19" s="819"/>
      <c r="K19" s="680"/>
      <c r="V19" s="506">
        <v>34</v>
      </c>
    </row>
    <row customHeight="1" ht="35.699999999999996">
      <c r="A20" s="506"/>
      <c r="C20" s="527"/>
      <c r="D20" s="1891" t="s">
        <v>462</v>
      </c>
      <c r="E20" s="560" t="s">
        <v>949</v>
      </c>
      <c r="F20" s="522" t="s">
        <v>950</v>
      </c>
      <c r="G20" s="818"/>
      <c r="H20" s="107"/>
      <c r="I20" s="818"/>
      <c r="J20" s="107"/>
      <c r="K20" s="680"/>
      <c r="V20" s="506">
        <v>34</v>
      </c>
    </row>
    <row customHeight="1" ht="48.29999999999999">
      <c r="A21" s="506"/>
      <c r="C21" s="527"/>
      <c r="D21" s="1891" t="s">
        <v>464</v>
      </c>
      <c r="E21" s="560" t="s">
        <v>951</v>
      </c>
      <c r="F21" s="522" t="s">
        <v>702</v>
      </c>
      <c r="G21" s="681"/>
      <c r="H21" s="107"/>
      <c r="I21" s="681"/>
      <c r="J21" s="107"/>
      <c r="K21" s="680"/>
      <c r="V21" s="506">
        <v>46</v>
      </c>
    </row>
    <row customHeight="1" ht="67.5" hidden="1">
      <c r="A22" s="506"/>
      <c r="C22" s="527"/>
      <c r="D22" s="522">
        <v>5</v>
      </c>
      <c r="E22" s="280" t="s">
        <v>1298</v>
      </c>
      <c r="F22" s="522" t="s">
        <v>689</v>
      </c>
      <c r="G22" s="682"/>
      <c r="H22" s="683"/>
      <c r="I22" s="682"/>
      <c r="J22" s="683"/>
      <c r="K22" s="290" t="s">
        <v>1299</v>
      </c>
      <c r="V22" s="506">
        <v>0</v>
      </c>
    </row>
    <row customHeight="1" ht="33.75" hidden="1">
      <c r="C23" s="452"/>
      <c r="D23" s="522">
        <v>6</v>
      </c>
      <c r="E23" s="280" t="s">
        <v>1300</v>
      </c>
      <c r="F23" s="522" t="s">
        <v>1301</v>
      </c>
      <c r="G23" s="682"/>
      <c r="H23" s="682"/>
      <c r="I23" s="682"/>
      <c r="J23" s="682"/>
      <c r="K23" s="290" t="s">
        <v>1302</v>
      </c>
      <c r="V23" s="506">
        <v>0</v>
      </c>
    </row>
    <row customHeight="1" ht="15.75">
      <c r="V24" s="506">
        <v>15</v>
      </c>
    </row>
    <row customHeight="1" ht="15.75">
      <c r="V25" s="506">
        <v>15</v>
      </c>
    </row>
    <row customHeight="1" ht="15.75">
      <c r="V26" s="506">
        <v>15</v>
      </c>
    </row>
    <row customHeight="1" ht="15.75">
      <c r="V27" s="506">
        <v>15</v>
      </c>
    </row>
    <row customHeight="1" ht="15.75">
      <c r="V28" s="506">
        <v>15</v>
      </c>
    </row>
    <row customHeight="1" ht="15.75">
      <c r="J29" s="820"/>
      <c r="V29" s="506">
        <v>15</v>
      </c>
    </row>
    <row customHeight="1" ht="22.5" hidden="1">
      <c r="A30" s="450" t="s">
        <v>86</v>
      </c>
      <c r="B30" s="506">
        <v>0</v>
      </c>
      <c r="C30" s="684">
        <v>4</v>
      </c>
      <c r="D30" s="506">
        <v>6</v>
      </c>
      <c r="E30" s="506">
        <v>47</v>
      </c>
      <c r="F30" s="506">
        <v>9</v>
      </c>
      <c r="G30" s="759">
        <v>0</v>
      </c>
      <c r="H30" s="759">
        <v>0</v>
      </c>
      <c r="I30" s="506">
        <v>25</v>
      </c>
      <c r="J30" s="506">
        <v>33</v>
      </c>
      <c r="K30" s="418">
        <v>50</v>
      </c>
      <c r="L30" s="506">
        <v>10</v>
      </c>
      <c r="M30" s="506">
        <v>10</v>
      </c>
      <c r="N30" s="506">
        <v>10</v>
      </c>
      <c r="O30" s="506">
        <v>10</v>
      </c>
      <c r="P30" s="506">
        <v>10</v>
      </c>
      <c r="Q30" s="506">
        <v>10</v>
      </c>
      <c r="R30" s="506">
        <v>10</v>
      </c>
      <c r="S30" s="506">
        <v>10</v>
      </c>
      <c r="T30" s="506">
        <v>10</v>
      </c>
      <c r="U30" s="676">
        <v>10</v>
      </c>
      <c r="V30" s="506">
        <v>23</v>
      </c>
    </row>
  </sheetData>
  <sheetProtection formatColumns="0" formatRows="0" autoFilter="0" sort="0" insertRows="0" insertColumns="1" deleteRows="0" deleteColumns="0"/>
  <mergeCells count="13">
    <mergeCell ref="D5:J5"/>
    <mergeCell ref="D6:J6"/>
    <mergeCell ref="K9:K13"/>
    <mergeCell ref="I9:J9"/>
    <mergeCell ref="E9:F9"/>
    <mergeCell ref="E10:F10"/>
    <mergeCell ref="E11:F11"/>
    <mergeCell ref="I10:J10"/>
    <mergeCell ref="I11:J11"/>
    <mergeCell ref="G9:H9"/>
    <mergeCell ref="G10:H10"/>
    <mergeCell ref="G11:H11"/>
    <mergeCell ref="D12:F12"/>
  </mergeCells>
  <dataValidations count="4">
    <dataValidation type="decimal" allowBlank="1" showErrorMessage="1" errorTitle="Ошибка" error="Допускается ввод только неотрицательных чисел!" sqref="G21 I21">
      <formula1>0</formula1>
      <formula2>9.99999999999999E+23</formula2>
    </dataValidation>
    <dataValidation allowBlank="1" showInputMessage="1" showErrorMessage="1" prompt="Количество поданных заявок на подключение (технологическое присоединение) к системе теплоснабжения в течение квартала, шт." sqref="E15 E13"/>
    <dataValidation type="whole" allowBlank="1" showErrorMessage="1" errorTitle="Ошибка" error="Допускается ввод только неотрицательных целых чисел!" sqref="G19:G20 I19:I20">
      <formula1>0</formula1>
      <formula2>9.99999999999999E+23</formula2>
    </dataValidation>
    <dataValidation type="textLength" operator="lessThanOrEqual" allowBlank="1" showInputMessage="1" showErrorMessage="1" errorTitle="Ошибка" error="Допускается ввод не более 900 символов!" sqref="H19:H21 J19:J21">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51.xml><?xml version="1.0" encoding="utf-8"?>
<worksheet xmlns="http://schemas.openxmlformats.org/spreadsheetml/2006/main" xmlns:r="http://schemas.openxmlformats.org/officeDocument/2006/relationships" xmlns:mc="http://schemas.openxmlformats.org/markup-compatibility/2006" xmlns:xdr="http://schemas.openxmlformats.org/drawingml/2006/spreadsheetDrawing" xmlns:x14ac="http://schemas.microsoft.com/office/spreadsheetml/2009/9/ac" xmlns:xr="http://schemas.microsoft.com/office/spreadsheetml/2014/revision" xmlns:xr2="http://schemas.microsoft.com/office/spreadsheetml/2015/revision2" xmlns:xr3="http://schemas.microsoft.com/office/spreadsheetml/2016/revision3" xr:uid="{7155A77A-4BA8-37B8-5278-C96EFAE69068}" mc:Ignorable="x14ac xr xr2 xr3">
  <sheetPr>
    <tabColor rgb="FFFFCC99"/>
  </sheetPr>
  <dimension ref="A1:EL118"/>
  <sheetViews>
    <sheetView topLeftCell="A1" showGridLines="0" workbookViewId="0">
      <selection activeCell="A1" sqref="A1"/>
    </sheetView>
  </sheetViews>
  <sheetFormatPr defaultColWidth="9.140625" customHeight="1" defaultRowHeight="11.25"/>
  <cols>
    <col min="1" max="1" style="1203" width="32.57421875" customWidth="1"/>
    <col min="2" max="2" style="1851" width="11.00390625" customWidth="1"/>
    <col min="3" max="3" style="1851" width="9.140625"/>
    <col min="4" max="4" style="1851" width="26.57421875" customWidth="1"/>
    <col min="5" max="5" style="1824" width="36.8515625" customWidth="1"/>
    <col min="6" max="6" style="1824" width="23.57421875" customWidth="1"/>
    <col min="7" max="7" style="1824" width="31.421875" customWidth="1"/>
    <col min="8" max="8" style="1824" width="40.8515625" customWidth="1"/>
    <col min="9" max="9" style="1824" width="14.57421875" customWidth="1"/>
    <col min="10" max="10" style="1824" width="26.8515625" customWidth="1"/>
    <col min="11" max="11" style="1824" width="50.00390625" customWidth="1"/>
    <col min="12" max="12" style="1824" width="52.421875" customWidth="1"/>
    <col min="13" max="13" style="1824" width="10.7109375" customWidth="1"/>
    <col min="14" max="14" style="1824" width="55.140625" customWidth="1"/>
    <col min="15" max="15" style="1824" width="31.8515625" customWidth="1"/>
    <col min="16" max="16" style="1824" width="23.8515625" customWidth="1"/>
    <col min="17" max="17" style="1824" width="46.57421875" customWidth="1"/>
    <col min="18" max="18" style="1824" width="24.00390625" customWidth="1"/>
    <col min="19" max="19" style="1824" width="20.57421875" customWidth="1"/>
    <col min="20" max="20" style="1824" width="22.00390625" customWidth="1"/>
    <col min="21" max="22" style="1824" width="26.421875" customWidth="1"/>
    <col min="23" max="23" style="1824" width="8.28125" hidden="1" customWidth="1"/>
    <col min="24" max="24" style="1824" width="59.7109375" customWidth="1"/>
    <col min="25" max="25" style="1824" width="49.140625" customWidth="1"/>
    <col min="26" max="26" style="1824" width="11.140625" customWidth="1"/>
    <col min="27" max="30" style="1824" width="29.00390625" customWidth="1"/>
    <col min="31" max="31" style="1824" width="9.140625"/>
    <col min="32" max="32" style="1824" width="34.7109375" customWidth="1"/>
    <col min="33" max="33" style="1824" width="9.140625"/>
    <col min="34" max="35" style="1824" width="34.421875" customWidth="1"/>
    <col min="36" max="36" style="1824" width="9.140625"/>
    <col min="37" max="37" style="1824" width="24.57421875" customWidth="1"/>
    <col min="38" max="38" style="1824" width="9.140625"/>
    <col min="39" max="39" style="1824" width="26.140625" customWidth="1"/>
    <col min="40" max="40" style="1824" width="1.7109375" customWidth="1"/>
    <col min="41" max="41" style="1824" width="9.140625"/>
    <col min="42" max="43" style="1824" width="47.8515625" customWidth="1"/>
    <col min="44" max="44" style="1824" width="1.7109375" customWidth="1"/>
    <col min="45" max="45" style="1824" width="21.421875" customWidth="1"/>
    <col min="46" max="46" style="1824" width="1.7109375" customWidth="1"/>
    <col min="47" max="47" style="1824" width="31.28125" customWidth="1"/>
    <col min="48" max="48" style="1824" width="1.7109375" customWidth="1"/>
    <col min="49" max="50" style="1824" width="9.140625"/>
    <col min="51" max="51" style="1824" width="3.7109375" customWidth="1"/>
    <col min="52" max="52" style="1824" width="60.8515625" customWidth="1"/>
    <col min="53" max="53" style="1824" width="49.28125" customWidth="1"/>
    <col min="54" max="54" style="1824" width="35.140625" customWidth="1"/>
    <col min="55" max="55" style="1824" width="9.140625"/>
    <col min="56" max="56" style="1824" width="1.7109375" customWidth="1"/>
    <col min="57" max="57" style="1067" width="12.57421875" customWidth="1"/>
    <col min="58" max="58" style="1067" width="14.28125" customWidth="1"/>
    <col min="59" max="59" style="1824" width="30.7109375" customWidth="1"/>
    <col min="60" max="60" style="1841" width="40.7109375" customWidth="1"/>
    <col min="61" max="61" style="1841" width="15.00390625" customWidth="1"/>
    <col min="62" max="62" style="1841" width="40.7109375" customWidth="1"/>
    <col min="63" max="63" style="1841" width="2.7109375" customWidth="1"/>
    <col min="64" max="64" style="1841" width="44.7109375" customWidth="1"/>
    <col min="65" max="65" style="1841" width="2.7109375" customWidth="1"/>
    <col min="66" max="66" style="1841" width="40.7109375" customWidth="1"/>
    <col min="67" max="68" style="1824" width="9.140625"/>
    <col min="69" max="69" style="1824" width="18.140625" customWidth="1"/>
    <col min="70" max="70" style="1824" width="57.8515625" customWidth="1"/>
    <col min="71" max="71" style="1824" width="1.7109375" customWidth="1"/>
    <col min="72" max="72" style="1824" width="22.57421875" customWidth="1"/>
    <col min="73" max="73" style="1824" width="57.8515625" customWidth="1"/>
    <col min="74" max="74" style="1824" width="1.7109375" customWidth="1"/>
    <col min="75" max="75" style="1824" width="22.57421875" customWidth="1"/>
    <col min="76" max="76" style="1824" width="57.8515625" customWidth="1"/>
    <col min="77" max="77" style="1824" width="1.7109375" customWidth="1"/>
    <col min="78" max="78" style="1824" width="22.57421875" customWidth="1"/>
    <col min="79" max="79" style="1824" width="57.8515625" customWidth="1"/>
    <col min="80" max="81" style="1824" width="9.140625"/>
    <col min="82" max="82" style="1824" width="49.57421875" customWidth="1"/>
  </cols>
  <sheetData>
    <row s="1428" customFormat="1" customHeight="1" ht="11.25">
      <c r="A1" s="1068" t="s">
        <v>1303</v>
      </c>
      <c r="B1" s="1068" t="s">
        <v>1304</v>
      </c>
      <c r="C1" s="1068" t="s">
        <v>1305</v>
      </c>
      <c r="D1" s="1068" t="s">
        <v>1306</v>
      </c>
      <c r="E1" s="1068" t="s">
        <v>1307</v>
      </c>
      <c r="F1" s="1068" t="s">
        <v>1308</v>
      </c>
      <c r="G1" s="1068" t="s">
        <v>1309</v>
      </c>
      <c r="H1" s="1068" t="s">
        <v>1310</v>
      </c>
      <c r="I1" s="1068" t="s">
        <v>1311</v>
      </c>
      <c r="J1" s="1068" t="s">
        <v>1312</v>
      </c>
      <c r="K1" s="1068" t="s">
        <v>1313</v>
      </c>
      <c r="L1" s="1068" t="s">
        <v>1314</v>
      </c>
      <c r="M1" s="1068"/>
      <c r="N1" s="1068" t="s">
        <v>1315</v>
      </c>
      <c r="O1" s="1068" t="s">
        <v>1316</v>
      </c>
      <c r="P1" s="1068" t="s">
        <v>1317</v>
      </c>
      <c r="Q1" s="1068" t="s">
        <v>1318</v>
      </c>
      <c r="R1" s="1068" t="s">
        <v>1319</v>
      </c>
      <c r="S1" s="1068" t="s">
        <v>1320</v>
      </c>
      <c r="T1" s="1068" t="s">
        <v>1321</v>
      </c>
      <c r="U1" s="1068" t="s">
        <v>1322</v>
      </c>
      <c r="V1" s="1068"/>
      <c r="W1" s="798" t="s">
        <v>1323</v>
      </c>
      <c r="X1" s="1068" t="s">
        <v>1324</v>
      </c>
      <c r="Y1" s="1068" t="s">
        <v>1325</v>
      </c>
      <c r="Z1" s="1068"/>
      <c r="AA1" s="1068" t="s">
        <v>1326</v>
      </c>
      <c r="AB1" s="1068"/>
      <c r="AC1" s="1068" t="s">
        <v>1327</v>
      </c>
      <c r="AD1" s="1068"/>
      <c r="AF1" s="1068" t="s">
        <v>1328</v>
      </c>
      <c r="AH1" s="1068" t="s">
        <v>1329</v>
      </c>
      <c r="AI1" s="1068" t="s">
        <v>1330</v>
      </c>
      <c r="AK1" s="1068" t="s">
        <v>1331</v>
      </c>
      <c r="AM1" s="1068" t="s">
        <v>1332</v>
      </c>
      <c r="AP1" s="1068" t="s">
        <v>1333</v>
      </c>
      <c r="AQ1" s="1068" t="s">
        <v>1334</v>
      </c>
      <c r="AS1" s="1068" t="s">
        <v>1335</v>
      </c>
      <c r="AU1" s="1068" t="s">
        <v>1336</v>
      </c>
      <c r="AW1" s="1068" t="s">
        <v>1337</v>
      </c>
      <c r="AX1" s="1068" t="s">
        <v>1338</v>
      </c>
      <c r="AZ1" s="1153" t="s">
        <v>1339</v>
      </c>
      <c r="BB1" s="1068" t="s">
        <v>1340</v>
      </c>
      <c r="BC1" s="1068"/>
      <c r="BE1" s="1068" t="s">
        <v>1341</v>
      </c>
      <c r="BF1" s="1068" t="s">
        <v>1342</v>
      </c>
      <c r="BH1" s="1070" t="s">
        <v>938</v>
      </c>
      <c r="BI1" s="1071"/>
      <c r="BJ1" s="1072" t="s">
        <v>1343</v>
      </c>
      <c r="BK1" s="1071"/>
      <c r="BL1" s="1073" t="s">
        <v>1037</v>
      </c>
      <c r="BM1" s="1071"/>
      <c r="BN1" s="1074" t="s">
        <v>1344</v>
      </c>
      <c r="BS1" s="1428"/>
    </row>
    <row customHeight="1" ht="11.25">
      <c r="A2" s="1075" t="s">
        <v>1345</v>
      </c>
      <c r="B2" s="1076">
        <v>2000</v>
      </c>
      <c r="C2" s="1076">
        <v>2022</v>
      </c>
      <c r="D2" s="1076" t="s">
        <v>65</v>
      </c>
      <c r="E2" s="1077" t="s">
        <v>1346</v>
      </c>
      <c r="F2" s="1077" t="s">
        <v>1347</v>
      </c>
      <c r="G2" s="1077" t="s">
        <v>1348</v>
      </c>
      <c r="H2" s="1078" t="s">
        <v>59</v>
      </c>
      <c r="I2" s="1077" t="s">
        <v>123</v>
      </c>
      <c r="J2" s="1077" t="s">
        <v>1349</v>
      </c>
      <c r="K2" s="1079" t="s">
        <v>1350</v>
      </c>
      <c r="L2" s="1080"/>
      <c r="M2" s="1079">
        <v>1</v>
      </c>
      <c r="N2" s="1163" t="s">
        <v>1351</v>
      </c>
      <c r="O2" s="1078" t="s">
        <v>577</v>
      </c>
      <c r="P2" s="1081" t="s">
        <v>1352</v>
      </c>
      <c r="Q2" s="1082" t="s">
        <v>576</v>
      </c>
      <c r="R2" s="144" t="s">
        <v>1353</v>
      </c>
      <c r="S2" s="144" t="s">
        <v>1354</v>
      </c>
      <c r="T2" s="1083" t="s">
        <v>1355</v>
      </c>
      <c r="U2" s="1080" t="s">
        <v>1356</v>
      </c>
      <c r="V2" s="1084">
        <v>1</v>
      </c>
      <c r="W2" s="1085"/>
      <c r="X2" s="1085" t="s">
        <v>1357</v>
      </c>
      <c r="Y2" s="1076" t="s">
        <v>1358</v>
      </c>
      <c r="Z2" s="1086"/>
      <c r="AA2" s="1076" t="s">
        <v>1359</v>
      </c>
      <c r="AB2" s="1087" t="s">
        <v>1359</v>
      </c>
      <c r="AC2" s="1076" t="s">
        <v>1360</v>
      </c>
      <c r="AD2" s="1087" t="s">
        <v>1360</v>
      </c>
      <c r="AF2" s="1078" t="s">
        <v>1356</v>
      </c>
      <c r="AH2" s="1077" t="s">
        <v>1361</v>
      </c>
      <c r="AI2" s="1077" t="s">
        <v>1361</v>
      </c>
      <c r="AK2" s="1077" t="s">
        <v>1362</v>
      </c>
      <c r="AM2" s="1077" t="s">
        <v>1363</v>
      </c>
      <c r="AP2" s="1088" t="s">
        <v>1357</v>
      </c>
      <c r="AQ2" s="1089" t="s">
        <v>1357</v>
      </c>
      <c r="AS2" s="1076" t="s">
        <v>1364</v>
      </c>
      <c r="AU2" s="1121" t="s">
        <v>1365</v>
      </c>
      <c r="AW2" s="1121" t="s">
        <v>1366</v>
      </c>
      <c r="AX2" s="1121" t="s">
        <v>1366</v>
      </c>
      <c r="AZ2" s="1121" t="s">
        <v>1367</v>
      </c>
      <c r="BB2" s="1121" t="s">
        <v>1368</v>
      </c>
      <c r="BC2" s="1121" t="s">
        <v>1369</v>
      </c>
      <c r="BE2" s="1121">
        <v>2000</v>
      </c>
      <c r="BF2" s="1121" t="s">
        <v>1370</v>
      </c>
    </row>
    <row customHeight="1" ht="11.25">
      <c r="A3" s="1075" t="s">
        <v>1371</v>
      </c>
      <c r="B3" s="1076">
        <v>2001</v>
      </c>
      <c r="C3" s="1076">
        <v>2023</v>
      </c>
      <c r="D3" s="1076" t="s">
        <v>19</v>
      </c>
      <c r="E3" s="1077" t="s">
        <v>1372</v>
      </c>
      <c r="F3" s="1077" t="s">
        <v>1373</v>
      </c>
      <c r="G3" s="1077" t="s">
        <v>1374</v>
      </c>
      <c r="H3" s="1078" t="s">
        <v>1375</v>
      </c>
      <c r="I3" s="1077" t="s">
        <v>107</v>
      </c>
      <c r="J3" s="1077" t="s">
        <v>687</v>
      </c>
      <c r="K3" s="1079" t="s">
        <v>1376</v>
      </c>
      <c r="L3" s="1080">
        <f>_xlfn.IFERROR(MATCH(K3,OFFER_METHOD,0),0)</f>
        <v>0</v>
      </c>
      <c r="M3" s="1079">
        <v>2</v>
      </c>
      <c r="N3" s="1163" t="s">
        <v>1377</v>
      </c>
      <c r="O3" s="1078" t="s">
        <v>1378</v>
      </c>
      <c r="P3" s="1081" t="s">
        <v>37</v>
      </c>
      <c r="Q3" s="1082" t="s">
        <v>575</v>
      </c>
      <c r="R3" s="144" t="s">
        <v>1379</v>
      </c>
      <c r="S3" s="144" t="s">
        <v>1380</v>
      </c>
      <c r="T3" s="1083" t="s">
        <v>1381</v>
      </c>
      <c r="U3" s="1080" t="s">
        <v>1382</v>
      </c>
      <c r="V3" s="1084">
        <v>2</v>
      </c>
      <c r="W3" s="1085"/>
      <c r="X3" s="1085" t="s">
        <v>1383</v>
      </c>
      <c r="Y3" s="1076" t="s">
        <v>1358</v>
      </c>
      <c r="Z3" s="1086"/>
      <c r="AA3" s="1076" t="s">
        <v>1384</v>
      </c>
      <c r="AB3" s="1087" t="s">
        <v>1384</v>
      </c>
      <c r="AC3" s="1076" t="s">
        <v>1385</v>
      </c>
      <c r="AD3" s="1087" t="s">
        <v>1385</v>
      </c>
      <c r="AF3" s="1078" t="s">
        <v>1382</v>
      </c>
      <c r="AH3" s="1077" t="s">
        <v>1386</v>
      </c>
      <c r="AI3" s="1077" t="s">
        <v>1387</v>
      </c>
      <c r="AK3" s="1077" t="s">
        <v>1388</v>
      </c>
      <c r="AM3" s="1077" t="s">
        <v>1389</v>
      </c>
      <c r="AP3" s="1088" t="s">
        <v>1390</v>
      </c>
      <c r="AQ3" s="1089" t="s">
        <v>1390</v>
      </c>
      <c r="AS3" s="1076" t="s">
        <v>1391</v>
      </c>
      <c r="AU3" s="1121" t="s">
        <v>1392</v>
      </c>
      <c r="AW3" s="1121" t="s">
        <v>1393</v>
      </c>
      <c r="AX3" s="1121" t="s">
        <v>1393</v>
      </c>
      <c r="AZ3" s="1121" t="s">
        <v>57</v>
      </c>
      <c r="BB3" s="1121" t="s">
        <v>1394</v>
      </c>
      <c r="BC3" s="1121" t="s">
        <v>1369</v>
      </c>
      <c r="BE3" s="1121">
        <v>2001</v>
      </c>
      <c r="BF3" s="1121" t="s">
        <v>1395</v>
      </c>
      <c r="BH3" s="1068" t="s">
        <v>1396</v>
      </c>
      <c r="BJ3" s="1068" t="s">
        <v>1397</v>
      </c>
      <c r="BL3" s="1068" t="s">
        <v>1398</v>
      </c>
      <c r="BN3" s="1068" t="s">
        <v>1399</v>
      </c>
      <c r="BR3" s="1068" t="s">
        <v>1400</v>
      </c>
      <c r="BS3" s="1429"/>
      <c r="BT3" s="1071"/>
      <c r="BU3" s="1068" t="s">
        <v>1401</v>
      </c>
      <c r="BV3" s="1071"/>
      <c r="BW3" s="1691"/>
      <c r="BX3" s="1693" t="s">
        <v>1402</v>
      </c>
      <c r="CA3" s="1068" t="s">
        <v>1403</v>
      </c>
    </row>
    <row customHeight="1" ht="11.25">
      <c r="A4" s="1075" t="s">
        <v>1404</v>
      </c>
      <c r="B4" s="1076">
        <v>2002</v>
      </c>
      <c r="C4" s="1076">
        <v>2024</v>
      </c>
      <c r="E4" s="1077" t="s">
        <v>1405</v>
      </c>
      <c r="F4" s="1077" t="s">
        <v>1406</v>
      </c>
      <c r="H4" s="1078" t="s">
        <v>1407</v>
      </c>
      <c r="I4" s="1077" t="s">
        <v>94</v>
      </c>
      <c r="J4" s="1077" t="s">
        <v>1408</v>
      </c>
      <c r="K4" s="1079" t="s">
        <v>1409</v>
      </c>
      <c r="L4" s="1080">
        <f>_xlfn.IFERROR(MATCH(K4,OFFER_METHOD,0),0)</f>
        <v>0</v>
      </c>
      <c r="M4" s="1079">
        <v>3</v>
      </c>
      <c r="N4" s="1163" t="s">
        <v>1410</v>
      </c>
      <c r="O4" s="1077" t="s">
        <v>1411</v>
      </c>
      <c r="Q4" s="1082" t="s">
        <v>1412</v>
      </c>
      <c r="R4" s="144" t="s">
        <v>1413</v>
      </c>
      <c r="S4" s="144" t="s">
        <v>1414</v>
      </c>
      <c r="T4" s="1083" t="s">
        <v>1415</v>
      </c>
      <c r="U4" s="1080" t="s">
        <v>1416</v>
      </c>
      <c r="V4" s="1084">
        <v>3</v>
      </c>
      <c r="W4" s="1085"/>
      <c r="X4" s="1085" t="s">
        <v>1417</v>
      </c>
      <c r="Y4" s="1076" t="s">
        <v>1358</v>
      </c>
      <c r="Z4" s="1092"/>
      <c r="AC4" s="1076" t="s">
        <v>1418</v>
      </c>
      <c r="AD4" s="1087" t="s">
        <v>1418</v>
      </c>
      <c r="AF4" s="1078" t="s">
        <v>1416</v>
      </c>
      <c r="AH4" s="1078" t="s">
        <v>1419</v>
      </c>
      <c r="AK4" s="1077" t="s">
        <v>1420</v>
      </c>
      <c r="AM4" s="1077" t="s">
        <v>1421</v>
      </c>
      <c r="AP4" s="1088" t="s">
        <v>1383</v>
      </c>
      <c r="AQ4" s="1089" t="s">
        <v>1383</v>
      </c>
      <c r="AS4" s="1076" t="s">
        <v>1422</v>
      </c>
      <c r="AU4" s="1121" t="s">
        <v>1423</v>
      </c>
      <c r="AW4" s="1121" t="s">
        <v>1424</v>
      </c>
      <c r="AX4" s="1121" t="s">
        <v>1424</v>
      </c>
      <c r="AZ4" s="1121" t="s">
        <v>1425</v>
      </c>
      <c r="BB4" s="1121" t="s">
        <v>1426</v>
      </c>
      <c r="BC4" s="1121" t="s">
        <v>1427</v>
      </c>
      <c r="BE4" s="1121">
        <v>2002</v>
      </c>
      <c r="BF4" s="1121" t="s">
        <v>1428</v>
      </c>
      <c r="BH4" s="1069" t="s">
        <v>1429</v>
      </c>
      <c r="BJ4" s="1069" t="s">
        <v>1429</v>
      </c>
      <c r="BL4" s="1069" t="s">
        <v>1429</v>
      </c>
      <c r="BN4" s="1069" t="s">
        <v>1429</v>
      </c>
      <c r="BQ4" s="1433" t="s">
        <v>1430</v>
      </c>
      <c r="BR4" s="1160" t="s">
        <v>1431</v>
      </c>
      <c r="BS4" s="275"/>
      <c r="BT4" s="1433" t="s">
        <v>1432</v>
      </c>
      <c r="BU4" s="1160" t="s">
        <v>1433</v>
      </c>
      <c r="BV4" s="1071"/>
      <c r="BW4" s="1698" t="s">
        <v>1434</v>
      </c>
      <c r="BX4" s="1692" t="s">
        <v>1435</v>
      </c>
      <c r="BZ4" s="1433" t="s">
        <v>1436</v>
      </c>
      <c r="CA4" s="1160" t="s">
        <v>1437</v>
      </c>
    </row>
    <row customHeight="1" ht="11.25">
      <c r="A5" s="1075" t="s">
        <v>1438</v>
      </c>
      <c r="B5" s="1076">
        <v>2003</v>
      </c>
      <c r="C5" s="1076">
        <v>2025</v>
      </c>
      <c r="E5" s="1077" t="s">
        <v>1439</v>
      </c>
      <c r="F5" s="1077" t="s">
        <v>1440</v>
      </c>
      <c r="H5" s="1078" t="s">
        <v>1441</v>
      </c>
      <c r="I5" s="1077" t="s">
        <v>95</v>
      </c>
      <c r="K5" s="1079" t="s">
        <v>1442</v>
      </c>
      <c r="L5" s="1080">
        <f>_xlfn.IFERROR(MATCH(K5,OFFER_METHOD,0),0)</f>
        <v>0</v>
      </c>
      <c r="M5" s="1079">
        <v>4</v>
      </c>
      <c r="N5" s="1093" t="s">
        <v>1443</v>
      </c>
      <c r="O5" s="1077" t="s">
        <v>1444</v>
      </c>
      <c r="Q5" s="1082" t="s">
        <v>1445</v>
      </c>
      <c r="R5" s="144" t="s">
        <v>1446</v>
      </c>
      <c r="T5" s="1078" t="s">
        <v>1447</v>
      </c>
      <c r="U5" s="1080" t="s">
        <v>1448</v>
      </c>
      <c r="V5" s="1084">
        <v>4</v>
      </c>
      <c r="W5" s="1085"/>
      <c r="X5" s="1085" t="s">
        <v>251</v>
      </c>
      <c r="Y5" s="1076" t="s">
        <v>1449</v>
      </c>
      <c r="Z5" s="1092">
        <v>1</v>
      </c>
      <c r="AF5" s="1078" t="s">
        <v>1450</v>
      </c>
      <c r="AH5" s="1077" t="s">
        <v>1451</v>
      </c>
      <c r="AK5" s="1077" t="s">
        <v>1452</v>
      </c>
      <c r="AM5" s="1077" t="s">
        <v>1453</v>
      </c>
      <c r="AP5" s="1088" t="s">
        <v>251</v>
      </c>
      <c r="AQ5" s="1089" t="s">
        <v>251</v>
      </c>
      <c r="AU5" s="1121" t="s">
        <v>1454</v>
      </c>
      <c r="AW5" s="1121" t="s">
        <v>1455</v>
      </c>
      <c r="AX5" s="1121" t="s">
        <v>1455</v>
      </c>
      <c r="AZ5" s="1121" t="s">
        <v>1456</v>
      </c>
      <c r="BB5" s="1121" t="s">
        <v>1457</v>
      </c>
      <c r="BC5" s="1121" t="s">
        <v>1458</v>
      </c>
      <c r="BE5" s="1121">
        <v>2003</v>
      </c>
      <c r="BF5" s="1121" t="s">
        <v>1459</v>
      </c>
      <c r="BH5" s="1069" t="s">
        <v>1460</v>
      </c>
      <c r="BJ5" s="1069" t="s">
        <v>1460</v>
      </c>
      <c r="BL5" s="1069" t="s">
        <v>1460</v>
      </c>
      <c r="BN5" s="1069" t="s">
        <v>1461</v>
      </c>
      <c r="BQ5" s="1282">
        <v>4213775</v>
      </c>
      <c r="BR5" s="1069" t="s">
        <v>1357</v>
      </c>
      <c r="BS5" s="1430"/>
      <c r="BT5" s="1282">
        <v>64236871</v>
      </c>
      <c r="BU5" s="1069" t="s">
        <v>359</v>
      </c>
      <c r="BV5" s="1071"/>
      <c r="BW5" s="1696">
        <v>4213767</v>
      </c>
      <c r="BX5" s="1694" t="s">
        <v>1462</v>
      </c>
      <c r="BZ5" s="1282">
        <v>64237509</v>
      </c>
      <c r="CA5" s="1296" t="s">
        <v>1463</v>
      </c>
    </row>
    <row customHeight="1" ht="11.25">
      <c r="A6" s="1075" t="s">
        <v>1464</v>
      </c>
      <c r="B6" s="1076">
        <v>2004</v>
      </c>
      <c r="C6" s="1076">
        <v>2026</v>
      </c>
      <c r="E6" s="1077" t="s">
        <v>1465</v>
      </c>
      <c r="F6" s="1094"/>
      <c r="H6" s="1078" t="s">
        <v>1466</v>
      </c>
      <c r="I6" s="1077" t="s">
        <v>124</v>
      </c>
      <c r="J6" s="1068" t="s">
        <v>1467</v>
      </c>
      <c r="L6" s="1080">
        <f>SUM(kind_of_control_method_filter)</f>
        <v>0</v>
      </c>
      <c r="N6" s="1093" t="s">
        <v>1468</v>
      </c>
      <c r="O6" s="1077" t="s">
        <v>1469</v>
      </c>
      <c r="R6" s="144" t="s">
        <v>576</v>
      </c>
      <c r="T6" s="1078" t="s">
        <v>1470</v>
      </c>
      <c r="U6" s="1080" t="s">
        <v>1450</v>
      </c>
      <c r="V6" s="1084">
        <v>5</v>
      </c>
      <c r="W6" s="1085"/>
      <c r="X6" s="1076" t="s">
        <v>270</v>
      </c>
      <c r="Y6" s="1076" t="s">
        <v>1471</v>
      </c>
      <c r="Z6" s="1092"/>
      <c r="AA6" s="1095"/>
      <c r="AH6" s="1077" t="s">
        <v>1472</v>
      </c>
      <c r="AK6" s="1077" t="s">
        <v>1473</v>
      </c>
      <c r="AM6" s="1077" t="s">
        <v>1474</v>
      </c>
      <c r="AP6" s="1088" t="s">
        <v>270</v>
      </c>
      <c r="AQ6" s="1089" t="s">
        <v>270</v>
      </c>
      <c r="AU6" s="1121" t="s">
        <v>1475</v>
      </c>
      <c r="AW6" s="1121" t="s">
        <v>1476</v>
      </c>
      <c r="AX6" s="1121" t="s">
        <v>1476</v>
      </c>
      <c r="BB6" s="1121" t="s">
        <v>1477</v>
      </c>
      <c r="BC6" s="1121" t="s">
        <v>1458</v>
      </c>
      <c r="BE6" s="1121">
        <v>2004</v>
      </c>
      <c r="BF6" s="1121" t="s">
        <v>1478</v>
      </c>
      <c r="BH6" s="1069" t="s">
        <v>1479</v>
      </c>
      <c r="BJ6" s="1069" t="s">
        <v>1480</v>
      </c>
      <c r="BL6" s="1069" t="s">
        <v>1480</v>
      </c>
      <c r="BN6" s="1069" t="s">
        <v>1481</v>
      </c>
      <c r="BQ6" s="1282">
        <v>4213784</v>
      </c>
      <c r="BR6" s="1296" t="s">
        <v>1390</v>
      </c>
      <c r="BS6" s="1431"/>
      <c r="BT6" s="1282">
        <v>64236872</v>
      </c>
      <c r="BU6" s="1069" t="s">
        <v>364</v>
      </c>
      <c r="BV6" s="1071"/>
      <c r="BW6" s="1696">
        <v>4213768</v>
      </c>
      <c r="BX6" s="1694" t="s">
        <v>384</v>
      </c>
      <c r="BZ6" s="1282">
        <v>64237510</v>
      </c>
      <c r="CA6" s="1069" t="s">
        <v>1482</v>
      </c>
    </row>
    <row customHeight="1" ht="11.25">
      <c r="A7" s="1075" t="s">
        <v>1483</v>
      </c>
      <c r="B7" s="1076">
        <v>2005</v>
      </c>
      <c r="E7" s="1077" t="s">
        <v>1484</v>
      </c>
      <c r="F7" s="1094"/>
      <c r="H7" s="1078" t="s">
        <v>1485</v>
      </c>
      <c r="I7" s="1077" t="s">
        <v>96</v>
      </c>
      <c r="J7" s="1077" t="s">
        <v>1486</v>
      </c>
      <c r="N7" s="1097" t="s">
        <v>1487</v>
      </c>
      <c r="O7" s="1077" t="s">
        <v>1488</v>
      </c>
      <c r="U7" s="1080" t="s">
        <v>19</v>
      </c>
      <c r="V7" s="371" t="s">
        <v>96</v>
      </c>
      <c r="W7" s="1085"/>
      <c r="X7" s="1076" t="s">
        <v>302</v>
      </c>
      <c r="Y7" s="1076" t="s">
        <v>1449</v>
      </c>
      <c r="Z7" s="1092"/>
      <c r="AA7" s="1095"/>
      <c r="AH7" s="1077" t="s">
        <v>1489</v>
      </c>
      <c r="AK7" s="1077" t="s">
        <v>1490</v>
      </c>
      <c r="AM7" s="1077" t="s">
        <v>1491</v>
      </c>
      <c r="AP7" s="1088" t="s">
        <v>302</v>
      </c>
      <c r="AQ7" s="1089" t="s">
        <v>302</v>
      </c>
      <c r="AU7" s="1121" t="s">
        <v>1492</v>
      </c>
      <c r="AW7" s="1121" t="s">
        <v>1493</v>
      </c>
      <c r="AX7" s="1121" t="s">
        <v>1493</v>
      </c>
      <c r="AZ7" s="1068" t="s">
        <v>1494</v>
      </c>
      <c r="BB7" s="1121" t="s">
        <v>1495</v>
      </c>
      <c r="BC7" s="1121" t="s">
        <v>1458</v>
      </c>
      <c r="BE7" s="1121">
        <v>2005</v>
      </c>
      <c r="BF7" s="1121" t="s">
        <v>1496</v>
      </c>
      <c r="BH7" s="1069" t="s">
        <v>1497</v>
      </c>
      <c r="BJ7" s="1069" t="s">
        <v>1479</v>
      </c>
      <c r="BL7" s="1069" t="s">
        <v>1479</v>
      </c>
      <c r="BN7" s="1069" t="s">
        <v>1498</v>
      </c>
      <c r="BQ7" s="1282">
        <v>4213781</v>
      </c>
      <c r="BR7" s="1069" t="s">
        <v>1383</v>
      </c>
      <c r="BS7" s="1430"/>
      <c r="BT7" s="1282">
        <v>64236873</v>
      </c>
      <c r="BU7" s="1069" t="s">
        <v>369</v>
      </c>
      <c r="BV7" s="1071"/>
      <c r="BW7" s="1696">
        <v>4213769</v>
      </c>
      <c r="BX7" s="1694" t="s">
        <v>1499</v>
      </c>
      <c r="BZ7" s="1282">
        <v>64237511</v>
      </c>
      <c r="CA7" s="1069" t="s">
        <v>399</v>
      </c>
    </row>
    <row customHeight="1" ht="11.25">
      <c r="A8" s="1075" t="s">
        <v>1500</v>
      </c>
      <c r="B8" s="1076">
        <v>2006</v>
      </c>
      <c r="E8" s="1077" t="s">
        <v>1501</v>
      </c>
      <c r="F8" s="1094"/>
      <c r="H8" s="1078" t="s">
        <v>1502</v>
      </c>
      <c r="I8" s="1077" t="s">
        <v>97</v>
      </c>
      <c r="J8" s="1077" t="s">
        <v>1503</v>
      </c>
      <c r="N8" s="1164" t="s">
        <v>1504</v>
      </c>
      <c r="O8" s="1077" t="s">
        <v>1505</v>
      </c>
      <c r="V8" s="371" t="s">
        <v>97</v>
      </c>
      <c r="W8" s="1085"/>
      <c r="X8" s="1076" t="s">
        <v>308</v>
      </c>
      <c r="Y8" s="1076" t="s">
        <v>1449</v>
      </c>
      <c r="Z8" s="1092"/>
      <c r="AA8" s="1095"/>
      <c r="AK8" s="1077" t="s">
        <v>1506</v>
      </c>
      <c r="AP8" s="1088" t="s">
        <v>308</v>
      </c>
      <c r="AQ8" s="1089" t="s">
        <v>308</v>
      </c>
      <c r="AU8" s="1121" t="s">
        <v>1507</v>
      </c>
      <c r="AW8" s="1121" t="s">
        <v>1508</v>
      </c>
      <c r="AX8" s="1121" t="s">
        <v>1508</v>
      </c>
      <c r="AZ8" s="1121" t="s">
        <v>1509</v>
      </c>
      <c r="BB8" s="1121" t="s">
        <v>1510</v>
      </c>
      <c r="BC8" s="1121" t="s">
        <v>1458</v>
      </c>
      <c r="BE8" s="1121">
        <v>2006</v>
      </c>
      <c r="BF8" s="1121" t="s">
        <v>1511</v>
      </c>
      <c r="BH8" s="1069" t="s">
        <v>1512</v>
      </c>
      <c r="BJ8" s="1069" t="s">
        <v>1513</v>
      </c>
      <c r="BL8" s="1069" t="s">
        <v>1513</v>
      </c>
      <c r="BN8" s="1069" t="s">
        <v>1514</v>
      </c>
      <c r="BQ8" s="1282">
        <v>4213776</v>
      </c>
      <c r="BR8" s="1069" t="s">
        <v>251</v>
      </c>
      <c r="BS8" s="1430"/>
      <c r="BT8" s="1282">
        <v>64236874</v>
      </c>
      <c r="BU8" s="1296" t="s">
        <v>1515</v>
      </c>
      <c r="BV8" s="1071"/>
      <c r="BW8" s="1696">
        <v>4213770</v>
      </c>
      <c r="BX8" s="1697" t="s">
        <v>1516</v>
      </c>
      <c r="BZ8" s="1282">
        <v>64237512</v>
      </c>
      <c r="CA8" s="1069" t="s">
        <v>394</v>
      </c>
    </row>
    <row customHeight="1" ht="11.25">
      <c r="A9" s="1075" t="s">
        <v>1517</v>
      </c>
      <c r="B9" s="1076">
        <v>2007</v>
      </c>
      <c r="E9" s="1077" t="s">
        <v>1518</v>
      </c>
      <c r="F9" s="1094"/>
      <c r="G9" s="1068" t="s">
        <v>1519</v>
      </c>
      <c r="H9" s="1068" t="s">
        <v>1520</v>
      </c>
      <c r="I9" s="1077" t="s">
        <v>125</v>
      </c>
      <c r="O9" s="1077" t="s">
        <v>1521</v>
      </c>
      <c r="V9" s="371" t="s">
        <v>125</v>
      </c>
      <c r="W9" s="1085"/>
      <c r="X9" s="1076" t="s">
        <v>314</v>
      </c>
      <c r="Y9" s="1076" t="s">
        <v>1358</v>
      </c>
      <c r="Z9" s="1092">
        <v>1</v>
      </c>
      <c r="AA9" s="1095"/>
      <c r="AK9" s="1077" t="s">
        <v>1522</v>
      </c>
      <c r="AP9" s="1088" t="s">
        <v>1523</v>
      </c>
      <c r="AQ9" s="1089" t="s">
        <v>1523</v>
      </c>
      <c r="AW9" s="1121" t="s">
        <v>1524</v>
      </c>
      <c r="AX9" s="1121" t="s">
        <v>1524</v>
      </c>
      <c r="AZ9" s="1121" t="s">
        <v>1525</v>
      </c>
      <c r="BB9" s="1121" t="s">
        <v>1526</v>
      </c>
      <c r="BC9" s="1121" t="s">
        <v>1458</v>
      </c>
      <c r="BE9" s="1121">
        <v>2007</v>
      </c>
      <c r="BF9" s="1121" t="s">
        <v>1527</v>
      </c>
      <c r="BH9" s="1069" t="s">
        <v>1528</v>
      </c>
      <c r="BJ9" s="1069" t="s">
        <v>1529</v>
      </c>
      <c r="BL9" s="1069" t="s">
        <v>1529</v>
      </c>
      <c r="BN9" s="1069" t="s">
        <v>1530</v>
      </c>
      <c r="BQ9" s="1282">
        <v>4213777</v>
      </c>
      <c r="BR9" s="1069" t="s">
        <v>270</v>
      </c>
      <c r="BS9" s="1430"/>
      <c r="BT9" s="1282">
        <v>64236875</v>
      </c>
      <c r="BU9" s="1069" t="s">
        <v>374</v>
      </c>
      <c r="BV9" s="1071"/>
      <c r="BW9" s="1691"/>
      <c r="BX9" s="1691"/>
    </row>
    <row customHeight="1" ht="11.25">
      <c r="A10" s="1075" t="s">
        <v>1531</v>
      </c>
      <c r="B10" s="1076">
        <v>2008</v>
      </c>
      <c r="E10" s="1077" t="s">
        <v>1532</v>
      </c>
      <c r="F10" s="1094"/>
      <c r="G10" s="1077" t="s">
        <v>1533</v>
      </c>
      <c r="H10" s="1077" t="s">
        <v>1534</v>
      </c>
      <c r="I10" s="1077" t="s">
        <v>161</v>
      </c>
      <c r="J10" s="1068" t="s">
        <v>1535</v>
      </c>
      <c r="K10" s="1068" t="s">
        <v>1536</v>
      </c>
      <c r="O10" s="1077" t="s">
        <v>594</v>
      </c>
      <c r="V10" s="372" t="s">
        <v>161</v>
      </c>
      <c r="W10" s="1098"/>
      <c r="X10" s="1098" t="s">
        <v>1537</v>
      </c>
      <c r="Y10" s="1099" t="s">
        <v>1538</v>
      </c>
      <c r="Z10" s="1092"/>
      <c r="AP10" s="1088" t="s">
        <v>1537</v>
      </c>
      <c r="AQ10" s="1089" t="s">
        <v>1537</v>
      </c>
      <c r="AW10" s="1121" t="s">
        <v>1539</v>
      </c>
      <c r="AX10" s="1121" t="s">
        <v>1539</v>
      </c>
      <c r="AZ10" s="1121" t="s">
        <v>1540</v>
      </c>
      <c r="BB10" s="1121" t="s">
        <v>1541</v>
      </c>
      <c r="BC10" s="1121" t="s">
        <v>1458</v>
      </c>
      <c r="BE10" s="1121">
        <v>2008</v>
      </c>
      <c r="BF10" s="1121" t="s">
        <v>1542</v>
      </c>
      <c r="BH10" s="1069" t="s">
        <v>1543</v>
      </c>
      <c r="BJ10" s="1069" t="s">
        <v>1544</v>
      </c>
      <c r="BL10" s="1069" t="s">
        <v>1544</v>
      </c>
      <c r="BN10" s="1069" t="s">
        <v>1545</v>
      </c>
      <c r="BQ10" s="1282">
        <v>4213778</v>
      </c>
      <c r="BR10" s="1069" t="s">
        <v>302</v>
      </c>
      <c r="BS10" s="1430"/>
      <c r="BT10" s="1282">
        <v>64236876</v>
      </c>
      <c r="BU10" s="1069" t="s">
        <v>354</v>
      </c>
      <c r="BV10" s="1071"/>
      <c r="BW10" s="1691"/>
      <c r="BX10" s="1691"/>
    </row>
    <row customHeight="1" ht="11.25">
      <c r="A11" s="1075" t="s">
        <v>1546</v>
      </c>
      <c r="B11" s="1076">
        <v>2009</v>
      </c>
      <c r="E11" s="1077" t="s">
        <v>1547</v>
      </c>
      <c r="F11" s="1094"/>
      <c r="G11" s="1077" t="s">
        <v>1548</v>
      </c>
      <c r="H11" s="1077" t="s">
        <v>1549</v>
      </c>
      <c r="I11" s="1077" t="s">
        <v>162</v>
      </c>
      <c r="J11" s="1078" t="s">
        <v>1550</v>
      </c>
      <c r="K11" s="1100" t="s">
        <v>1551</v>
      </c>
      <c r="O11" s="1078" t="s">
        <v>1552</v>
      </c>
      <c r="V11" s="371" t="s">
        <v>162</v>
      </c>
      <c r="W11" s="276"/>
      <c r="X11" s="1085" t="s">
        <v>1523</v>
      </c>
      <c r="Y11" s="1076" t="s">
        <v>1553</v>
      </c>
      <c r="Z11" s="1092"/>
      <c r="AP11" s="1088" t="s">
        <v>314</v>
      </c>
      <c r="AQ11" s="1090" t="s">
        <v>314</v>
      </c>
      <c r="AW11" s="1121" t="s">
        <v>1554</v>
      </c>
      <c r="AX11" s="1121" t="s">
        <v>1554</v>
      </c>
      <c r="AZ11" s="1121" t="s">
        <v>1555</v>
      </c>
      <c r="BB11" s="1121" t="s">
        <v>1556</v>
      </c>
      <c r="BC11" s="1121" t="s">
        <v>1458</v>
      </c>
      <c r="BE11" s="1121">
        <v>2009</v>
      </c>
      <c r="BF11" s="1121" t="s">
        <v>1557</v>
      </c>
      <c r="BH11" s="1069" t="s">
        <v>1558</v>
      </c>
      <c r="BJ11" s="1069" t="s">
        <v>1528</v>
      </c>
      <c r="BL11" s="1069" t="s">
        <v>1528</v>
      </c>
      <c r="BN11" s="1069" t="s">
        <v>1559</v>
      </c>
      <c r="BQ11" s="1282">
        <v>4213780</v>
      </c>
      <c r="BR11" s="1069" t="s">
        <v>308</v>
      </c>
      <c r="BS11" s="1430"/>
      <c r="BW11" s="1691"/>
      <c r="BX11" s="1691"/>
    </row>
    <row customHeight="1" ht="11.25">
      <c r="A12" s="1075" t="s">
        <v>1560</v>
      </c>
      <c r="B12" s="1076">
        <v>2010</v>
      </c>
      <c r="E12" s="1077" t="s">
        <v>1561</v>
      </c>
      <c r="F12" s="1094"/>
      <c r="G12" s="1077" t="s">
        <v>1549</v>
      </c>
      <c r="I12" s="1077" t="s">
        <v>163</v>
      </c>
      <c r="J12" s="1078" t="s">
        <v>1562</v>
      </c>
      <c r="K12" s="1100" t="s">
        <v>1563</v>
      </c>
      <c r="O12" s="1078" t="s">
        <v>576</v>
      </c>
      <c r="V12" s="371" t="s">
        <v>163</v>
      </c>
      <c r="W12" s="1090"/>
      <c r="X12" s="1085" t="s">
        <v>1564</v>
      </c>
      <c r="Y12" s="1076" t="s">
        <v>1358</v>
      </c>
      <c r="AP12" s="1088"/>
      <c r="AW12" s="1121" t="s">
        <v>162</v>
      </c>
      <c r="AX12" s="1121" t="s">
        <v>162</v>
      </c>
      <c r="AZ12" s="1121" t="s">
        <v>1565</v>
      </c>
      <c r="BB12" s="1121" t="s">
        <v>1566</v>
      </c>
      <c r="BC12" s="1121" t="s">
        <v>1458</v>
      </c>
      <c r="BE12" s="1121">
        <v>2010</v>
      </c>
      <c r="BF12" s="1121" t="s">
        <v>1567</v>
      </c>
      <c r="BH12" s="1069" t="s">
        <v>1568</v>
      </c>
      <c r="BJ12" s="1069" t="s">
        <v>1569</v>
      </c>
      <c r="BL12" s="1069" t="s">
        <v>1569</v>
      </c>
      <c r="BN12" s="1069" t="s">
        <v>1570</v>
      </c>
      <c r="BQ12" s="1282">
        <v>4213779</v>
      </c>
      <c r="BR12" s="1069" t="s">
        <v>1523</v>
      </c>
      <c r="BS12" s="1430"/>
      <c r="BT12" s="1071"/>
      <c r="BU12" s="1071"/>
      <c r="BV12" s="1071"/>
      <c r="BW12" s="1691"/>
      <c r="BX12" s="1691"/>
    </row>
    <row customHeight="1" ht="11.25">
      <c r="A13" s="1075" t="s">
        <v>1571</v>
      </c>
      <c r="B13" s="1076">
        <v>2011</v>
      </c>
      <c r="E13" s="1077" t="s">
        <v>1572</v>
      </c>
      <c r="F13" s="1094"/>
      <c r="I13" s="1077" t="s">
        <v>164</v>
      </c>
      <c r="K13" s="1100" t="s">
        <v>1522</v>
      </c>
      <c r="V13" s="371" t="s">
        <v>164</v>
      </c>
      <c r="W13" s="1090"/>
      <c r="X13" s="1090"/>
      <c r="Y13" s="1090"/>
      <c r="AW13" s="1121" t="s">
        <v>163</v>
      </c>
      <c r="AX13" s="1121" t="s">
        <v>163</v>
      </c>
      <c r="BB13" s="1121" t="s">
        <v>1573</v>
      </c>
      <c r="BC13" s="1121" t="s">
        <v>1574</v>
      </c>
      <c r="BE13" s="1121">
        <v>2011</v>
      </c>
      <c r="BF13" s="1121" t="s">
        <v>1575</v>
      </c>
      <c r="BH13" s="1069" t="s">
        <v>1576</v>
      </c>
      <c r="BJ13" s="1069" t="s">
        <v>1558</v>
      </c>
      <c r="BL13" s="1069" t="s">
        <v>1558</v>
      </c>
      <c r="BN13" s="1069" t="s">
        <v>1577</v>
      </c>
      <c r="BQ13" s="1282">
        <v>4213783</v>
      </c>
      <c r="BR13" s="1069" t="s">
        <v>1537</v>
      </c>
      <c r="BS13" s="1430"/>
      <c r="BT13" s="1071"/>
      <c r="BU13" s="1071"/>
      <c r="BV13" s="1071"/>
      <c r="BW13" s="1695"/>
      <c r="BX13" s="1691"/>
    </row>
    <row customHeight="1" ht="11.25">
      <c r="A14" s="1075" t="s">
        <v>1578</v>
      </c>
      <c r="B14" s="1076">
        <v>2012</v>
      </c>
      <c r="I14" s="1077" t="s">
        <v>165</v>
      </c>
      <c r="J14" s="1068" t="s">
        <v>1579</v>
      </c>
      <c r="N14" s="1068" t="s">
        <v>1580</v>
      </c>
      <c r="V14" s="1084">
        <v>13</v>
      </c>
      <c r="W14" s="1085"/>
      <c r="X14" s="1085" t="s">
        <v>1390</v>
      </c>
      <c r="Y14" s="1076" t="s">
        <v>1358</v>
      </c>
      <c r="AW14" s="1121" t="s">
        <v>164</v>
      </c>
      <c r="AX14" s="1121" t="s">
        <v>164</v>
      </c>
      <c r="AZ14" s="1068" t="s">
        <v>1581</v>
      </c>
      <c r="BB14" s="1121" t="s">
        <v>1582</v>
      </c>
      <c r="BC14" s="1121" t="s">
        <v>1574</v>
      </c>
      <c r="BE14" s="1121">
        <v>2012</v>
      </c>
      <c r="BH14" s="1069" t="s">
        <v>1498</v>
      </c>
      <c r="BJ14" s="1218" t="s">
        <v>1583</v>
      </c>
      <c r="BL14" s="1218" t="s">
        <v>1583</v>
      </c>
      <c r="BN14" s="1069" t="s">
        <v>1584</v>
      </c>
      <c r="BQ14" s="1282">
        <v>4213782</v>
      </c>
      <c r="BR14" s="1069" t="s">
        <v>314</v>
      </c>
      <c r="BS14" s="1430"/>
      <c r="BT14" s="1071"/>
      <c r="BU14" s="1071"/>
      <c r="BV14" s="1071"/>
      <c r="BW14" s="1695"/>
      <c r="BX14" s="1691"/>
    </row>
    <row customHeight="1" ht="19.5">
      <c r="A15" s="1075" t="s">
        <v>1585</v>
      </c>
      <c r="B15" s="1076">
        <v>2013</v>
      </c>
      <c r="E15" s="1699" t="s">
        <v>1586</v>
      </c>
      <c r="G15" s="1068" t="s">
        <v>1587</v>
      </c>
      <c r="H15" s="1068" t="s">
        <v>1588</v>
      </c>
      <c r="I15" s="1079" t="s">
        <v>166</v>
      </c>
      <c r="J15" s="1090" t="s">
        <v>714</v>
      </c>
      <c r="N15" s="1159" t="s">
        <v>1589</v>
      </c>
      <c r="X15" s="1088"/>
      <c r="AW15" s="1121" t="s">
        <v>165</v>
      </c>
      <c r="AX15" s="1121" t="s">
        <v>165</v>
      </c>
      <c r="AZ15" s="1121" t="s">
        <v>1509</v>
      </c>
      <c r="BB15" s="1121" t="s">
        <v>1590</v>
      </c>
      <c r="BC15" s="1121" t="s">
        <v>1574</v>
      </c>
      <c r="BE15" s="1121">
        <v>2013</v>
      </c>
      <c r="BH15" s="1069" t="s">
        <v>1514</v>
      </c>
      <c r="BJ15" s="1218" t="s">
        <v>1591</v>
      </c>
      <c r="BL15" s="1218" t="s">
        <v>1591</v>
      </c>
      <c r="BN15" s="1069" t="s">
        <v>1592</v>
      </c>
      <c r="BR15" s="1071"/>
      <c r="BS15" s="1432"/>
      <c r="BT15" s="1071"/>
      <c r="BU15" s="1071"/>
      <c r="BV15" s="1071"/>
      <c r="BW15" s="1695"/>
      <c r="BX15" s="1691"/>
    </row>
    <row customHeight="1" ht="21">
      <c r="A16" s="1871" t="s">
        <v>1593</v>
      </c>
      <c r="B16" s="1076">
        <v>2014</v>
      </c>
      <c r="E16" s="1700" t="s">
        <v>1594</v>
      </c>
      <c r="G16" s="1077" t="s">
        <v>1595</v>
      </c>
      <c r="H16" s="1077" t="s">
        <v>1596</v>
      </c>
      <c r="I16" s="1079" t="s">
        <v>1597</v>
      </c>
      <c r="J16" s="1090" t="s">
        <v>687</v>
      </c>
      <c r="N16" s="1159" t="s">
        <v>1598</v>
      </c>
      <c r="AW16" s="1121" t="s">
        <v>166</v>
      </c>
      <c r="AX16" s="1121" t="s">
        <v>166</v>
      </c>
      <c r="AZ16" s="1121" t="s">
        <v>1525</v>
      </c>
      <c r="BB16" s="1121" t="s">
        <v>1599</v>
      </c>
      <c r="BC16" s="1121" t="s">
        <v>1574</v>
      </c>
      <c r="BE16" s="1121">
        <v>2014</v>
      </c>
      <c r="BH16" s="1069" t="s">
        <v>1530</v>
      </c>
      <c r="BJ16" s="1218" t="s">
        <v>1600</v>
      </c>
      <c r="BL16" s="1218" t="s">
        <v>1600</v>
      </c>
      <c r="BN16" s="1069" t="s">
        <v>1601</v>
      </c>
      <c r="BR16" s="1071"/>
      <c r="BS16" s="1432"/>
      <c r="BT16" s="1071"/>
      <c r="BU16" s="1071"/>
      <c r="BV16" s="1071"/>
      <c r="BW16" s="1695"/>
      <c r="BX16" s="1691"/>
    </row>
    <row customHeight="1" ht="21">
      <c r="A17" s="1075" t="s">
        <v>1602</v>
      </c>
      <c r="B17" s="1076">
        <v>2015</v>
      </c>
      <c r="G17" s="1077" t="s">
        <v>1549</v>
      </c>
      <c r="H17" s="1077" t="s">
        <v>1549</v>
      </c>
      <c r="I17" s="1077" t="s">
        <v>1603</v>
      </c>
      <c r="N17" s="1159" t="s">
        <v>1604</v>
      </c>
      <c r="X17" s="1088"/>
      <c r="AW17" s="1121" t="s">
        <v>1597</v>
      </c>
      <c r="AX17" s="1121" t="s">
        <v>1597</v>
      </c>
      <c r="AZ17" s="1121" t="s">
        <v>1605</v>
      </c>
      <c r="BB17" s="1121" t="s">
        <v>1606</v>
      </c>
      <c r="BC17" s="1121" t="s">
        <v>1458</v>
      </c>
      <c r="BE17" s="1121">
        <v>2015</v>
      </c>
      <c r="BH17" s="1069" t="s">
        <v>1545</v>
      </c>
      <c r="BJ17" s="1218" t="s">
        <v>1607</v>
      </c>
      <c r="BL17" s="1218" t="s">
        <v>1607</v>
      </c>
      <c r="BN17" s="1069" t="s">
        <v>1608</v>
      </c>
      <c r="BR17" s="1068" t="s">
        <v>1400</v>
      </c>
      <c r="BS17" s="1429"/>
      <c r="BU17" s="1068" t="s">
        <v>1609</v>
      </c>
      <c r="BV17" s="1071"/>
      <c r="BW17" s="1691"/>
      <c r="BX17" s="1693" t="s">
        <v>1610</v>
      </c>
      <c r="CA17" s="1068" t="s">
        <v>1611</v>
      </c>
      <c r="CD17" s="1068" t="s">
        <v>1612</v>
      </c>
    </row>
    <row customHeight="1" ht="21">
      <c r="A18" s="1075" t="s">
        <v>1613</v>
      </c>
      <c r="B18" s="1076">
        <v>2016</v>
      </c>
      <c r="E18" s="2006" t="s">
        <v>1614</v>
      </c>
      <c r="I18" s="1077" t="s">
        <v>1615</v>
      </c>
      <c r="N18" s="1159" t="s">
        <v>1616</v>
      </c>
      <c r="X18" s="1088"/>
      <c r="AW18" s="1121" t="s">
        <v>1603</v>
      </c>
      <c r="AX18" s="1121" t="s">
        <v>1603</v>
      </c>
      <c r="BB18" s="1121" t="s">
        <v>1617</v>
      </c>
      <c r="BC18" s="1121" t="s">
        <v>1458</v>
      </c>
      <c r="BE18" s="1121">
        <v>2016</v>
      </c>
      <c r="BH18" s="1069" t="s">
        <v>1559</v>
      </c>
      <c r="BJ18" s="1218" t="s">
        <v>1618</v>
      </c>
      <c r="BL18" s="1218" t="s">
        <v>1618</v>
      </c>
      <c r="BN18" s="1069" t="s">
        <v>1619</v>
      </c>
      <c r="BQ18" s="1433" t="s">
        <v>1430</v>
      </c>
      <c r="BR18" s="1160" t="s">
        <v>1431</v>
      </c>
      <c r="BS18" s="275"/>
      <c r="BT18" s="1433" t="s">
        <v>1620</v>
      </c>
      <c r="BU18" s="1160" t="s">
        <v>1621</v>
      </c>
      <c r="BV18" s="1071"/>
      <c r="BW18" s="1698" t="s">
        <v>1622</v>
      </c>
      <c r="BX18" s="1692" t="s">
        <v>1623</v>
      </c>
      <c r="BZ18" s="1433" t="s">
        <v>1624</v>
      </c>
      <c r="CA18" s="1160" t="s">
        <v>1625</v>
      </c>
      <c r="CC18" s="1433" t="s">
        <v>1626</v>
      </c>
      <c r="CD18" s="1160" t="s">
        <v>1627</v>
      </c>
    </row>
    <row customHeight="1" ht="21">
      <c r="A19" s="1871" t="s">
        <v>1628</v>
      </c>
      <c r="B19" s="1076">
        <v>2017</v>
      </c>
      <c r="E19" s="1075" t="s">
        <v>223</v>
      </c>
      <c r="I19" s="1077" t="s">
        <v>1629</v>
      </c>
      <c r="N19" s="1159" t="s">
        <v>1630</v>
      </c>
      <c r="X19" s="1088"/>
      <c r="AW19" s="1121" t="s">
        <v>1615</v>
      </c>
      <c r="AX19" s="1121" t="s">
        <v>1615</v>
      </c>
      <c r="AZ19" s="1068" t="s">
        <v>1631</v>
      </c>
      <c r="BB19" s="1121" t="s">
        <v>1632</v>
      </c>
      <c r="BC19" s="1121" t="s">
        <v>1458</v>
      </c>
      <c r="BE19" s="1121">
        <v>2017</v>
      </c>
      <c r="BH19" s="1069" t="s">
        <v>1633</v>
      </c>
      <c r="BJ19" s="1218" t="s">
        <v>1634</v>
      </c>
      <c r="BL19" s="1218" t="s">
        <v>1634</v>
      </c>
      <c r="BQ19" s="1282">
        <v>4190064</v>
      </c>
      <c r="BR19" s="1069" t="s">
        <v>1635</v>
      </c>
      <c r="BS19" s="1430"/>
      <c r="BT19" s="1282">
        <v>4189671</v>
      </c>
      <c r="BU19" s="1069" t="s">
        <v>1636</v>
      </c>
      <c r="BV19" s="1071"/>
      <c r="BW19" s="1696">
        <v>4189706</v>
      </c>
      <c r="BX19" s="1694" t="s">
        <v>1637</v>
      </c>
      <c r="BZ19" s="1282">
        <v>4189714</v>
      </c>
      <c r="CA19" s="1069" t="s">
        <v>1638</v>
      </c>
      <c r="CC19" s="1282">
        <v>4189708</v>
      </c>
      <c r="CD19" s="1069" t="s">
        <v>1639</v>
      </c>
    </row>
    <row customHeight="1" ht="21">
      <c r="A20" s="1075" t="s">
        <v>1640</v>
      </c>
      <c r="B20" s="1076">
        <v>2018</v>
      </c>
      <c r="E20" s="1075" t="s">
        <v>1390</v>
      </c>
      <c r="I20" s="1077" t="s">
        <v>1641</v>
      </c>
      <c r="N20" s="1159" t="s">
        <v>1642</v>
      </c>
      <c r="AW20" s="1121" t="s">
        <v>1629</v>
      </c>
      <c r="AX20" s="1121" t="s">
        <v>1629</v>
      </c>
      <c r="AZ20" s="1121" t="s">
        <v>1643</v>
      </c>
      <c r="BB20" s="1121" t="s">
        <v>1644</v>
      </c>
      <c r="BC20" s="1121" t="s">
        <v>1574</v>
      </c>
      <c r="BE20" s="1121">
        <v>2018</v>
      </c>
      <c r="BH20" s="1069" t="s">
        <v>1570</v>
      </c>
      <c r="BJ20" s="1069" t="s">
        <v>1498</v>
      </c>
      <c r="BL20" s="1069" t="s">
        <v>1498</v>
      </c>
      <c r="BQ20" s="1282">
        <v>4190065</v>
      </c>
      <c r="BR20" s="1069" t="s">
        <v>1645</v>
      </c>
      <c r="BS20" s="1430"/>
      <c r="BT20" s="1282">
        <v>4189672</v>
      </c>
      <c r="BU20" s="1069" t="s">
        <v>1646</v>
      </c>
      <c r="BV20" s="1071"/>
      <c r="BW20" s="1696">
        <v>4189705</v>
      </c>
      <c r="BX20" s="1694" t="s">
        <v>1647</v>
      </c>
      <c r="BZ20" s="1282">
        <v>4189713</v>
      </c>
      <c r="CA20" s="1069" t="s">
        <v>1647</v>
      </c>
      <c r="CC20" s="1282">
        <v>4189709</v>
      </c>
      <c r="CD20" s="1069" t="s">
        <v>1648</v>
      </c>
    </row>
    <row customHeight="1" ht="21">
      <c r="A21" s="1075" t="s">
        <v>1649</v>
      </c>
      <c r="B21" s="1076">
        <v>2019</v>
      </c>
      <c r="I21" s="1077" t="s">
        <v>1650</v>
      </c>
      <c r="N21" s="1159" t="s">
        <v>1651</v>
      </c>
      <c r="AW21" s="1121" t="s">
        <v>1641</v>
      </c>
      <c r="AX21" s="1121" t="s">
        <v>1641</v>
      </c>
      <c r="AZ21" s="1121" t="s">
        <v>1652</v>
      </c>
      <c r="BB21" s="1121" t="s">
        <v>1653</v>
      </c>
      <c r="BC21" s="1121" t="s">
        <v>1458</v>
      </c>
      <c r="BE21" s="1121">
        <v>2019</v>
      </c>
      <c r="BH21" s="1069" t="s">
        <v>1577</v>
      </c>
      <c r="BJ21" s="1069" t="s">
        <v>1514</v>
      </c>
      <c r="BL21" s="1069" t="s">
        <v>1514</v>
      </c>
      <c r="BQ21" s="1282">
        <v>4190066</v>
      </c>
      <c r="BR21" s="1069" t="s">
        <v>1654</v>
      </c>
      <c r="BS21" s="1430"/>
      <c r="BT21" s="1282">
        <v>4189673</v>
      </c>
      <c r="BU21" s="1069" t="s">
        <v>1655</v>
      </c>
      <c r="BV21" s="1071"/>
      <c r="BW21" s="1696">
        <v>4189707</v>
      </c>
      <c r="BX21" s="1694" t="s">
        <v>1656</v>
      </c>
      <c r="BZ21" s="1282">
        <v>4189712</v>
      </c>
      <c r="CA21" s="1069" t="s">
        <v>1657</v>
      </c>
      <c r="CC21" s="1282">
        <v>4189710</v>
      </c>
      <c r="CD21" s="1069" t="s">
        <v>1658</v>
      </c>
    </row>
    <row customHeight="1" ht="21">
      <c r="A22" s="1075" t="s">
        <v>1659</v>
      </c>
      <c r="B22" s="1076">
        <v>2020</v>
      </c>
      <c r="N22" s="1159" t="s">
        <v>1660</v>
      </c>
      <c r="AW22" s="1121" t="s">
        <v>1650</v>
      </c>
      <c r="AX22" s="1121" t="s">
        <v>1650</v>
      </c>
      <c r="AZ22" s="1121" t="s">
        <v>1661</v>
      </c>
      <c r="BB22" s="1121" t="s">
        <v>1662</v>
      </c>
      <c r="BC22" s="1121" t="s">
        <v>1458</v>
      </c>
      <c r="BE22" s="1121">
        <v>2020</v>
      </c>
      <c r="BH22" s="1069" t="s">
        <v>1584</v>
      </c>
      <c r="BJ22" s="1069" t="s">
        <v>1530</v>
      </c>
      <c r="BL22" s="1069" t="s">
        <v>1530</v>
      </c>
      <c r="BQ22" s="1282">
        <v>4190067</v>
      </c>
      <c r="BR22" s="1069" t="s">
        <v>1663</v>
      </c>
      <c r="BS22" s="1430"/>
      <c r="BT22" s="1282">
        <v>4189674</v>
      </c>
      <c r="BU22" s="1069" t="s">
        <v>1664</v>
      </c>
      <c r="BV22" s="1071"/>
      <c r="BW22" s="1071"/>
      <c r="CC22" s="1282">
        <v>4189711</v>
      </c>
      <c r="CD22" s="1069" t="s">
        <v>423</v>
      </c>
    </row>
    <row customHeight="1" ht="21">
      <c r="A23" s="1075" t="s">
        <v>1665</v>
      </c>
      <c r="B23" s="1076">
        <v>2021</v>
      </c>
      <c r="AW23" s="1121" t="s">
        <v>1666</v>
      </c>
      <c r="AX23" s="1121" t="s">
        <v>1666</v>
      </c>
      <c r="AZ23" s="1121" t="s">
        <v>1667</v>
      </c>
      <c r="BB23" s="1121" t="s">
        <v>1668</v>
      </c>
      <c r="BC23" s="1121" t="s">
        <v>1369</v>
      </c>
      <c r="BE23" s="1121">
        <v>2021</v>
      </c>
      <c r="BH23" s="1069" t="s">
        <v>1592</v>
      </c>
      <c r="BJ23" s="1069" t="s">
        <v>1545</v>
      </c>
      <c r="BL23" s="1069" t="s">
        <v>1545</v>
      </c>
      <c r="BQ23" s="1282">
        <v>4190068</v>
      </c>
      <c r="BR23" s="1069" t="s">
        <v>1669</v>
      </c>
      <c r="BS23" s="1430"/>
      <c r="BT23" s="1282">
        <v>4189675</v>
      </c>
      <c r="BU23" s="1069" t="s">
        <v>1670</v>
      </c>
      <c r="BV23" s="1071"/>
      <c r="BW23" s="1071"/>
      <c r="CC23" s="1282">
        <v>5110778</v>
      </c>
      <c r="CD23" s="1069" t="s">
        <v>1671</v>
      </c>
    </row>
    <row customHeight="1" ht="21">
      <c r="A24" s="1075" t="s">
        <v>1672</v>
      </c>
      <c r="B24" s="1076">
        <v>2022</v>
      </c>
      <c r="AW24" s="1121" t="s">
        <v>1673</v>
      </c>
      <c r="AX24" s="1121" t="s">
        <v>1673</v>
      </c>
      <c r="AZ24" s="1121" t="s">
        <v>1674</v>
      </c>
      <c r="BB24" s="1121" t="s">
        <v>1675</v>
      </c>
      <c r="BC24" s="1121" t="s">
        <v>1676</v>
      </c>
      <c r="BE24" s="1121">
        <v>2022</v>
      </c>
      <c r="BH24" s="1069" t="s">
        <v>1601</v>
      </c>
      <c r="BJ24" s="1069" t="s">
        <v>1559</v>
      </c>
      <c r="BL24" s="1069" t="s">
        <v>1559</v>
      </c>
      <c r="BQ24" s="1282">
        <v>4190069</v>
      </c>
      <c r="BR24" s="1069" t="s">
        <v>1677</v>
      </c>
      <c r="BS24" s="1430"/>
      <c r="BT24" s="1282">
        <v>4189676</v>
      </c>
      <c r="BU24" s="1069" t="s">
        <v>1678</v>
      </c>
      <c r="BV24" s="1071"/>
      <c r="BW24" s="1071"/>
      <c r="CC24" s="1282">
        <v>25575374</v>
      </c>
      <c r="CD24" s="1069" t="s">
        <v>1679</v>
      </c>
    </row>
    <row customHeight="1" ht="11.25">
      <c r="A25" s="1075" t="s">
        <v>1680</v>
      </c>
      <c r="B25" s="1076">
        <v>2023</v>
      </c>
      <c r="AW25" s="1121" t="s">
        <v>1681</v>
      </c>
      <c r="AX25" s="1121" t="s">
        <v>1681</v>
      </c>
      <c r="AZ25" s="1121" t="s">
        <v>1682</v>
      </c>
      <c r="BB25" s="1121" t="s">
        <v>1683</v>
      </c>
      <c r="BC25" s="1121" t="s">
        <v>1676</v>
      </c>
      <c r="BE25" s="1121">
        <v>2023</v>
      </c>
      <c r="BH25" s="1069" t="s">
        <v>1608</v>
      </c>
      <c r="BJ25" s="1069" t="s">
        <v>1633</v>
      </c>
      <c r="BL25" s="1069" t="s">
        <v>1633</v>
      </c>
      <c r="BQ25" s="1282">
        <v>4190070</v>
      </c>
      <c r="BR25" s="1069" t="s">
        <v>1684</v>
      </c>
      <c r="BS25" s="1430"/>
      <c r="BT25" s="1282">
        <v>4189677</v>
      </c>
      <c r="BU25" s="1069" t="s">
        <v>1685</v>
      </c>
      <c r="BV25" s="1071"/>
      <c r="BW25" s="1071"/>
    </row>
    <row customHeight="1" ht="11.25">
      <c r="A26" s="1075" t="s">
        <v>1686</v>
      </c>
      <c r="B26" s="1076">
        <v>2024</v>
      </c>
      <c r="J26" s="1732" t="s">
        <v>1687</v>
      </c>
      <c r="AX26" s="1121" t="s">
        <v>1688</v>
      </c>
      <c r="AZ26" s="1121" t="s">
        <v>1552</v>
      </c>
      <c r="BB26" s="1121" t="s">
        <v>1689</v>
      </c>
      <c r="BC26" s="1121" t="s">
        <v>1676</v>
      </c>
      <c r="BE26" s="1121">
        <v>2024</v>
      </c>
      <c r="BH26" s="1069" t="s">
        <v>1619</v>
      </c>
      <c r="BJ26" s="1069" t="s">
        <v>1570</v>
      </c>
      <c r="BL26" s="1069" t="s">
        <v>1570</v>
      </c>
      <c r="BQ26" s="1282">
        <v>4190071</v>
      </c>
      <c r="BR26" s="1069" t="s">
        <v>1690</v>
      </c>
      <c r="BS26" s="1430"/>
      <c r="BV26" s="1071"/>
      <c r="BW26" s="1071"/>
    </row>
    <row customHeight="1" ht="11.25">
      <c r="A27" s="1075" t="s">
        <v>1691</v>
      </c>
      <c r="B27" s="1076">
        <v>2025</v>
      </c>
      <c r="J27" s="177" t="s">
        <v>108</v>
      </c>
      <c r="AX27" s="1121" t="s">
        <v>1692</v>
      </c>
      <c r="BB27" s="1121" t="s">
        <v>1693</v>
      </c>
      <c r="BC27" s="1121" t="s">
        <v>1676</v>
      </c>
      <c r="BE27" s="1121">
        <v>2025</v>
      </c>
      <c r="BH27" s="1071" t="s">
        <v>28</v>
      </c>
      <c r="BJ27" s="1069" t="s">
        <v>1577</v>
      </c>
      <c r="BL27" s="1069" t="s">
        <v>1577</v>
      </c>
      <c r="BN27" s="1071" t="s">
        <v>28</v>
      </c>
      <c r="BQ27" s="1282">
        <v>4190072</v>
      </c>
      <c r="BR27" s="1069" t="s">
        <v>1694</v>
      </c>
      <c r="BS27" s="1430"/>
      <c r="BV27" s="1071"/>
      <c r="BW27" s="1071"/>
    </row>
    <row customHeight="1" ht="11.25">
      <c r="A28" s="1075" t="s">
        <v>1695</v>
      </c>
      <c r="D28" s="1102"/>
      <c r="E28" s="1103"/>
      <c r="F28" s="1103"/>
      <c r="H28" s="1104" t="s">
        <v>1696</v>
      </c>
      <c r="AX28" s="1121" t="s">
        <v>1697</v>
      </c>
      <c r="AZ28" s="1068" t="s">
        <v>1698</v>
      </c>
      <c r="BB28" s="1121" t="s">
        <v>1699</v>
      </c>
      <c r="BC28" s="1121" t="s">
        <v>1700</v>
      </c>
      <c r="BE28" s="1121">
        <v>2026</v>
      </c>
      <c r="BH28" s="1071" t="s">
        <v>28</v>
      </c>
      <c r="BJ28" s="1069" t="s">
        <v>1584</v>
      </c>
      <c r="BL28" s="1069" t="s">
        <v>1584</v>
      </c>
      <c r="BN28" s="1071" t="s">
        <v>28</v>
      </c>
      <c r="BQ28" s="1282">
        <v>4190073</v>
      </c>
      <c r="BR28" s="1069" t="s">
        <v>1701</v>
      </c>
      <c r="BS28" s="1430"/>
      <c r="BV28" s="1071"/>
      <c r="BW28" s="1071"/>
    </row>
    <row customHeight="1" ht="11.25">
      <c r="A29" s="1075" t="s">
        <v>1702</v>
      </c>
      <c r="D29" s="1105" t="s">
        <v>1703</v>
      </c>
      <c r="E29" s="1106" t="str">
        <f>IF(TEMPLATE_GROUP="","",INDEX(StartDateList,MATCH(TEMPLATE_GROUP,CodeTemplateList,0),1))</f>
        <v>01.01.2023</v>
      </c>
      <c r="F29" s="1106" t="str">
        <f>IF(TEMPLATE_GROUP="","",INDEX(EndDateList,MATCH(TEMPLATE_GROUP,CodeTemplateList,0),1))</f>
        <v>31.12.2027</v>
      </c>
      <c r="H29" s="1107" t="s">
        <v>1704</v>
      </c>
      <c r="AX29" s="1121" t="s">
        <v>114</v>
      </c>
      <c r="AZ29" s="1121" t="s">
        <v>1353</v>
      </c>
      <c r="BB29" s="1121" t="s">
        <v>1552</v>
      </c>
      <c r="BC29" s="1092"/>
      <c r="BE29" s="1121">
        <v>2027</v>
      </c>
      <c r="BJ29" s="1069" t="s">
        <v>1592</v>
      </c>
      <c r="BL29" s="1069" t="s">
        <v>1592</v>
      </c>
    </row>
    <row customHeight="1" ht="11.25">
      <c r="A30" s="1075" t="s">
        <v>1705</v>
      </c>
      <c r="D30" s="1108"/>
      <c r="E30" s="1109"/>
      <c r="F30" s="1109"/>
      <c r="AX30" s="1121" t="s">
        <v>1706</v>
      </c>
      <c r="AZ30" s="1121" t="s">
        <v>1379</v>
      </c>
      <c r="BE30" s="1121">
        <v>2028</v>
      </c>
      <c r="BJ30" s="1069" t="s">
        <v>1707</v>
      </c>
      <c r="BL30" s="1069" t="s">
        <v>1707</v>
      </c>
    </row>
    <row customHeight="1" ht="12.75">
      <c r="A31" s="1075" t="s">
        <v>1708</v>
      </c>
      <c r="D31" s="1102"/>
      <c r="E31" s="1103"/>
      <c r="F31" s="1103"/>
      <c r="H31" s="1110"/>
      <c r="AX31" s="1121" t="s">
        <v>1709</v>
      </c>
      <c r="AZ31" s="1121" t="s">
        <v>578</v>
      </c>
      <c r="BE31" s="1121">
        <v>2029</v>
      </c>
      <c r="BJ31" s="1069" t="s">
        <v>1710</v>
      </c>
      <c r="BL31" s="1069" t="s">
        <v>1710</v>
      </c>
    </row>
    <row customHeight="1" ht="11.25">
      <c r="A32" s="1075" t="s">
        <v>1711</v>
      </c>
      <c r="D32" s="1105" t="s">
        <v>1712</v>
      </c>
      <c r="E32" s="1106" t="str">
        <f>IF(TEMPLATE_GROUP="","",INDEX(StartDateList,MATCH(TEMPLATE_GROUP,CodeTemplateList,0),1))</f>
        <v>01.01.2023</v>
      </c>
      <c r="F32" s="1106" t="str">
        <f>IF(TEMPLATE_GROUP="","",INDEX(EndDateList,MATCH(TEMPLATE_GROUP,CodeTemplateList,0),1))</f>
        <v>31.12.2027</v>
      </c>
      <c r="H32" s="1111" t="s">
        <v>1713</v>
      </c>
      <c r="O32" s="1075" t="s">
        <v>577</v>
      </c>
      <c r="AX32" s="1121" t="s">
        <v>1714</v>
      </c>
      <c r="AZ32" s="1121" t="s">
        <v>1446</v>
      </c>
      <c r="BE32" s="1121">
        <v>2030</v>
      </c>
      <c r="BJ32" s="1069" t="s">
        <v>1601</v>
      </c>
      <c r="BL32" s="1069" t="s">
        <v>1601</v>
      </c>
    </row>
    <row customHeight="1" ht="11.25">
      <c r="A33" s="1075" t="s">
        <v>1715</v>
      </c>
      <c r="O33" s="1075" t="s">
        <v>1378</v>
      </c>
      <c r="AX33" s="1121" t="s">
        <v>103</v>
      </c>
      <c r="AZ33" s="1121" t="s">
        <v>576</v>
      </c>
      <c r="BE33" s="1121">
        <v>2031</v>
      </c>
      <c r="BJ33" s="1069" t="s">
        <v>1608</v>
      </c>
      <c r="BL33" s="1069" t="s">
        <v>1608</v>
      </c>
    </row>
    <row customHeight="1" ht="11.25">
      <c r="A34" s="1075" t="s">
        <v>1716</v>
      </c>
      <c r="O34" s="1075" t="s">
        <v>1411</v>
      </c>
      <c r="AX34" s="1121" t="s">
        <v>110</v>
      </c>
      <c r="BE34" s="1121">
        <v>2032</v>
      </c>
      <c r="BJ34" s="1069" t="s">
        <v>1619</v>
      </c>
      <c r="BL34" s="1069" t="s">
        <v>1619</v>
      </c>
    </row>
    <row customHeight="1" ht="11.25">
      <c r="A35" s="1075" t="s">
        <v>1717</v>
      </c>
      <c r="O35" s="1075" t="s">
        <v>1444</v>
      </c>
      <c r="AX35" s="1121" t="s">
        <v>1718</v>
      </c>
      <c r="AZ35" s="1068" t="s">
        <v>1719</v>
      </c>
      <c r="BE35" s="1121">
        <v>2033</v>
      </c>
      <c r="BL35" s="1069" t="s">
        <v>1720</v>
      </c>
    </row>
    <row customHeight="1" ht="11.25">
      <c r="A36" s="1871" t="s">
        <v>1721</v>
      </c>
      <c r="D36" s="1112" t="s">
        <v>1722</v>
      </c>
      <c r="E36" s="1113" t="s">
        <v>938</v>
      </c>
      <c r="F36" s="1114" t="str">
        <f>INDEX(E37:E41,MATCH(TEMPLATE_SPHERE,F37:F41,0))</f>
        <v>теплоснабжения</v>
      </c>
      <c r="G36" s="1114" t="str">
        <f>INDEX(G37:G41,MATCH(TEMPLATE_SPHERE,F37:F41,0))</f>
        <v>теплоснабжение</v>
      </c>
      <c r="O36" s="1075" t="s">
        <v>1469</v>
      </c>
      <c r="AX36" s="1121" t="s">
        <v>1723</v>
      </c>
      <c r="AZ36" s="1121" t="s">
        <v>576</v>
      </c>
      <c r="BE36" s="1121">
        <v>2034</v>
      </c>
      <c r="BL36" s="1069" t="s">
        <v>1724</v>
      </c>
    </row>
    <row customHeight="1" ht="11.25">
      <c r="A37" s="1075" t="s">
        <v>1725</v>
      </c>
      <c r="E37" s="408" t="s">
        <v>1726</v>
      </c>
      <c r="F37" s="1115" t="s">
        <v>938</v>
      </c>
      <c r="G37" s="408" t="s">
        <v>1727</v>
      </c>
      <c r="O37" s="1075" t="s">
        <v>1488</v>
      </c>
      <c r="AX37" s="1121" t="s">
        <v>1728</v>
      </c>
      <c r="AZ37" s="1121" t="s">
        <v>575</v>
      </c>
      <c r="BE37" s="1121">
        <v>2035</v>
      </c>
    </row>
    <row customHeight="1" ht="11.25">
      <c r="A38" s="1075" t="s">
        <v>1729</v>
      </c>
      <c r="E38" s="408" t="s">
        <v>1730</v>
      </c>
      <c r="F38" s="1116" t="s">
        <v>984</v>
      </c>
      <c r="G38" s="408" t="s">
        <v>1731</v>
      </c>
      <c r="O38" s="1075" t="s">
        <v>1505</v>
      </c>
      <c r="AX38" s="1121" t="s">
        <v>1732</v>
      </c>
      <c r="AZ38" s="1121" t="s">
        <v>1412</v>
      </c>
      <c r="BE38" s="1121">
        <v>2036</v>
      </c>
      <c r="BH38" s="1068" t="s">
        <v>1733</v>
      </c>
      <c r="BJ38" s="1068" t="s">
        <v>1734</v>
      </c>
      <c r="BL38" s="1068" t="s">
        <v>1735</v>
      </c>
      <c r="BN38" s="1068" t="s">
        <v>1736</v>
      </c>
    </row>
    <row customHeight="1" ht="11.25">
      <c r="A39" s="1075" t="s">
        <v>16</v>
      </c>
      <c r="E39" s="408" t="s">
        <v>1737</v>
      </c>
      <c r="F39" s="1116" t="s">
        <v>1037</v>
      </c>
      <c r="G39" s="408" t="s">
        <v>1738</v>
      </c>
      <c r="O39" s="1075" t="s">
        <v>1521</v>
      </c>
      <c r="AX39" s="1121" t="s">
        <v>1739</v>
      </c>
      <c r="AZ39" s="1121" t="s">
        <v>1445</v>
      </c>
      <c r="BE39" s="1121">
        <v>2037</v>
      </c>
      <c r="BH39" s="1069" t="s">
        <v>1740</v>
      </c>
      <c r="BJ39" s="1218" t="s">
        <v>1740</v>
      </c>
      <c r="BL39" s="1218" t="s">
        <v>1740</v>
      </c>
      <c r="BN39" s="1069" t="s">
        <v>1741</v>
      </c>
    </row>
    <row customHeight="1" ht="11.25">
      <c r="A40" s="1075" t="s">
        <v>1742</v>
      </c>
      <c r="E40" s="408" t="s">
        <v>1743</v>
      </c>
      <c r="F40" s="1116" t="s">
        <v>1024</v>
      </c>
      <c r="G40" s="408" t="s">
        <v>1744</v>
      </c>
      <c r="O40" s="1075" t="s">
        <v>594</v>
      </c>
      <c r="AX40" s="1121" t="s">
        <v>1745</v>
      </c>
      <c r="BE40" s="1121">
        <v>2038</v>
      </c>
      <c r="BH40" s="1069" t="s">
        <v>1746</v>
      </c>
      <c r="BJ40" s="1218" t="s">
        <v>1157</v>
      </c>
      <c r="BL40" s="1218" t="s">
        <v>1157</v>
      </c>
      <c r="BN40" s="1069" t="s">
        <v>1191</v>
      </c>
    </row>
    <row customHeight="1" ht="11.25">
      <c r="A41" s="1075" t="s">
        <v>1747</v>
      </c>
      <c r="E41" s="408" t="s">
        <v>1748</v>
      </c>
      <c r="F41" s="1116" t="s">
        <v>1749</v>
      </c>
      <c r="G41" s="408" t="s">
        <v>1748</v>
      </c>
      <c r="O41" s="1075" t="s">
        <v>1552</v>
      </c>
      <c r="AX41" s="1121" t="s">
        <v>1750</v>
      </c>
      <c r="AZ41" s="1068" t="s">
        <v>1751</v>
      </c>
      <c r="BE41" s="1121">
        <v>2039</v>
      </c>
      <c r="BH41" s="1069" t="s">
        <v>1752</v>
      </c>
      <c r="BJ41" s="1218" t="s">
        <v>1153</v>
      </c>
      <c r="BL41" s="1218" t="s">
        <v>1153</v>
      </c>
      <c r="BN41" s="1069" t="s">
        <v>1178</v>
      </c>
    </row>
    <row customHeight="1" ht="11.25">
      <c r="A42" s="1075" t="s">
        <v>1753</v>
      </c>
      <c r="AX42" s="1121" t="s">
        <v>1754</v>
      </c>
      <c r="AZ42" s="1121" t="s">
        <v>577</v>
      </c>
      <c r="BE42" s="1121">
        <v>2040</v>
      </c>
      <c r="BH42" s="1069" t="s">
        <v>1175</v>
      </c>
      <c r="BJ42" s="1218" t="s">
        <v>1155</v>
      </c>
      <c r="BL42" s="1218" t="s">
        <v>1155</v>
      </c>
      <c r="BN42" s="1069" t="s">
        <v>1755</v>
      </c>
    </row>
    <row customHeight="1" ht="11.25">
      <c r="A43" s="1075" t="s">
        <v>1756</v>
      </c>
      <c r="AX43" s="1121" t="s">
        <v>1757</v>
      </c>
      <c r="AZ43" s="1121" t="s">
        <v>1378</v>
      </c>
      <c r="BE43" s="1121">
        <v>2041</v>
      </c>
      <c r="BH43" s="1069" t="s">
        <v>1758</v>
      </c>
      <c r="BJ43" s="1218" t="s">
        <v>1752</v>
      </c>
      <c r="BL43" s="1218" t="s">
        <v>1752</v>
      </c>
      <c r="BN43" s="1069" t="s">
        <v>1759</v>
      </c>
    </row>
    <row customHeight="1" ht="11.25">
      <c r="A44" s="1075" t="s">
        <v>1760</v>
      </c>
      <c r="G44" s="1095">
        <f>YEAR(TODAY())</f>
        <v>2026</v>
      </c>
      <c r="I44" s="800" t="s">
        <v>1761</v>
      </c>
      <c r="J44" s="1090" t="s">
        <v>1762</v>
      </c>
      <c r="K44" s="1090" t="s">
        <v>1763</v>
      </c>
      <c r="AX44" s="1121" t="s">
        <v>1764</v>
      </c>
      <c r="AZ44" s="1121" t="s">
        <v>1411</v>
      </c>
      <c r="BE44" s="1121">
        <v>2042</v>
      </c>
      <c r="BH44" s="1069" t="s">
        <v>1765</v>
      </c>
      <c r="BJ44" s="1218" t="s">
        <v>1175</v>
      </c>
      <c r="BL44" s="1218" t="s">
        <v>1175</v>
      </c>
      <c r="BN44" s="1069" t="s">
        <v>1766</v>
      </c>
    </row>
    <row customHeight="1" ht="11.25">
      <c r="A45" s="1075" t="s">
        <v>1767</v>
      </c>
      <c r="D45" s="1112" t="s">
        <v>1768</v>
      </c>
      <c r="E45" s="1113" t="s">
        <v>1769</v>
      </c>
      <c r="F45" s="798" t="s">
        <v>1770</v>
      </c>
      <c r="G45" s="797" t="s">
        <v>1771</v>
      </c>
      <c r="H45" s="800" t="s">
        <v>1772</v>
      </c>
      <c r="I45" s="1742">
        <f>INDEX(PeriodIsEmptyList,MATCH(TEMPLATE_GROUP,CodeTemplateList,0),1)</f>
        <v>0</v>
      </c>
      <c r="J45" s="1745" t="str">
        <f>INDEX(NameTemplatesInTitleList,MATCH(TEMPLATE_GROUP,CodeTemplateList,0),1)</f>
        <v>Показатели, подлежащие раскрытию в сфере теплоснабжения (цены и тарифы)</v>
      </c>
      <c r="K45" s="1745" t="str">
        <f>"Перечень муниципальных районов и муниципальных образований (территорий "&amp;IF(OR(TEMPLATE_GROUP="P",TEMPLATE_GROUP="R",TEMPLATE_GROUP="Q"),"действия тарифа","оказания услуг")&amp;")"</f>
        <v>Перечень муниципальных районов и муниципальных образований (территорий действия тарифа)</v>
      </c>
      <c r="AX45" s="1121" t="s">
        <v>1773</v>
      </c>
      <c r="AZ45" s="1121" t="s">
        <v>1444</v>
      </c>
      <c r="BE45" s="1121">
        <v>2043</v>
      </c>
      <c r="BH45" s="1069" t="s">
        <v>1774</v>
      </c>
      <c r="BJ45" s="1218" t="s">
        <v>1169</v>
      </c>
      <c r="BL45" s="1218" t="s">
        <v>1169</v>
      </c>
      <c r="BN45" s="1069" t="s">
        <v>1775</v>
      </c>
    </row>
    <row customHeight="1" ht="11.25">
      <c r="A46" s="1075" t="s">
        <v>1776</v>
      </c>
      <c r="E46" s="408" t="s">
        <v>26</v>
      </c>
      <c r="F46" s="1115" t="s">
        <v>1777</v>
      </c>
      <c r="G46" s="1117" t="str">
        <f>_xlfn.IFERROR(IF(TITLE_DATE_FIL="","01.01."&amp;CURRENT_YEAR,"01.01."&amp;YEAR(TITLE_DATE_FIL)),"01.01."&amp;CURRENT_YEAR)</f>
        <v>01.01.2026</v>
      </c>
      <c r="H46" s="1117" t="str">
        <f>_xlfn.IFERROR(IF(TITLE_DATE_FIL="","31.12."&amp;CURRENT_YEAR,"31.12."&amp;YEAR(TITLE_DATE_FIL)),"31.12."&amp;CURRENT_YEAR)</f>
        <v>31.12.2026</v>
      </c>
      <c r="I46" s="1743">
        <f>IF(TITLE_DATE_FIL="",TRUE,FALSE)</f>
        <v>1</v>
      </c>
      <c r="J46" s="1746" t="str">
        <f>"Общая информация о регулируемой организации ("&amp;TEMPLATE_SPHERE_RUS&amp;")"</f>
        <v>Общая информация о регулируемой организации (теплоснабжения)</v>
      </c>
      <c r="K46" s="1747"/>
      <c r="AX46" s="1121" t="s">
        <v>1778</v>
      </c>
      <c r="AZ46" s="1121" t="s">
        <v>1469</v>
      </c>
      <c r="BE46" s="1121">
        <v>2044</v>
      </c>
      <c r="BH46" s="1069" t="s">
        <v>1178</v>
      </c>
      <c r="BJ46" s="1218" t="s">
        <v>1159</v>
      </c>
      <c r="BL46" s="1218" t="s">
        <v>1159</v>
      </c>
      <c r="BN46" s="1069" t="s">
        <v>1779</v>
      </c>
    </row>
    <row customHeight="1" ht="11.25">
      <c r="A47" s="1075" t="s">
        <v>1780</v>
      </c>
      <c r="E47" s="408" t="s">
        <v>33</v>
      </c>
      <c r="F47" s="1116" t="s">
        <v>1781</v>
      </c>
      <c r="G47" s="1117" t="str">
        <f>_xlfn.IFERROR(IF(f_year="","01.01."&amp;CURRENT_YEAR,IF(LEN(f_quart)=0,"01.01."&amp;f_year,IF(f_quart="I квартал","01.01."&amp;f_year,IF(f_quart="II квартал","01.04."&amp;f_year,(IF(f_quart="III квартал","01.07."&amp;f_year,"01.10."&amp;f_year)))))),"01.01."&amp;CURRENT_YEAR)</f>
        <v>01.01.2026</v>
      </c>
      <c r="H47" s="1117" t="str">
        <f>_xlfn.IFERROR(IF(f_year="","31.12."&amp;CURRENT_YEAR,IF(LEN(f_quart)=0,"31.12."&amp;f_year,IF(f_quart="I квартал","31.03."&amp;f_year,IF(f_quart="II квартал","30.06."&amp;f_year,(IF(f_quart="III квартал","30.09."&amp;f_year,"31.12."&amp;f_year)))))),"31.12."&amp;CURRENT_YEAR)</f>
        <v>31.12.2026</v>
      </c>
      <c r="I47" s="1744">
        <f>IF(OR(f_year="",f_quart=""),TRUE,FALSE)</f>
        <v>1</v>
      </c>
      <c r="J47" s="1746" t="str">
        <f>"Информация о наличии (отсутствии) технической возможности подключения к централизованной системе "&amp;TEMPLATE_SPHERE_RUS&amp;", а также о регистрации и ходе реализации заявок о подключении к централизованной системе "&amp;TEMPLATE_SPHERE_RUS</f>
        <v>Информация о наличии (отсутствии) технической возможности подключения к централизованной системе теплоснабжения, а также о регистрации и ходе реализации заявок о подключении к централизованной системе теплоснабжения</v>
      </c>
      <c r="K47" s="1747"/>
      <c r="AX47" s="1121" t="s">
        <v>1782</v>
      </c>
      <c r="AZ47" s="1121" t="s">
        <v>1488</v>
      </c>
      <c r="BE47" s="1121">
        <v>2045</v>
      </c>
      <c r="BH47" s="1069" t="s">
        <v>1755</v>
      </c>
      <c r="BJ47" s="1218" t="s">
        <v>1161</v>
      </c>
      <c r="BL47" s="1218" t="s">
        <v>1161</v>
      </c>
      <c r="BN47" s="1069" t="s">
        <v>1783</v>
      </c>
    </row>
    <row customHeight="1" ht="11.25">
      <c r="A48" s="1075" t="s">
        <v>1784</v>
      </c>
      <c r="E48" s="408" t="s">
        <v>1785</v>
      </c>
      <c r="F48" s="1116" t="s">
        <v>1786</v>
      </c>
      <c r="G48" s="1117" t="str">
        <f>_xlfn.IFERROR(IF(f_year="","01.01."&amp;CURRENT_YEAR,"01.01."&amp;f_year),"01.01."&amp;CURRENT_YEAR)</f>
        <v>01.01.2026</v>
      </c>
      <c r="H48" s="1117" t="str">
        <f>_xlfn.IFERROR(IF(f_year="","31.12."&amp;CURRENT_YEAR,"31.12."&amp;f_year),"31.12."&amp;CURRENT_YEAR)</f>
        <v>31.12.2026</v>
      </c>
      <c r="I48" s="1743">
        <f>IF(f_year="",TRUE,FALSE)</f>
        <v>1</v>
      </c>
      <c r="J48" s="1746" t="s">
        <v>1787</v>
      </c>
      <c r="K48" s="1747"/>
      <c r="AX48" s="1121" t="s">
        <v>1788</v>
      </c>
      <c r="AZ48" s="1121" t="s">
        <v>1505</v>
      </c>
      <c r="BE48" s="1121">
        <v>2046</v>
      </c>
      <c r="BH48" s="1069" t="s">
        <v>1759</v>
      </c>
      <c r="BJ48" s="1218" t="s">
        <v>1163</v>
      </c>
      <c r="BL48" s="1218" t="s">
        <v>1163</v>
      </c>
      <c r="BN48" s="1069" t="s">
        <v>1789</v>
      </c>
    </row>
    <row customHeight="1" ht="11.25">
      <c r="A49" s="1075" t="s">
        <v>1790</v>
      </c>
      <c r="E49" s="408" t="s">
        <v>1791</v>
      </c>
      <c r="F49" s="1116" t="s">
        <v>1792</v>
      </c>
      <c r="G49" s="1117" t="str">
        <f>_xlfn.IFERROR(IF(f_year="","01.01."&amp;CURRENT_YEAR,"01.01."&amp;f_year),"01.01."&amp;CURRENT_YEAR)</f>
        <v>01.01.2026</v>
      </c>
      <c r="H49" s="1117" t="str">
        <f>_xlfn.IFERROR(IF(f_year="","31.12."&amp;CURRENT_YEAR,"31.12."&amp;f_year),"31.12."&amp;CURRENT_YEAR)</f>
        <v>31.12.2026</v>
      </c>
      <c r="I49" s="1743">
        <f>IF(f_year="",TRUE,FALSE)</f>
        <v>1</v>
      </c>
      <c r="J49" s="1746" t="str">
        <f>"Информация об условиях, на которых осуществляется поставка товаров (оказание услуг) в сфере "&amp;TEMPLATE_SPHERE_RUS</f>
        <v>Информация об условиях, на которых осуществляется поставка товаров (оказание услуг) в сфере теплоснабжения</v>
      </c>
      <c r="K49" s="1747"/>
      <c r="AX49" s="1121" t="s">
        <v>1793</v>
      </c>
      <c r="AZ49" s="1121" t="s">
        <v>1521</v>
      </c>
      <c r="BE49" s="1121">
        <v>2047</v>
      </c>
      <c r="BH49" s="1069" t="s">
        <v>1179</v>
      </c>
      <c r="BJ49" s="1218" t="s">
        <v>1165</v>
      </c>
      <c r="BL49" s="1218" t="s">
        <v>1165</v>
      </c>
    </row>
    <row customHeight="1" ht="11.25">
      <c r="A50" s="1075" t="s">
        <v>1794</v>
      </c>
      <c r="E50" s="408" t="s">
        <v>1795</v>
      </c>
      <c r="F50" s="1116" t="s">
        <v>1149</v>
      </c>
      <c r="G50" s="1117" t="str">
        <f>_xlfn.IFERROR(IF(f_year="","01.01."&amp;CURRENT_YEAR,"01.01."&amp;f_year),"01.01."&amp;CURRENT_YEAR)</f>
        <v>01.01.2026</v>
      </c>
      <c r="H50" s="1117" t="str">
        <f>_xlfn.IFERROR(IF(f_year="","31.12."&amp;CURRENT_YEAR,"31.12."&amp;f_year),"31.12."&amp;CURRENT_YEAR)</f>
        <v>31.12.2026</v>
      </c>
      <c r="I50" s="1743">
        <f>IF(f_year="",TRUE,FALSE)</f>
        <v>1</v>
      </c>
      <c r="J50" s="1746" t="str">
        <f>"Информация об инвестиционных программах регулируемой организации в области "&amp;TEMPLATE_SPHERE_RUS</f>
        <v>Информация об инвестиционных программах регулируемой организации в области теплоснабжения</v>
      </c>
      <c r="K50" s="1747"/>
      <c r="AX50" s="1121" t="s">
        <v>1796</v>
      </c>
      <c r="AZ50" s="1121" t="s">
        <v>594</v>
      </c>
      <c r="BE50" s="1121">
        <v>2048</v>
      </c>
      <c r="BH50" s="1069" t="s">
        <v>1766</v>
      </c>
      <c r="BJ50" s="1218" t="s">
        <v>1167</v>
      </c>
      <c r="BL50" s="1218" t="s">
        <v>1167</v>
      </c>
    </row>
    <row customHeight="1" ht="11.25">
      <c r="A51" s="1075" t="s">
        <v>1797</v>
      </c>
      <c r="E51" s="408" t="s">
        <v>1798</v>
      </c>
      <c r="F51" s="1116" t="s">
        <v>1799</v>
      </c>
      <c r="G51" s="1117" t="str">
        <f>_xlfn.IFERROR(IF(TITLE_PERIOD_START="","01.01."&amp;CURRENT_YEAR,"01.01."&amp;YEAR(TITLE_PERIOD_START)),"01.01."&amp;CURRENT_YEAR)</f>
        <v>01.01.2023</v>
      </c>
      <c r="H51" s="1117" t="str">
        <f>_xlfn.IFERROR(IF(TITLE_PERIOD_END="","31.12."&amp;CURRENT_YEAR,"31.12."&amp;YEAR(TITLE_PERIOD_END)),"31.12."&amp;CURRENT_YEAR)</f>
        <v>31.12.2027</v>
      </c>
      <c r="I51" s="1744">
        <f>IF(OR(TITLE_PERIOD_START="",TITLE_PERIOD_END=""),TRUE,FALSE)</f>
        <v>0</v>
      </c>
      <c r="J51" s="1746" t="str">
        <f>"Предложение регулируемой организации об установлении тарифов в сфере "&amp;TEMPLATE_SPHERE_RUS&amp;", информация о способах приобретения, стоимости и объемах товаров, необходимых для производства регулируемых товаров и (или) оказания регулируемых услуг"</f>
        <v>Предложение регулируемой организации об установлении тарифов в сфере теплоснабжения, информация о способах приобретения, стоимости и объемах товаров, необходимых для производства регулируемых товаров и (или) оказания регулируемых услуг</v>
      </c>
      <c r="K51" s="1747"/>
      <c r="AX51" s="1121" t="s">
        <v>1800</v>
      </c>
      <c r="AZ51" s="1121" t="s">
        <v>1552</v>
      </c>
      <c r="BE51" s="1121">
        <v>2049</v>
      </c>
      <c r="BH51" s="1069" t="s">
        <v>1775</v>
      </c>
      <c r="BJ51" s="1218" t="s">
        <v>1801</v>
      </c>
      <c r="BL51" s="1218" t="s">
        <v>1801</v>
      </c>
    </row>
    <row customHeight="1" ht="11.25">
      <c r="A52" s="1075" t="s">
        <v>1802</v>
      </c>
      <c r="E52" s="408" t="s">
        <v>1803</v>
      </c>
      <c r="F52" s="1116" t="s">
        <v>1769</v>
      </c>
      <c r="G52" s="1117" t="str">
        <f>_xlfn.IFERROR(IF(TITLE_PERIOD_START="","01.01."&amp;CURRENT_YEAR,"01.01."&amp;YEAR(TITLE_PERIOD_START)),"01.01."&amp;CURRENT_YEAR)</f>
        <v>01.01.2023</v>
      </c>
      <c r="H52" s="1117" t="str">
        <f>_xlfn.IFERROR(IF(TITLE_PERIOD_END="","31.12."&amp;CURRENT_YEAR,"31.12."&amp;YEAR(TITLE_PERIOD_END)),"31.12."&amp;CURRENT_YEAR)</f>
        <v>31.12.2027</v>
      </c>
      <c r="I52" s="1744">
        <f>IF(OR(TITLE_PERIOD_START="",TITLE_PERIOD_END=""),TRUE,FALSE)</f>
        <v>0</v>
      </c>
      <c r="J52" s="1746" t="str">
        <f>"Показатели, подлежащие раскрытию в сфере "&amp;TEMPLATE_SPHERE_RUS&amp;" (цены и тарифы)"</f>
        <v>Показатели, подлежащие раскрытию в сфере теплоснабжения (цены и тарифы)</v>
      </c>
      <c r="K52" s="1747"/>
      <c r="AX52" s="1121" t="s">
        <v>1804</v>
      </c>
      <c r="AZ52" s="1121" t="s">
        <v>576</v>
      </c>
      <c r="BE52" s="1121">
        <v>2050</v>
      </c>
      <c r="BH52" s="1069" t="s">
        <v>1779</v>
      </c>
      <c r="BJ52" s="1218" t="s">
        <v>1178</v>
      </c>
      <c r="BL52" s="1218" t="s">
        <v>1178</v>
      </c>
    </row>
    <row customHeight="1" ht="11.25">
      <c r="A53" s="1075" t="s">
        <v>1805</v>
      </c>
      <c r="E53" s="408" t="s">
        <v>1806</v>
      </c>
      <c r="F53" s="1116" t="s">
        <v>1806</v>
      </c>
      <c r="G53" s="1117" t="str">
        <f>_xlfn.IFERROR(IF(f_year="","01.01."&amp;CURRENT_YEAR,"01.01."&amp;f_year),"01.01."&amp;CURRENT_YEAR)</f>
        <v>01.01.2026</v>
      </c>
      <c r="H53" s="1117" t="str">
        <f>_xlfn.IFERROR(IF(f_year="","31.12."&amp;CURRENT_YEAR,"31.12."&amp;f_year),"31.12."&amp;CURRENT_YEAR)</f>
        <v>31.12.2026</v>
      </c>
      <c r="I53" s="1743">
        <f>IF(AND(f_year="",TITLE_DATE_FIL=""),TRUE,FALSE)</f>
        <v>1</v>
      </c>
      <c r="J53" s="1746" t="s">
        <v>1807</v>
      </c>
      <c r="K53" s="1747"/>
      <c r="AX53" s="1121" t="s">
        <v>1808</v>
      </c>
      <c r="BE53" s="1121">
        <v>2051</v>
      </c>
      <c r="BH53" s="1069" t="s">
        <v>1783</v>
      </c>
      <c r="BJ53" s="1218" t="s">
        <v>1755</v>
      </c>
      <c r="BL53" s="1218" t="s">
        <v>1755</v>
      </c>
    </row>
    <row customHeight="1" ht="11.25">
      <c r="A54" s="1075" t="s">
        <v>1809</v>
      </c>
      <c r="AX54" s="1121" t="s">
        <v>1810</v>
      </c>
      <c r="AZ54" s="1068" t="s">
        <v>1811</v>
      </c>
      <c r="BE54" s="1121">
        <v>2052</v>
      </c>
      <c r="BH54" s="1069" t="s">
        <v>1789</v>
      </c>
      <c r="BJ54" s="1218" t="s">
        <v>1759</v>
      </c>
      <c r="BL54" s="1218" t="s">
        <v>1759</v>
      </c>
    </row>
    <row customHeight="1" ht="11.25">
      <c r="A55" s="1075" t="s">
        <v>1812</v>
      </c>
      <c r="AX55" s="1121" t="s">
        <v>1813</v>
      </c>
      <c r="AZ55" s="1121" t="s">
        <v>1354</v>
      </c>
      <c r="BE55" s="1121">
        <v>2053</v>
      </c>
      <c r="BH55" s="1071" t="s">
        <v>28</v>
      </c>
      <c r="BJ55" s="1218" t="s">
        <v>1179</v>
      </c>
      <c r="BL55" s="1218" t="s">
        <v>1179</v>
      </c>
    </row>
    <row customHeight="1" ht="11.25">
      <c r="A56" s="1075" t="s">
        <v>1814</v>
      </c>
      <c r="D56" s="1119" t="s">
        <v>1815</v>
      </c>
      <c r="E56" s="1096" t="s">
        <v>1816</v>
      </c>
      <c r="F56" s="1075" t="s">
        <v>1817</v>
      </c>
      <c r="AX56" s="1121" t="s">
        <v>1818</v>
      </c>
      <c r="AZ56" s="1121" t="s">
        <v>1380</v>
      </c>
      <c r="BE56" s="1121">
        <v>2054</v>
      </c>
      <c r="BH56" s="1071" t="s">
        <v>28</v>
      </c>
      <c r="BJ56" s="1218" t="s">
        <v>1766</v>
      </c>
      <c r="BL56" s="1218" t="s">
        <v>1766</v>
      </c>
    </row>
    <row customHeight="1" ht="11.25">
      <c r="A57" s="1075" t="s">
        <v>1819</v>
      </c>
      <c r="D57" s="1119" t="s">
        <v>1820</v>
      </c>
      <c r="E57" s="1096" t="s">
        <v>124</v>
      </c>
      <c r="F57" s="1075" t="s">
        <v>1817</v>
      </c>
      <c r="AX57" s="1121" t="s">
        <v>1821</v>
      </c>
      <c r="AZ57" s="1121" t="s">
        <v>1414</v>
      </c>
      <c r="BE57" s="1121">
        <v>2055</v>
      </c>
      <c r="BJ57" s="1218" t="s">
        <v>1775</v>
      </c>
      <c r="BL57" s="1218" t="s">
        <v>1775</v>
      </c>
    </row>
    <row customHeight="1" ht="11.25">
      <c r="A58" s="1075" t="s">
        <v>1822</v>
      </c>
      <c r="D58" s="1119" t="s">
        <v>1823</v>
      </c>
      <c r="E58" s="1096" t="s">
        <v>124</v>
      </c>
      <c r="F58" s="1075" t="s">
        <v>1817</v>
      </c>
      <c r="AX58" s="1121" t="s">
        <v>1824</v>
      </c>
      <c r="BE58" s="1121">
        <v>2056</v>
      </c>
      <c r="BJ58" s="1218" t="s">
        <v>1779</v>
      </c>
      <c r="BL58" s="1218" t="s">
        <v>1779</v>
      </c>
    </row>
    <row customHeight="1" ht="11.25">
      <c r="A59" s="1075" t="s">
        <v>1825</v>
      </c>
      <c r="D59" s="1119" t="s">
        <v>144</v>
      </c>
      <c r="E59" s="1096" t="s">
        <v>1714</v>
      </c>
      <c r="F59" s="1075" t="s">
        <v>1826</v>
      </c>
      <c r="AX59" s="1121" t="s">
        <v>1827</v>
      </c>
      <c r="AZ59" s="1068" t="s">
        <v>1828</v>
      </c>
      <c r="BE59" s="1121">
        <v>2057</v>
      </c>
      <c r="BJ59" s="1218" t="s">
        <v>1783</v>
      </c>
      <c r="BL59" s="1218" t="s">
        <v>1783</v>
      </c>
    </row>
    <row customHeight="1" ht="11.25">
      <c r="A60" s="1075" t="s">
        <v>1829</v>
      </c>
      <c r="D60" s="1119" t="s">
        <v>1830</v>
      </c>
      <c r="E60" s="1096" t="s">
        <v>1714</v>
      </c>
      <c r="F60" s="1075" t="s">
        <v>1826</v>
      </c>
      <c r="AX60" s="1121" t="s">
        <v>1831</v>
      </c>
      <c r="AZ60" s="1121" t="s">
        <v>1355</v>
      </c>
      <c r="BE60" s="1121">
        <v>2058</v>
      </c>
      <c r="BJ60" s="1218" t="s">
        <v>1789</v>
      </c>
      <c r="BL60" s="1218" t="s">
        <v>1789</v>
      </c>
    </row>
    <row customHeight="1" ht="11.25">
      <c r="A61" s="1075" t="s">
        <v>1832</v>
      </c>
      <c r="D61" s="1119" t="s">
        <v>1833</v>
      </c>
      <c r="E61" s="1096" t="s">
        <v>1834</v>
      </c>
      <c r="F61" s="1075" t="s">
        <v>1826</v>
      </c>
      <c r="AX61" s="1121" t="s">
        <v>1835</v>
      </c>
      <c r="AZ61" s="1121" t="s">
        <v>1381</v>
      </c>
      <c r="BE61" s="1121">
        <v>2059</v>
      </c>
      <c r="BL61" s="1218" t="s">
        <v>1171</v>
      </c>
    </row>
    <row customHeight="1" ht="11.25">
      <c r="A62" s="1075" t="s">
        <v>1836</v>
      </c>
      <c r="D62" s="1119" t="s">
        <v>143</v>
      </c>
      <c r="E62" s="1096">
        <v>54</v>
      </c>
      <c r="F62" s="1075" t="s">
        <v>1826</v>
      </c>
      <c r="AZ62" s="1121" t="s">
        <v>1415</v>
      </c>
      <c r="BE62" s="1121">
        <v>2060</v>
      </c>
      <c r="BL62" s="1218" t="s">
        <v>1173</v>
      </c>
    </row>
    <row customHeight="1" ht="11.25">
      <c r="A63" s="1075" t="s">
        <v>1837</v>
      </c>
      <c r="D63" s="1119" t="s">
        <v>1838</v>
      </c>
      <c r="E63" s="1096">
        <v>54</v>
      </c>
      <c r="F63" s="1075" t="s">
        <v>1826</v>
      </c>
      <c r="AZ63" s="1121" t="s">
        <v>1447</v>
      </c>
      <c r="BE63" s="1121">
        <v>2061</v>
      </c>
    </row>
    <row customHeight="1" ht="11.25">
      <c r="A64" s="1075" t="s">
        <v>1839</v>
      </c>
      <c r="D64" s="1119" t="s">
        <v>1840</v>
      </c>
      <c r="E64" s="1096">
        <v>54</v>
      </c>
      <c r="F64" s="1075" t="s">
        <v>1826</v>
      </c>
      <c r="AZ64" s="1121" t="s">
        <v>1470</v>
      </c>
      <c r="BE64" s="1121">
        <v>2062</v>
      </c>
    </row>
    <row customHeight="1" ht="11.25">
      <c r="A65" s="1075" t="s">
        <v>1841</v>
      </c>
      <c r="D65" s="1075"/>
      <c r="BE65" s="1121">
        <v>2063</v>
      </c>
    </row>
    <row customHeight="1" ht="11.25">
      <c r="A66" s="1075" t="s">
        <v>1842</v>
      </c>
      <c r="AZ66" s="1068" t="s">
        <v>1843</v>
      </c>
      <c r="BE66" s="1121">
        <v>2064</v>
      </c>
    </row>
    <row customHeight="1" ht="11.25">
      <c r="A67" s="1075" t="s">
        <v>1844</v>
      </c>
      <c r="AZ67" s="1121" t="s">
        <v>1356</v>
      </c>
      <c r="BE67" s="1121">
        <v>2065</v>
      </c>
    </row>
    <row customHeight="1" ht="11.25">
      <c r="A68" s="1075" t="s">
        <v>1845</v>
      </c>
      <c r="AZ68" s="1121" t="s">
        <v>1382</v>
      </c>
      <c r="BE68" s="1121">
        <v>2066</v>
      </c>
      <c r="BH68" s="1068" t="s">
        <v>1846</v>
      </c>
      <c r="BJ68" s="1068" t="s">
        <v>1847</v>
      </c>
      <c r="BL68" s="1068" t="s">
        <v>1848</v>
      </c>
      <c r="BN68" s="1068" t="s">
        <v>1849</v>
      </c>
    </row>
    <row customHeight="1" ht="11.25">
      <c r="A69" s="1075" t="s">
        <v>1850</v>
      </c>
      <c r="AZ69" s="1121" t="s">
        <v>1416</v>
      </c>
      <c r="BE69" s="1121">
        <v>2067</v>
      </c>
      <c r="BH69" s="1069" t="s">
        <v>1851</v>
      </c>
      <c r="BI69" s="1118" t="s">
        <v>123</v>
      </c>
      <c r="BJ69" s="1069" t="s">
        <v>1852</v>
      </c>
      <c r="BK69" s="1118" t="s">
        <v>123</v>
      </c>
      <c r="BL69" s="1069" t="s">
        <v>1853</v>
      </c>
      <c r="BM69" s="1071" t="s">
        <v>123</v>
      </c>
      <c r="BN69" s="1069" t="s">
        <v>1854</v>
      </c>
    </row>
    <row customHeight="1" ht="11.25">
      <c r="A70" s="1075" t="s">
        <v>1855</v>
      </c>
      <c r="AZ70" s="1121" t="s">
        <v>1448</v>
      </c>
      <c r="BE70" s="1121">
        <v>2068</v>
      </c>
      <c r="BH70" s="1069" t="s">
        <v>1856</v>
      </c>
      <c r="BJ70" s="1069" t="s">
        <v>1857</v>
      </c>
      <c r="BL70" s="1069" t="s">
        <v>1858</v>
      </c>
      <c r="BN70" s="1069" t="s">
        <v>1859</v>
      </c>
    </row>
    <row customHeight="1" ht="11.25">
      <c r="A71" s="1075" t="s">
        <v>1860</v>
      </c>
      <c r="AZ71" s="1121" t="s">
        <v>1450</v>
      </c>
      <c r="BE71" s="1121">
        <v>2069</v>
      </c>
      <c r="BH71" s="1069" t="s">
        <v>1861</v>
      </c>
      <c r="BI71" s="1118" t="s">
        <v>94</v>
      </c>
      <c r="BJ71" s="1069" t="s">
        <v>1862</v>
      </c>
      <c r="BK71" s="1118" t="s">
        <v>94</v>
      </c>
      <c r="BL71" s="1069" t="s">
        <v>1863</v>
      </c>
      <c r="BM71" s="1071" t="s">
        <v>94</v>
      </c>
      <c r="BN71" s="1069" t="s">
        <v>1864</v>
      </c>
    </row>
    <row customHeight="1" ht="11.25">
      <c r="A72" s="1075" t="s">
        <v>1865</v>
      </c>
      <c r="AZ72" s="1121" t="s">
        <v>19</v>
      </c>
      <c r="BE72" s="1121">
        <v>2070</v>
      </c>
      <c r="BH72" s="1069" t="s">
        <v>1866</v>
      </c>
      <c r="BJ72" s="1069" t="s">
        <v>1866</v>
      </c>
      <c r="BL72" s="1069" t="s">
        <v>1866</v>
      </c>
      <c r="BN72" s="1069" t="s">
        <v>1867</v>
      </c>
    </row>
    <row customHeight="1" ht="11.25">
      <c r="A73" s="1075" t="s">
        <v>1868</v>
      </c>
      <c r="BH73" s="1069" t="s">
        <v>1869</v>
      </c>
      <c r="BI73" s="1118" t="s">
        <v>124</v>
      </c>
      <c r="BJ73" s="1069" t="s">
        <v>1870</v>
      </c>
      <c r="BK73" s="1118" t="s">
        <v>124</v>
      </c>
      <c r="BL73" s="1069" t="s">
        <v>1871</v>
      </c>
      <c r="BM73" s="1071" t="s">
        <v>124</v>
      </c>
      <c r="BN73" s="1069" t="s">
        <v>1872</v>
      </c>
    </row>
    <row customHeight="1" ht="11.25">
      <c r="A74" s="1075" t="s">
        <v>1873</v>
      </c>
      <c r="BH74" s="1069" t="s">
        <v>1874</v>
      </c>
      <c r="BJ74" s="1069" t="s">
        <v>1875</v>
      </c>
      <c r="BL74" s="1069" t="s">
        <v>1876</v>
      </c>
      <c r="BN74" s="1069" t="s">
        <v>1877</v>
      </c>
    </row>
    <row customHeight="1" ht="11.25">
      <c r="A75" s="1075" t="s">
        <v>1878</v>
      </c>
      <c r="AZ75" s="1068" t="s">
        <v>1879</v>
      </c>
      <c r="BH75" s="1069" t="s">
        <v>1880</v>
      </c>
      <c r="BJ75" s="1069" t="s">
        <v>1880</v>
      </c>
      <c r="BL75" s="1069" t="s">
        <v>1880</v>
      </c>
    </row>
    <row customHeight="1" ht="11.25">
      <c r="A76" s="1075" t="s">
        <v>1881</v>
      </c>
      <c r="AZ76" s="1121" t="s">
        <v>1365</v>
      </c>
      <c r="BH76" s="1069" t="s">
        <v>1882</v>
      </c>
      <c r="BJ76" s="1069" t="s">
        <v>1883</v>
      </c>
      <c r="BL76" s="1069" t="s">
        <v>1884</v>
      </c>
    </row>
    <row customHeight="1" ht="11.25">
      <c r="A77" s="1075" t="s">
        <v>1885</v>
      </c>
      <c r="AZ77" s="1121" t="s">
        <v>1392</v>
      </c>
    </row>
    <row customHeight="1" ht="11.25">
      <c r="A78" s="1075" t="s">
        <v>1886</v>
      </c>
      <c r="AZ78" s="1121" t="s">
        <v>1423</v>
      </c>
    </row>
    <row customHeight="1" ht="11.25">
      <c r="A79" s="1075" t="s">
        <v>1887</v>
      </c>
      <c r="AZ79" s="1121" t="s">
        <v>1454</v>
      </c>
      <c r="BH79" s="1068" t="s">
        <v>1888</v>
      </c>
      <c r="BJ79" s="1068" t="s">
        <v>1889</v>
      </c>
      <c r="BL79" s="1068" t="s">
        <v>1890</v>
      </c>
    </row>
    <row customHeight="1" ht="11.25">
      <c r="A80" s="1075" t="s">
        <v>1891</v>
      </c>
      <c r="AZ80" s="1121" t="s">
        <v>1475</v>
      </c>
      <c r="BH80" s="1069" t="s">
        <v>1892</v>
      </c>
      <c r="BJ80" s="1069" t="s">
        <v>1893</v>
      </c>
      <c r="BL80" s="1069" t="s">
        <v>1894</v>
      </c>
    </row>
    <row customHeight="1" ht="11.25">
      <c r="A81" s="1075" t="s">
        <v>1895</v>
      </c>
      <c r="AZ81" s="1121" t="s">
        <v>1492</v>
      </c>
      <c r="BH81" s="1069" t="s">
        <v>1896</v>
      </c>
      <c r="BJ81" s="1069" t="s">
        <v>1897</v>
      </c>
      <c r="BL81" s="1069" t="s">
        <v>1898</v>
      </c>
    </row>
    <row customHeight="1" ht="11.25">
      <c r="A82" s="1075" t="s">
        <v>1899</v>
      </c>
      <c r="AZ82" s="1121" t="s">
        <v>1507</v>
      </c>
      <c r="BH82" s="1069" t="s">
        <v>1900</v>
      </c>
      <c r="BJ82" s="1069" t="s">
        <v>1901</v>
      </c>
      <c r="BL82" s="1069" t="s">
        <v>1902</v>
      </c>
    </row>
    <row customHeight="1" ht="11.25">
      <c r="A83" s="1075" t="s">
        <v>1903</v>
      </c>
      <c r="BH83" s="1069" t="s">
        <v>1904</v>
      </c>
      <c r="BJ83" s="1069" t="s">
        <v>1905</v>
      </c>
      <c r="BL83" s="1069" t="s">
        <v>1906</v>
      </c>
    </row>
    <row customHeight="1" ht="11.25">
      <c r="A84" s="1075" t="s">
        <v>1907</v>
      </c>
      <c r="AZ84" s="1068" t="s">
        <v>1908</v>
      </c>
    </row>
    <row customHeight="1" ht="11.25">
      <c r="A85" s="1871" t="s">
        <v>1909</v>
      </c>
      <c r="AZ85" s="1121" t="s">
        <v>1910</v>
      </c>
    </row>
    <row customHeight="1" ht="11.25">
      <c r="A86" s="1075" t="s">
        <v>1911</v>
      </c>
      <c r="AZ86" s="1121" t="s">
        <v>1912</v>
      </c>
      <c r="BH86" s="1068" t="s">
        <v>1913</v>
      </c>
      <c r="BJ86" s="1068" t="s">
        <v>1914</v>
      </c>
      <c r="BL86" s="1068" t="s">
        <v>1915</v>
      </c>
    </row>
    <row customHeight="1" ht="11.25">
      <c r="A87" s="1075" t="s">
        <v>1916</v>
      </c>
      <c r="AZ87" s="1121" t="s">
        <v>1917</v>
      </c>
      <c r="BH87" s="1069" t="s">
        <v>1918</v>
      </c>
      <c r="BJ87" s="1069" t="s">
        <v>1919</v>
      </c>
      <c r="BL87" s="1069" t="s">
        <v>1920</v>
      </c>
    </row>
    <row customHeight="1" ht="11.25">
      <c r="A88" s="1075" t="s">
        <v>1921</v>
      </c>
      <c r="AZ88" s="1607"/>
      <c r="BH88" s="1069" t="s">
        <v>1922</v>
      </c>
      <c r="BJ88" s="1069" t="s">
        <v>1923</v>
      </c>
      <c r="BL88" s="1069" t="s">
        <v>1924</v>
      </c>
    </row>
    <row customHeight="1" ht="11.25">
      <c r="A89" s="1075" t="s">
        <v>1925</v>
      </c>
      <c r="AZ89" s="1068" t="s">
        <v>1926</v>
      </c>
    </row>
    <row customHeight="1" ht="11.25">
      <c r="A90" s="1075" t="s">
        <v>1927</v>
      </c>
      <c r="AZ90" s="1121" t="s">
        <v>1149</v>
      </c>
    </row>
    <row customHeight="1" ht="11.25">
      <c r="A91" s="1075" t="s">
        <v>1928</v>
      </c>
      <c r="AZ91" s="1121" t="s">
        <v>1185</v>
      </c>
      <c r="BH91" s="1068" t="s">
        <v>1929</v>
      </c>
      <c r="BJ91" s="1068" t="s">
        <v>1930</v>
      </c>
      <c r="BL91" s="1068" t="s">
        <v>1931</v>
      </c>
    </row>
    <row customHeight="1" ht="11.25">
      <c r="AZ92" s="1121" t="s">
        <v>1932</v>
      </c>
      <c r="BH92" s="1069" t="s">
        <v>1933</v>
      </c>
      <c r="BJ92" s="1069" t="s">
        <v>1934</v>
      </c>
      <c r="BL92" s="1069" t="s">
        <v>1935</v>
      </c>
    </row>
    <row customHeight="1" ht="11.25">
      <c r="AZ93" s="1121" t="s">
        <v>1936</v>
      </c>
      <c r="BH93" s="1069" t="s">
        <v>1937</v>
      </c>
      <c r="BJ93" s="1069" t="s">
        <v>1938</v>
      </c>
      <c r="BL93" s="1069" t="s">
        <v>1939</v>
      </c>
    </row>
    <row customHeight="1" ht="11.25">
      <c r="AZ94" s="1121" t="s">
        <v>1940</v>
      </c>
    </row>
    <row r="96" customHeight="1" ht="11.25">
      <c r="AZ96" s="1068" t="s">
        <v>1941</v>
      </c>
      <c r="BH96" s="1068" t="s">
        <v>1942</v>
      </c>
      <c r="BJ96" s="1068" t="s">
        <v>1943</v>
      </c>
      <c r="BL96" s="1068" t="s">
        <v>1944</v>
      </c>
      <c r="BN96" s="1068" t="s">
        <v>1945</v>
      </c>
    </row>
    <row customHeight="1" ht="11.25">
      <c r="AZ97" s="1902" t="s">
        <v>1946</v>
      </c>
      <c r="BA97" s="1903" t="s">
        <v>1947</v>
      </c>
      <c r="BH97" s="1069" t="s">
        <v>1948</v>
      </c>
      <c r="BJ97" s="1069" t="s">
        <v>1949</v>
      </c>
      <c r="BL97" s="1069" t="s">
        <v>1950</v>
      </c>
      <c r="BN97" s="1069" t="s">
        <v>1951</v>
      </c>
    </row>
    <row customHeight="1" ht="11.25">
      <c r="AZ98" s="1902" t="s">
        <v>1952</v>
      </c>
      <c r="BA98" s="1903" t="s">
        <v>1953</v>
      </c>
      <c r="BH98" s="1069" t="s">
        <v>1954</v>
      </c>
      <c r="BJ98" s="1069" t="s">
        <v>1955</v>
      </c>
      <c r="BL98" s="1069" t="s">
        <v>1956</v>
      </c>
      <c r="BN98" s="1069" t="s">
        <v>1957</v>
      </c>
    </row>
    <row customHeight="1" ht="22.5">
      <c r="AZ99" s="1902" t="s">
        <v>1958</v>
      </c>
      <c r="BA99" s="1903" t="str">
        <f>"не позднее чем за "&amp;IF(TEMPLATE_SPHERE="TKO","3","10")&amp;" дней до дня проведения заседания правления"</f>
        <v>не позднее чем за 10 дней до дня проведения заседания правления</v>
      </c>
      <c r="BH99" s="1069" t="s">
        <v>1959</v>
      </c>
      <c r="BJ99" s="1069" t="s">
        <v>1960</v>
      </c>
      <c r="BL99" s="1069" t="s">
        <v>1961</v>
      </c>
      <c r="BN99" s="1069" t="s">
        <v>1962</v>
      </c>
    </row>
    <row customHeight="1" ht="22.5">
      <c r="AZ100" s="1902" t="s">
        <v>1963</v>
      </c>
      <c r="BA100" s="1903" t="str">
        <f>"в течение "&amp;IF(TEMPLATE_SPHERE="HEAT","5","7")&amp;" рабочих дней со дня принятия соответствующего решения"</f>
        <v>в течение 5 рабочих дней со дня принятия соответствующего решения</v>
      </c>
      <c r="BJ100" s="1069" t="s">
        <v>1552</v>
      </c>
      <c r="BL100" s="1069" t="s">
        <v>1552</v>
      </c>
      <c r="BN100" s="1069" t="s">
        <v>1964</v>
      </c>
    </row>
    <row customHeight="1" ht="22.5">
      <c r="AZ101" s="1902" t="s">
        <v>1965</v>
      </c>
      <c r="BA101" s="1903" t="s">
        <v>1966</v>
      </c>
      <c r="BN101" s="1069" t="s">
        <v>1967</v>
      </c>
    </row>
    <row customHeight="1" ht="22.5">
      <c r="AZ102" s="1902" t="s">
        <v>1968</v>
      </c>
      <c r="BA102" s="1903" t="str">
        <f>"в течение "&amp;IF(TEMPLATE_SPHERE="HEAT","5","7")&amp;" рабочих дней со дня принятия соответствующего решения"</f>
        <v>в течение 5 рабочих дней со дня принятия соответствующего решения</v>
      </c>
      <c r="BN102" s="1069" t="s">
        <v>1969</v>
      </c>
    </row>
    <row customHeight="1" ht="11.25">
      <c r="AZ103" s="1902" t="s">
        <v>1970</v>
      </c>
      <c r="BA103" s="1903" t="s">
        <v>1971</v>
      </c>
      <c r="BN103" s="1069" t="s">
        <v>1972</v>
      </c>
    </row>
    <row customHeight="1" ht="11.25">
      <c r="BN104" s="1069" t="s">
        <v>1973</v>
      </c>
    </row>
    <row customHeight="1" ht="11.25">
      <c r="AZ105" s="1693" t="s">
        <v>1974</v>
      </c>
    </row>
    <row customHeight="1" ht="11.25">
      <c r="AZ106" s="1121" t="s">
        <v>1975</v>
      </c>
    </row>
    <row customHeight="1" ht="11.25">
      <c r="AZ107" s="1121" t="s">
        <v>1976</v>
      </c>
      <c r="BH107" s="1068" t="s">
        <v>1977</v>
      </c>
      <c r="BJ107" s="1068" t="s">
        <v>1978</v>
      </c>
      <c r="BL107" s="1068" t="s">
        <v>1979</v>
      </c>
      <c r="BN107" s="1068" t="s">
        <v>1980</v>
      </c>
    </row>
    <row customHeight="1" ht="11.25">
      <c r="AZ108" s="1121" t="s">
        <v>702</v>
      </c>
      <c r="BH108" s="1069" t="s">
        <v>1981</v>
      </c>
      <c r="BJ108" s="1069" t="s">
        <v>1982</v>
      </c>
      <c r="BL108" s="1069" t="s">
        <v>1638</v>
      </c>
      <c r="BN108" s="1069" t="s">
        <v>1983</v>
      </c>
    </row>
    <row customHeight="1" ht="11.25">
      <c r="BH109" s="1069" t="s">
        <v>1984</v>
      </c>
    </row>
    <row customHeight="1" ht="11.25">
      <c r="AZ110" s="1693" t="s">
        <v>1985</v>
      </c>
      <c r="BH110" s="1069" t="s">
        <v>1984</v>
      </c>
    </row>
    <row customHeight="1" ht="11.25">
      <c r="AZ111" s="1902" t="s">
        <v>1946</v>
      </c>
      <c r="BA111" s="1903" t="s">
        <v>1947</v>
      </c>
    </row>
    <row customHeight="1" ht="11.25">
      <c r="AZ112" s="1902" t="s">
        <v>1952</v>
      </c>
      <c r="BA112" s="1903" t="s">
        <v>1953</v>
      </c>
    </row>
    <row customHeight="1" ht="22.5">
      <c r="AZ113" s="1902" t="s">
        <v>1958</v>
      </c>
      <c r="BA113" s="1903" t="str">
        <f>"не позднее чем за "&amp;IF(TEMPLATE_SPHERE="TKO","3","10")&amp;" дней до дня проведения заседания правления"</f>
        <v>не позднее чем за 10 дней до дня проведения заседания правления</v>
      </c>
    </row>
    <row customHeight="1" ht="22.5">
      <c r="AZ114" s="1902" t="s">
        <v>1963</v>
      </c>
      <c r="BA114" s="1903" t="str">
        <f>"в течение "&amp;IF(TEMPLATE_SPHERE="HEAT","5","7")&amp;" рабочих дней со дня принятия соответствующего решения"</f>
        <v>в течение 5 рабочих дней со дня принятия соответствующего решения</v>
      </c>
      <c r="BH114" s="1068" t="s">
        <v>1986</v>
      </c>
    </row>
    <row customHeight="1" ht="22.5">
      <c r="AZ115" s="1902" t="s">
        <v>1968</v>
      </c>
      <c r="BA115" s="1903" t="str">
        <f>"в течение "&amp;IF(TEMPLATE_SPHERE="HEAT","5","7")&amp;" рабочих дней со дня принятия соответствующего решения"</f>
        <v>в течение 5 рабочих дней со дня принятия соответствующего решения</v>
      </c>
      <c r="BH115" s="1069" t="s">
        <v>576</v>
      </c>
    </row>
    <row customHeight="1" ht="11.25">
      <c r="AZ116" s="1902" t="s">
        <v>1970</v>
      </c>
      <c r="BA116" s="1903" t="s">
        <v>1971</v>
      </c>
      <c r="BH116" s="1069" t="s">
        <v>575</v>
      </c>
    </row>
    <row customHeight="1" ht="11.25">
      <c r="BH117" s="1069" t="s">
        <v>1412</v>
      </c>
    </row>
    <row customHeight="1" ht="11.25">
      <c r="BH118" s="1069" t="s">
        <v>1445</v>
      </c>
    </row>
  </sheetData>
  <sheetProtection formatColumns="0" formatRows="0" sort="0" autoFilter="0" insertRows="0" insertColumns="1" deleteRows="0" deleteColumns="0"/>
  <pageMargins left="0.75" right="0.75" top="1.00" bottom="1.00" header="0.50" footer="0.50"/>
  <pageSetup paperSize="9" pageOrder="downThenOver" orientation="portrait"/>
  <headerFooter>
    <oddHeader>&amp;L&amp;C&amp;R</oddHeader>
    <oddFooter>&amp;L&amp;C&amp;R</oddFooter>
    <evenHeader>&amp;L&amp;C&amp;R</evenHeader>
    <evenFooter>&amp;L&amp;C&amp;R</evenFooter>
  </headerFooter>
  <legacyDrawing r:id="rId2"/>
</worksheet>
</file>

<file path=xl/worksheets/sheet5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F9936C2-2B28-3B9E-8068-8010E4F965C1}" mc:Ignorable="x14ac xr xr2 xr3">
  <dimension ref="A1:J25"/>
  <sheetViews>
    <sheetView showGridLines="0" zoomScale="90" workbookViewId="0">
      <pane xSplit="5" ySplit="11" topLeftCell="F12" activePane="bottomRight" state="frozen"/>
      <selection pane="bottomLeft" activeCell="A12" sqref="A12"/>
      <selection pane="topRight" activeCell="F1" sqref="F1"/>
      <selection pane="bottomRight" activeCell="A1" sqref="A1"/>
    </sheetView>
  </sheetViews>
  <sheetFormatPr defaultColWidth="9.140625" customHeight="1" defaultRowHeight="11.25"/>
  <cols>
    <col min="1" max="2" style="502" width="15.00390625" hidden="1" customWidth="1"/>
    <col min="3" max="3" style="456" width="3.00390625" customWidth="1"/>
    <col min="4" max="4" style="457" width="6.00390625" customWidth="1"/>
    <col min="5" max="5" style="456" width="52.00390625" customWidth="1"/>
    <col min="6" max="6" style="456" width="48.00390625" customWidth="1"/>
    <col min="7" max="7" style="456" width="93.00390625" customWidth="1"/>
    <col min="8" max="8" style="456" width="8.00390625" customWidth="1"/>
    <col min="9" max="9" style="456" width="64.00390625" customWidth="1"/>
    <col min="10" max="10" style="456" width="9.140625" hidden="1"/>
  </cols>
  <sheetData>
    <row customHeight="1" ht="11.25" hidden="1">
      <c r="A1" s="502" t="s">
        <v>429</v>
      </c>
      <c r="J1" s="456" t="s">
        <v>14</v>
      </c>
    </row>
    <row customHeight="1" ht="22.5" hidden="1">
      <c r="A2" s="503"/>
      <c r="B2" s="503"/>
      <c r="C2" s="1731" t="s">
        <v>108</v>
      </c>
      <c r="D2" s="1521"/>
      <c r="E2" s="1527"/>
      <c r="F2" s="1550"/>
      <c r="H2" s="476"/>
      <c r="J2" s="456">
        <v>0</v>
      </c>
    </row>
    <row customHeight="1" ht="11.25" hidden="1">
      <c r="J3" s="456">
        <v>0</v>
      </c>
    </row>
    <row customHeight="1" ht="11.549999999999999">
      <c r="A4" s="1551"/>
      <c r="B4" s="1551"/>
      <c r="J4" s="456">
        <v>11</v>
      </c>
    </row>
    <row customHeight="1" ht="27.299999999999997">
      <c r="D5" s="2239" t="str">
        <f>"Форма "&amp;IF(TEMPLATE_SPHERE="HEAT","2","1")&amp;". Информация об органе регулирования тарифов в сфере "&amp;IF(OR(TEMPLATE_SPHERE="HEAT",TEMPLATE_SPHERE="TKO"),TEMPLATE_SPHERE_RUS,"водоснабжения и водоотведения")&amp;" (далее – орган регулирования тарифов)"</f>
        <v>Форма 2. Информация об органе регулирования тарифов в сфере теплоснабжения (далее – орган регулирования тарифов)</v>
      </c>
      <c r="E5" s="2240"/>
      <c r="F5" s="2241"/>
      <c r="I5" s="716"/>
      <c r="J5" s="456">
        <v>26</v>
      </c>
    </row>
    <row customHeight="1" ht="18">
      <c r="D6" s="2177" t="str">
        <f>IF(region_name=0,"Не определено",region_name)</f>
        <v>Мурманская область</v>
      </c>
      <c r="E6" s="2177"/>
      <c r="F6" s="2177"/>
      <c r="I6" s="716"/>
      <c r="J6" s="456">
        <v>17</v>
      </c>
    </row>
    <row s="478" customFormat="1" customHeight="1" ht="11.549999999999999">
      <c r="A7" s="502"/>
      <c r="B7" s="502"/>
      <c r="D7" s="715"/>
      <c r="E7" s="715"/>
      <c r="F7" s="753"/>
      <c r="G7" s="715"/>
      <c r="J7" s="478">
        <v>11</v>
      </c>
    </row>
    <row customHeight="1" ht="11.25" hidden="1">
      <c r="A8" s="503"/>
      <c r="B8" s="503"/>
      <c r="C8" s="458"/>
      <c r="D8" s="464"/>
      <c r="E8" s="2208"/>
      <c r="F8" s="2208"/>
      <c r="J8" s="456">
        <v>0</v>
      </c>
    </row>
    <row customHeight="1" ht="11.549999999999999">
      <c r="A9" s="503"/>
      <c r="B9" s="503"/>
      <c r="C9" s="458"/>
      <c r="D9" s="2205" t="s">
        <v>430</v>
      </c>
      <c r="E9" s="2206"/>
      <c r="F9" s="2206"/>
      <c r="G9" s="2209" t="s">
        <v>431</v>
      </c>
      <c r="J9" s="456">
        <v>11</v>
      </c>
    </row>
    <row customHeight="1" ht="11.549999999999999">
      <c r="A10" s="503"/>
      <c r="B10" s="503"/>
      <c r="C10" s="458"/>
      <c r="D10" s="1475" t="s">
        <v>92</v>
      </c>
      <c r="E10" s="1477" t="s">
        <v>432</v>
      </c>
      <c r="F10" s="1477" t="s">
        <v>433</v>
      </c>
      <c r="G10" s="2210"/>
      <c r="J10" s="456">
        <v>11</v>
      </c>
    </row>
    <row customHeight="1" ht="1.05">
      <c r="A11" s="503"/>
      <c r="B11" s="503"/>
      <c r="C11" s="458"/>
      <c r="D11" s="465"/>
      <c r="E11" s="465"/>
      <c r="F11" s="465"/>
      <c r="G11" s="465"/>
      <c r="J11" s="456">
        <v>1</v>
      </c>
    </row>
    <row customHeight="1" ht="24">
      <c r="A12" s="503"/>
      <c r="B12" s="503"/>
      <c r="C12" s="458"/>
      <c r="D12" s="1521">
        <v>1</v>
      </c>
      <c r="E12" s="475" t="str">
        <f>"Наименование "&amp;IF(TEMPLATE_SPHERE="TKO","регионального органа","органа "&amp;IF(TEMPLATE_SPHERE="HEAT","тарифного ",""))&amp;"регулирования "&amp;IF(TEMPLATE_SPHERE="TKO","(орган местного самоуправления)",IF(TEMPLATE_SPHERE="HEAT","","тарифов"))</f>
        <v>Наименование органа тарифного регулирования </v>
      </c>
      <c r="F12" s="1909" t="str">
        <f>IF(org="","",org)</f>
        <v>ПАО "ТГК-1" (филиал "Кольский")</v>
      </c>
      <c r="G12" s="475" t="str">
        <f>"Указывается в соответствии с нормативным правовым актом, на основании которого "&amp;IF(TEMPLATE_SPHERE="TKO","региональный орган","орган "&amp;IF(TEMPLATE_SPHERE="HEAT","тарифного ",""))&amp;" регулирования "&amp;IF(TEMPLATE_SPHERE="TKO","(орган местного самоуправления)",IF(TEMPLATE_SPHERE="HEAT","","тарифов"))&amp;" образован."</f>
        <v>Указывается в соответствии с нормативным правовым актом, на основании которого орган тарифного  регулирования  образован.</v>
      </c>
      <c r="H12" s="1534"/>
      <c r="J12" s="456">
        <v>23</v>
      </c>
    </row>
    <row customHeight="1" ht="19.95">
      <c r="A13" s="503"/>
      <c r="B13" s="503"/>
      <c r="C13" s="458"/>
      <c r="D13" s="1521">
        <v>2</v>
      </c>
      <c r="E13" s="1528" t="s">
        <v>1987</v>
      </c>
      <c r="F13" s="1522" t="s">
        <v>436</v>
      </c>
      <c r="G13" s="475"/>
      <c r="H13" s="1534"/>
      <c r="J13" s="456">
        <v>19</v>
      </c>
    </row>
    <row customHeight="1" ht="19.95">
      <c r="A14" s="503"/>
      <c r="B14" s="503"/>
      <c r="C14" s="458"/>
      <c r="D14" s="1524" t="s">
        <v>839</v>
      </c>
      <c r="E14" s="1525" t="s">
        <v>1988</v>
      </c>
      <c r="F14" s="1527"/>
      <c r="G14" s="1526" t="s">
        <v>1989</v>
      </c>
      <c r="H14" s="1534"/>
      <c r="J14" s="456">
        <v>19</v>
      </c>
    </row>
    <row customHeight="1" ht="19.95">
      <c r="A15" s="503"/>
      <c r="B15" s="503"/>
      <c r="C15" s="458"/>
      <c r="D15" s="1524" t="s">
        <v>437</v>
      </c>
      <c r="E15" s="1525" t="s">
        <v>1990</v>
      </c>
      <c r="F15" s="1527"/>
      <c r="G15" s="1526" t="s">
        <v>1991</v>
      </c>
      <c r="H15" s="1534"/>
      <c r="J15" s="456">
        <v>19</v>
      </c>
    </row>
    <row customHeight="1" ht="24">
      <c r="A16" s="503"/>
      <c r="B16" s="503"/>
      <c r="C16" s="458"/>
      <c r="D16" s="1524" t="s">
        <v>440</v>
      </c>
      <c r="E16" s="1523" t="s">
        <v>1992</v>
      </c>
      <c r="F16" s="1532"/>
      <c r="G16" s="475" t="s">
        <v>1993</v>
      </c>
      <c r="H16" s="1534"/>
      <c r="J16" s="456">
        <v>23</v>
      </c>
    </row>
    <row customHeight="1" ht="48.29999999999999">
      <c r="A17" s="503"/>
      <c r="B17" s="503"/>
      <c r="C17" s="458"/>
      <c r="D17" s="1521">
        <v>3</v>
      </c>
      <c r="E17" s="1528" t="s">
        <v>1994</v>
      </c>
      <c r="F17" s="1527"/>
      <c r="G17" s="475" t="s">
        <v>1995</v>
      </c>
      <c r="H17" s="1534"/>
      <c r="J17" s="456">
        <v>46</v>
      </c>
    </row>
    <row customHeight="1" ht="48.29999999999999">
      <c r="A18" s="1476">
        <v>1</v>
      </c>
      <c r="B18" s="503"/>
      <c r="C18" s="1478"/>
      <c r="D18" s="1521" t="s">
        <v>95</v>
      </c>
      <c r="E18" s="1528" t="s">
        <v>1996</v>
      </c>
      <c r="F18" s="1527"/>
      <c r="G18" s="475" t="s">
        <v>1995</v>
      </c>
      <c r="H18" s="1534"/>
      <c r="I18" s="853"/>
      <c r="J18" s="456">
        <v>46</v>
      </c>
    </row>
    <row customHeight="1" ht="23.25">
      <c r="A19" s="503"/>
      <c r="B19" s="503"/>
      <c r="C19" s="458"/>
      <c r="D19" s="1521" t="s">
        <v>124</v>
      </c>
      <c r="E19" s="1528" t="s">
        <v>1997</v>
      </c>
      <c r="F19" s="1522" t="s">
        <v>436</v>
      </c>
      <c r="G19" s="2472" t="s">
        <v>1998</v>
      </c>
      <c r="H19" s="476"/>
      <c r="J19" s="456">
        <v>22</v>
      </c>
    </row>
    <row s="1531" customFormat="1" customHeight="1" ht="5.25" hidden="1">
      <c r="A20" s="503"/>
      <c r="B20" s="503"/>
      <c r="C20" s="1530"/>
      <c r="D20" s="1529" t="s">
        <v>1246</v>
      </c>
      <c r="E20" s="1015"/>
      <c r="F20" s="1014"/>
      <c r="G20" s="2473"/>
      <c r="J20" s="1531">
        <v>0</v>
      </c>
    </row>
    <row customHeight="1" ht="15.75">
      <c r="A21" s="503"/>
      <c r="B21" s="503"/>
      <c r="C21" s="458"/>
      <c r="D21" s="468"/>
      <c r="E21" s="416" t="s">
        <v>469</v>
      </c>
      <c r="F21" s="470"/>
      <c r="G21" s="2474"/>
      <c r="H21" s="1534"/>
      <c r="J21" s="456">
        <v>15</v>
      </c>
    </row>
    <row s="502" customFormat="1" customHeight="1" ht="26.25">
      <c r="A22" s="503"/>
      <c r="B22" s="503"/>
      <c r="C22" s="503"/>
      <c r="D22" s="1521" t="s">
        <v>96</v>
      </c>
      <c r="E22" s="475" t="s">
        <v>1999</v>
      </c>
      <c r="F22" s="1527"/>
      <c r="G22" s="475" t="s">
        <v>2000</v>
      </c>
      <c r="H22" s="1533"/>
      <c r="J22" s="502">
        <v>25</v>
      </c>
    </row>
    <row s="502" customFormat="1" customHeight="1" ht="19.95">
      <c r="A23" s="503"/>
      <c r="B23" s="503"/>
      <c r="C23" s="503"/>
      <c r="D23" s="1521" t="s">
        <v>97</v>
      </c>
      <c r="E23" s="1528" t="s">
        <v>2001</v>
      </c>
      <c r="F23" s="1532"/>
      <c r="G23" s="475" t="s">
        <v>2002</v>
      </c>
      <c r="H23" s="1533"/>
      <c r="J23" s="502">
        <v>19</v>
      </c>
    </row>
    <row s="502" customFormat="1" customHeight="1" ht="144" hidden="1">
      <c r="A24" s="503"/>
      <c r="B24" s="503"/>
      <c r="C24" s="503"/>
      <c r="D24" s="1521" t="s">
        <v>125</v>
      </c>
      <c r="E24" s="1898" t="str">
        <f>"Доклад, содержащий результаты обобщения правоприменительной практики, в рамках регионального государственного контроля (надзора) в области регулирования "&amp;IF(TEMPLATE_SPHERE="HEAT","цен (тарифов)","тарифов")&amp;" в сфере "&amp;IF(OR(TEMPLATE_SPHERE="HEAT",TEMPLATE_SPHERE="TKO"),TEMPLATE_SPHERE_RUS,"водоснабжения и водоотведения")&amp;" в случае, если региональный государственный контроль (надзор) в области регулирования "&amp;IF(TEMPLATE_SPHERE="HEAT","цен (тарифов)","тарифов")&amp;" в сфере "&amp;IF(OR(TEMPLATE_SPHERE="HEAT",TEMPLATE_SPHERE="TKO"),TEMPLATE_SPHERE_RUS,"водоснабжения и водоотведения")&amp;" в соответствии с положением, утвержденным высшим исполнительным органом субъекта Российской Федерации, осуществляется "&amp;IF(TEMPLATE_SPHERE="TKO","региональным органом регулирования","исполнительным органом субъекта Российской Федерации в области государственного регулирования "&amp;IF(TEMPLATE_SPHERE="HEAT","цен (тарифов)","тарифов"))</f>
        <v>Доклад, содержащий результаты обобщения правоприменительной практики, в рамках регионального государственного контроля (надзора) в области регулирования цен (тарифов) в сфере теплоснабжения в случае, если региональный государственный контроль (надзор) в области регулирования цен (тарифов) в сфере теплоснабжения в соответствии с положением, утвержденным высшим исполнительным органом субъекта Российской Федерации, осуществляется исполнительным органом субъекта Российской Федерации в области государственного регулирования цен (тарифов)</v>
      </c>
      <c r="F24" s="1899"/>
      <c r="G24" s="1897" t="str">
        <f>IF(TEMPLATE_SPHERE="TKO","Раскрывается региональным органом регулирования. ",IF(TEMPLATE_SPHERE="HEAT","Раскрывается исполнительным органом субъекта Российской Федерации в области государственного регулирования цен (тарифов). ",""))&amp;"Указывается ссылка на документ, предварительно загруженный в хранилище файлов ФГИС ЕИАС."</f>
        <v>Раскрывается исполнительным органом субъекта Российской Федерации в области государственного регулирования цен (тарифов). Указывается ссылка на документ, предварительно загруженный в хранилище файлов ФГИС ЕИАС.</v>
      </c>
      <c r="H24" s="1533"/>
      <c r="J24" s="502">
        <v>0</v>
      </c>
    </row>
    <row customHeight="1" ht="11.25" hidden="1">
      <c r="A25" s="502" t="s">
        <v>86</v>
      </c>
      <c r="B25" s="502">
        <v>0</v>
      </c>
      <c r="C25" s="456">
        <v>3</v>
      </c>
      <c r="D25" s="457">
        <v>6</v>
      </c>
      <c r="E25" s="456">
        <v>52</v>
      </c>
      <c r="F25" s="456">
        <v>48</v>
      </c>
      <c r="G25" s="456">
        <v>93</v>
      </c>
      <c r="H25" s="456">
        <v>8</v>
      </c>
      <c r="I25" s="456">
        <v>64</v>
      </c>
      <c r="J25" s="456">
        <v>11</v>
      </c>
    </row>
  </sheetData>
  <sheetProtection formatColumns="0" formatRows="0" autoFilter="0" sort="0" insertRows="0" insertColumns="1" deleteRows="0" deleteColumns="0"/>
  <mergeCells count="6">
    <mergeCell ref="G19:G21"/>
    <mergeCell ref="D5:F5"/>
    <mergeCell ref="D6:F6"/>
    <mergeCell ref="E8:F8"/>
    <mergeCell ref="D9:F9"/>
    <mergeCell ref="G9:G10"/>
  </mergeCells>
  <dataValidations count="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F24">
      <formula1>900</formula1>
    </dataValidation>
    <dataValidation type="textLength" operator="lessThanOrEqual" allowBlank="1" showInputMessage="1" showErrorMessage="1" errorTitle="Ошибка" error="Допускается ввод не более 900 символов!" sqref="F12 F14:F18 F22:F23">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5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9665C18-BF48-43C7-1654-C10F8A076E68}" mc:Ignorable="x14ac xr xr2 xr3">
  <dimension ref="A1:IU24"/>
  <sheetViews>
    <sheetView showGridLines="0" zoomScale="90" workbookViewId="0">
      <pane xSplit="5" ySplit="8" topLeftCell="F9" activePane="bottomRight" state="frozen"/>
      <selection pane="bottomLeft" activeCell="A9" sqref="A9"/>
      <selection pane="topRight" activeCell="F1" sqref="F1"/>
      <selection pane="bottomRight" activeCell="A1" sqref="A1"/>
    </sheetView>
  </sheetViews>
  <sheetFormatPr defaultColWidth="9.140625" customHeight="1" defaultRowHeight="14.25"/>
  <cols>
    <col min="1" max="1" style="1636" width="9.140625" hidden="1"/>
    <col min="2" max="2" style="1367" width="9.140625" hidden="1"/>
    <col min="3" max="3" style="1636" width="3.7109375" hidden="1" customWidth="1"/>
    <col min="4" max="4" style="1843" width="3.00390625" customWidth="1"/>
    <col min="5" max="5" style="1636" width="6.00390625" customWidth="1"/>
    <col min="6" max="6" style="1636" width="46.00390625" customWidth="1"/>
    <col min="7" max="8" style="1636" width="16.00390625" customWidth="1"/>
    <col min="9" max="9" style="1636" width="35.00390625" customWidth="1"/>
    <col min="10" max="10" style="1636" width="89.00390625" customWidth="1"/>
    <col min="11" max="11" style="1625" width="3.00390625" customWidth="1"/>
    <col min="12" max="14" style="1625" width="8.00390625" customWidth="1"/>
    <col min="15" max="15" style="1625" width="25.00390625" customWidth="1"/>
    <col min="16" max="16" style="1625" width="14.00390625" customWidth="1"/>
    <col min="17" max="20" style="226" width="8.00390625" customWidth="1"/>
    <col min="21" max="254" style="1636" width="8.00390625" customWidth="1"/>
    <col min="255" max="255" style="1636" width="9.140625" hidden="1"/>
  </cols>
  <sheetData>
    <row customHeight="1" ht="22.5" hidden="1">
      <c r="F1" s="1632" t="s">
        <v>2003</v>
      </c>
      <c r="G1" s="1632" t="s">
        <v>52</v>
      </c>
      <c r="H1" s="1632" t="s">
        <v>54</v>
      </c>
      <c r="IU1" s="1156" t="s">
        <v>14</v>
      </c>
    </row>
    <row s="1851" customFormat="1" customHeight="1" ht="22.5" hidden="1">
      <c r="A2" s="832"/>
      <c r="B2" s="1161">
        <v>1</v>
      </c>
      <c r="C2" s="1161"/>
      <c r="D2" s="1929" t="s">
        <v>108</v>
      </c>
      <c r="E2" s="1485"/>
      <c r="F2" s="1492"/>
      <c r="G2" s="1492"/>
      <c r="H2" s="1492"/>
      <c r="I2" s="1985"/>
      <c r="J2" s="1986"/>
      <c r="K2" s="1536"/>
      <c r="L2" s="512"/>
      <c r="M2" s="512"/>
      <c r="N2" s="501" t="str">
        <f t="array" ref="N2:N2">IF(ISERROR(MATCH(MID(O2,1,250),MID(note_ter,1,250),0)),"n","y")</f>
        <v>n</v>
      </c>
      <c r="O2" s="512"/>
      <c r="P2" s="501" t="str">
        <f>G2&amp;"("&amp;J2&amp;")"</f>
        <v>()</v>
      </c>
      <c r="Q2" s="1161"/>
      <c r="R2" s="1161"/>
      <c r="S2" s="421"/>
      <c r="T2" s="1161"/>
      <c r="U2" s="1161"/>
      <c r="V2" s="1161"/>
      <c r="W2" s="423"/>
      <c r="X2" s="423"/>
      <c r="Y2" s="420"/>
      <c r="Z2" s="420"/>
      <c r="AA2" s="420"/>
      <c r="AB2" s="420"/>
      <c r="AC2" s="420"/>
      <c r="AD2" s="420"/>
      <c r="AE2" s="420"/>
      <c r="AF2" s="420"/>
      <c r="AG2" s="420"/>
      <c r="AH2" s="420"/>
      <c r="AI2" s="420"/>
      <c r="AJ2" s="420"/>
      <c r="AK2" s="420"/>
      <c r="AL2" s="420"/>
      <c r="AM2" s="420"/>
      <c r="AN2" s="420"/>
      <c r="AO2" s="420"/>
      <c r="AP2" s="420"/>
      <c r="AQ2" s="420"/>
      <c r="AR2" s="420"/>
      <c r="AS2" s="420"/>
      <c r="AT2" s="420"/>
      <c r="AU2" s="420"/>
      <c r="AV2" s="420"/>
      <c r="AW2" s="420"/>
      <c r="AX2" s="420"/>
      <c r="AY2" s="420"/>
      <c r="AZ2" s="420"/>
      <c r="BA2" s="420"/>
      <c r="BB2" s="420"/>
      <c r="BC2" s="420"/>
      <c r="BD2" s="420"/>
      <c r="BE2" s="420"/>
      <c r="BF2" s="420"/>
      <c r="BG2" s="420"/>
      <c r="BH2" s="420"/>
      <c r="BI2" s="420"/>
      <c r="BJ2" s="420"/>
      <c r="BK2" s="420"/>
      <c r="BL2" s="420"/>
      <c r="BM2" s="420"/>
      <c r="BN2" s="420"/>
      <c r="BO2" s="420"/>
      <c r="BP2" s="420"/>
      <c r="BQ2" s="420"/>
      <c r="BR2" s="420"/>
      <c r="BS2" s="420"/>
      <c r="BT2" s="423"/>
      <c r="BU2" s="423"/>
      <c r="BV2" s="423"/>
      <c r="BW2" s="423"/>
      <c r="BX2" s="423"/>
      <c r="BY2" s="423"/>
      <c r="BZ2" s="423"/>
      <c r="CA2" s="423"/>
      <c r="CB2" s="423"/>
      <c r="CC2" s="423"/>
      <c r="IU2" s="424">
        <v>0</v>
      </c>
    </row>
    <row s="1643" customFormat="1" customHeight="1" ht="4.2">
      <c r="A3" s="497"/>
      <c r="D3" s="495"/>
      <c r="F3" s="248" t="s">
        <v>87</v>
      </c>
      <c r="G3" s="495" t="s">
        <v>88</v>
      </c>
      <c r="H3" s="495"/>
      <c r="I3" s="495"/>
      <c r="J3" s="228" t="s">
        <v>89</v>
      </c>
      <c r="K3" s="248" t="s">
        <v>87</v>
      </c>
      <c r="L3" s="248"/>
      <c r="M3" s="248"/>
      <c r="N3" s="248"/>
      <c r="O3" s="249"/>
      <c r="P3" s="248"/>
      <c r="Q3" s="248"/>
      <c r="R3" s="248"/>
      <c r="S3" s="248"/>
      <c r="T3" s="248"/>
      <c r="U3" s="228"/>
      <c r="V3" s="228"/>
      <c r="W3" s="228"/>
      <c r="X3" s="228"/>
      <c r="Y3" s="228"/>
      <c r="Z3" s="228"/>
      <c r="AA3" s="228"/>
      <c r="AB3" s="228"/>
      <c r="AC3" s="228"/>
      <c r="AD3" s="228"/>
      <c r="AE3" s="228"/>
      <c r="AF3" s="228"/>
      <c r="AG3" s="228"/>
      <c r="AH3" s="228"/>
      <c r="AI3" s="228"/>
      <c r="AJ3" s="228"/>
      <c r="AK3" s="228"/>
      <c r="AL3" s="228"/>
      <c r="AM3" s="228"/>
      <c r="AN3" s="228"/>
      <c r="AO3" s="228"/>
      <c r="AP3" s="228"/>
      <c r="AQ3" s="228"/>
      <c r="AR3" s="228"/>
      <c r="AS3" s="228"/>
      <c r="AT3" s="228"/>
      <c r="AU3" s="228"/>
      <c r="AV3" s="228"/>
      <c r="AW3" s="228"/>
      <c r="AX3" s="228"/>
      <c r="AY3" s="228"/>
      <c r="AZ3" s="228"/>
      <c r="BA3" s="228"/>
      <c r="BB3" s="228"/>
      <c r="BC3" s="228"/>
      <c r="BD3" s="228"/>
      <c r="BE3" s="228"/>
      <c r="BF3" s="228"/>
      <c r="BG3" s="228"/>
      <c r="BH3" s="228"/>
      <c r="BI3" s="228"/>
      <c r="BJ3" s="228"/>
      <c r="BK3" s="228"/>
      <c r="BL3" s="228"/>
      <c r="BM3" s="228"/>
      <c r="BN3" s="228"/>
      <c r="BO3" s="228"/>
      <c r="BP3" s="228"/>
      <c r="BQ3" s="228"/>
      <c r="BR3" s="228"/>
      <c r="BS3" s="228"/>
      <c r="BT3" s="228"/>
      <c r="BU3" s="228"/>
      <c r="BV3" s="228"/>
      <c r="BW3" s="228"/>
      <c r="BX3" s="228"/>
      <c r="BY3" s="228"/>
      <c r="BZ3" s="228"/>
      <c r="CA3" s="228"/>
      <c r="CB3" s="228"/>
      <c r="CC3" s="228"/>
      <c r="CD3" s="228"/>
      <c r="CE3" s="228"/>
      <c r="CF3" s="228"/>
      <c r="CG3" s="228"/>
      <c r="CH3" s="228"/>
      <c r="CI3" s="228"/>
      <c r="CJ3" s="228"/>
      <c r="CK3" s="228"/>
      <c r="CL3" s="228"/>
      <c r="CM3" s="228"/>
      <c r="CN3" s="228"/>
      <c r="CO3" s="228"/>
      <c r="CP3" s="228"/>
      <c r="CQ3" s="228"/>
      <c r="CR3" s="228"/>
      <c r="CS3" s="228"/>
      <c r="CT3" s="228"/>
      <c r="CU3" s="228"/>
      <c r="CV3" s="228"/>
      <c r="CW3" s="228"/>
      <c r="CX3" s="228"/>
      <c r="CY3" s="228"/>
      <c r="CZ3" s="228"/>
      <c r="DA3" s="228"/>
      <c r="DB3" s="228"/>
      <c r="DC3" s="228"/>
      <c r="DD3" s="228"/>
      <c r="DE3" s="228"/>
      <c r="DF3" s="228"/>
      <c r="DG3" s="228"/>
      <c r="DH3" s="228"/>
      <c r="DI3" s="228"/>
      <c r="DJ3" s="228"/>
      <c r="DK3" s="228"/>
      <c r="DL3" s="228"/>
      <c r="DM3" s="228"/>
      <c r="DN3" s="228"/>
      <c r="DO3" s="228"/>
      <c r="DP3" s="228"/>
      <c r="DQ3" s="228"/>
      <c r="DR3" s="228"/>
      <c r="DS3" s="228"/>
      <c r="DT3" s="228"/>
      <c r="DU3" s="228"/>
      <c r="DV3" s="228"/>
      <c r="DW3" s="228"/>
      <c r="DX3" s="228"/>
      <c r="DY3" s="228"/>
      <c r="DZ3" s="228"/>
      <c r="EA3" s="228"/>
      <c r="EB3" s="228"/>
      <c r="EC3" s="228"/>
      <c r="ED3" s="228"/>
      <c r="EE3" s="228"/>
      <c r="EF3" s="228"/>
      <c r="EG3" s="228"/>
      <c r="EH3" s="228"/>
      <c r="EI3" s="228"/>
      <c r="EJ3" s="228"/>
      <c r="EK3" s="228"/>
      <c r="EL3" s="228"/>
      <c r="EM3" s="228"/>
      <c r="EN3" s="228"/>
      <c r="EO3" s="228"/>
      <c r="EP3" s="228"/>
      <c r="EQ3" s="228"/>
      <c r="ER3" s="228"/>
      <c r="ES3" s="228"/>
      <c r="ET3" s="228"/>
      <c r="EU3" s="228"/>
      <c r="EV3" s="228"/>
      <c r="EW3" s="228"/>
      <c r="EX3" s="228"/>
      <c r="EY3" s="228"/>
      <c r="EZ3" s="228"/>
      <c r="FA3" s="228"/>
      <c r="FB3" s="228"/>
      <c r="FC3" s="228"/>
      <c r="FD3" s="228"/>
      <c r="FE3" s="228"/>
      <c r="FF3" s="228"/>
      <c r="FG3" s="228"/>
      <c r="FH3" s="228"/>
      <c r="FI3" s="228"/>
      <c r="FJ3" s="228"/>
      <c r="FK3" s="228"/>
      <c r="FL3" s="228"/>
      <c r="FM3" s="228"/>
      <c r="FN3" s="228"/>
      <c r="FO3" s="228"/>
      <c r="FP3" s="228"/>
      <c r="FQ3" s="228"/>
      <c r="FR3" s="228"/>
      <c r="FS3" s="228"/>
      <c r="FT3" s="228"/>
      <c r="FU3" s="228"/>
      <c r="FV3" s="228"/>
      <c r="FW3" s="228"/>
      <c r="FX3" s="228"/>
      <c r="FY3" s="228"/>
      <c r="FZ3" s="228"/>
      <c r="GA3" s="228"/>
      <c r="GB3" s="228"/>
      <c r="GC3" s="228"/>
      <c r="GD3" s="228"/>
      <c r="GE3" s="228"/>
      <c r="GF3" s="228"/>
      <c r="GG3" s="228"/>
      <c r="GH3" s="228"/>
      <c r="GI3" s="228"/>
      <c r="GJ3" s="228"/>
      <c r="GK3" s="228"/>
      <c r="GL3" s="228"/>
      <c r="GM3" s="228"/>
      <c r="GN3" s="228"/>
      <c r="GO3" s="228"/>
      <c r="GP3" s="228"/>
      <c r="GQ3" s="228"/>
      <c r="GR3" s="228"/>
      <c r="GS3" s="228"/>
      <c r="GT3" s="228"/>
      <c r="GU3" s="228"/>
      <c r="GV3" s="228"/>
      <c r="GW3" s="228"/>
      <c r="GX3" s="228"/>
      <c r="GY3" s="228"/>
      <c r="GZ3" s="228"/>
      <c r="HA3" s="228"/>
      <c r="HB3" s="228"/>
      <c r="HC3" s="228"/>
      <c r="HD3" s="228"/>
      <c r="HE3" s="228"/>
      <c r="HF3" s="228"/>
      <c r="HG3" s="228"/>
      <c r="HH3" s="228"/>
      <c r="HI3" s="228"/>
      <c r="HJ3" s="228"/>
      <c r="HK3" s="228"/>
      <c r="HL3" s="228"/>
      <c r="HM3" s="228"/>
      <c r="HN3" s="228"/>
      <c r="HO3" s="228"/>
      <c r="HP3" s="228"/>
      <c r="HQ3" s="228"/>
      <c r="HR3" s="228"/>
      <c r="HS3" s="228"/>
      <c r="HT3" s="228"/>
      <c r="HU3" s="228"/>
      <c r="HV3" s="228"/>
      <c r="HW3" s="228"/>
      <c r="HX3" s="228"/>
      <c r="HY3" s="228"/>
      <c r="HZ3" s="228"/>
      <c r="IA3" s="228"/>
      <c r="IB3" s="228"/>
      <c r="IC3" s="228"/>
      <c r="ID3" s="228"/>
      <c r="IE3" s="228"/>
      <c r="IF3" s="228"/>
      <c r="IG3" s="228"/>
      <c r="IH3" s="228"/>
      <c r="II3" s="228"/>
      <c r="IJ3" s="228"/>
      <c r="IK3" s="228"/>
      <c r="IL3" s="228"/>
      <c r="IM3" s="228"/>
      <c r="IN3" s="228"/>
      <c r="IO3" s="228"/>
      <c r="IP3" s="228"/>
      <c r="IQ3" s="228"/>
      <c r="IR3" s="228"/>
      <c r="IS3" s="228"/>
      <c r="IT3" s="228"/>
      <c r="IU3" s="512">
        <v>4</v>
      </c>
    </row>
    <row s="1820" customFormat="1" customHeight="1" ht="14.699999999999998">
      <c r="A4" s="1156"/>
      <c r="B4" s="1161"/>
      <c r="C4" s="1156"/>
      <c r="D4" s="1496"/>
      <c r="E4" s="510"/>
      <c r="F4" s="1643"/>
      <c r="G4" s="510"/>
      <c r="H4" s="510"/>
      <c r="I4" s="510"/>
      <c r="J4" s="167"/>
      <c r="K4" s="248"/>
      <c r="L4" s="501"/>
      <c r="M4" s="501"/>
      <c r="N4" s="501"/>
      <c r="O4" s="227"/>
      <c r="P4" s="501"/>
      <c r="Q4" s="226"/>
      <c r="R4" s="226"/>
      <c r="S4" s="226"/>
      <c r="T4" s="226"/>
      <c r="IU4" s="508">
        <v>14</v>
      </c>
    </row>
    <row s="1820" customFormat="1" customHeight="1" ht="27.299999999999997">
      <c r="A5" s="1156"/>
      <c r="B5" s="1161"/>
      <c r="C5" s="1156"/>
      <c r="D5" s="1496"/>
      <c r="E5" s="2101" t="str">
        <f>"Форма "&amp;IF(TEMPLATE_SPHERE="HEAT","3","2")&amp;". Перечень "&amp;IF(TEMPLATE_SPHERE="HEAT","регулируемых организаций (единых теплоснабжающих организаций в ценовых зонах теплоснабжения, теплоснабжающих организаций в ценовых зонах теплоснабжения и теплосетевых организаций в ценовых зонах теплоснабжения)","организаций, в отношении которых "&amp;IF(TEMPLATE_SPHERE="TKO","осуществляется регулирование предельных тарифов, а также перечень операторов по обращению с твердыми коммунальными отходами, осуществляющих деятельность по транспортированию твердых коммунальных отходов","орган регулирования тарифов осуществляет регулирование тарифов в сфере водоснабжения и водоотведения"))</f>
        <v>Форма 3. Перечень регулируемых организаций (единых теплоснабжающих организаций в ценовых зонах теплоснабжения, теплоснабжающих организаций в ценовых зонах теплоснабжения и теплосетевых организаций в ценовых зонах теплоснабжения)</v>
      </c>
      <c r="F5" s="2101"/>
      <c r="G5" s="2101"/>
      <c r="H5" s="2101"/>
      <c r="I5" s="2101"/>
      <c r="J5" s="2101"/>
      <c r="K5" s="248"/>
      <c r="L5" s="501"/>
      <c r="M5" s="501"/>
      <c r="N5" s="501"/>
      <c r="O5" s="227"/>
      <c r="P5" s="501"/>
      <c r="Q5" s="226"/>
      <c r="R5" s="226"/>
      <c r="S5" s="226"/>
      <c r="T5" s="226"/>
      <c r="IU5" s="508">
        <v>26</v>
      </c>
    </row>
    <row s="1820" customFormat="1" customHeight="1" ht="14.699999999999998">
      <c r="A6" s="1156"/>
      <c r="B6" s="1161"/>
      <c r="C6" s="1156"/>
      <c r="D6" s="1496"/>
      <c r="E6" s="510"/>
      <c r="F6" s="168"/>
      <c r="G6" s="168"/>
      <c r="H6" s="168"/>
      <c r="I6" s="168"/>
      <c r="J6" s="169"/>
      <c r="K6" s="501"/>
      <c r="L6" s="501"/>
      <c r="M6" s="501"/>
      <c r="N6" s="501"/>
      <c r="O6" s="227"/>
      <c r="P6" s="501"/>
      <c r="Q6" s="226"/>
      <c r="R6" s="226"/>
      <c r="S6" s="226"/>
      <c r="T6" s="226"/>
      <c r="IU6" s="508">
        <v>14</v>
      </c>
    </row>
    <row s="1820" customFormat="1" customHeight="1" ht="14.699999999999998">
      <c r="A7" s="1156"/>
      <c r="B7" s="1161"/>
      <c r="C7" s="1156"/>
      <c r="D7" s="1496"/>
      <c r="E7" s="2102" t="s">
        <v>430</v>
      </c>
      <c r="F7" s="2103"/>
      <c r="G7" s="2103"/>
      <c r="H7" s="2103"/>
      <c r="I7" s="2103"/>
      <c r="J7" s="2475" t="s">
        <v>431</v>
      </c>
      <c r="K7" s="501"/>
      <c r="L7" s="501"/>
      <c r="M7" s="501"/>
      <c r="N7" s="501"/>
      <c r="O7" s="227"/>
      <c r="P7" s="501"/>
      <c r="Q7" s="226"/>
      <c r="R7" s="226"/>
      <c r="S7" s="226"/>
      <c r="T7" s="226"/>
      <c r="IU7" s="508">
        <v>14</v>
      </c>
    </row>
    <row s="1820" customFormat="1" customHeight="1" ht="21">
      <c r="A8" s="1156"/>
      <c r="B8" s="1161"/>
      <c r="C8" s="1156"/>
      <c r="D8" s="1496"/>
      <c r="E8" s="1549" t="s">
        <v>92</v>
      </c>
      <c r="F8" s="1541" t="s">
        <v>2003</v>
      </c>
      <c r="G8" s="1541" t="s">
        <v>52</v>
      </c>
      <c r="H8" s="1541" t="s">
        <v>54</v>
      </c>
      <c r="I8" s="1541" t="s">
        <v>2004</v>
      </c>
      <c r="J8" s="2476"/>
      <c r="K8" s="501"/>
      <c r="L8" s="501"/>
      <c r="M8" s="501"/>
      <c r="N8" s="501"/>
      <c r="O8" s="227"/>
      <c r="P8" s="501"/>
      <c r="Q8" s="226"/>
      <c r="R8" s="226"/>
      <c r="S8" s="226"/>
      <c r="T8" s="226"/>
      <c r="IU8" s="508">
        <v>20</v>
      </c>
    </row>
    <row s="1851" customFormat="1" customHeight="1" ht="23.25">
      <c r="A9" s="1632"/>
      <c r="B9" s="1161">
        <v>1</v>
      </c>
      <c r="C9" s="1161"/>
      <c r="D9" s="802"/>
      <c r="E9" s="1485">
        <v>1</v>
      </c>
      <c r="F9" s="1548"/>
      <c r="G9" s="1492"/>
      <c r="H9" s="1492"/>
      <c r="I9" s="1539"/>
      <c r="J9" s="2170" t="str">
        <f>IF(TEMPLATE_SPHERE="TKO","Региональным органом регулирования (органом местного самоуправления) раскрывается информация по указанной форме в отношении"&amp;" операторов по обращению с твердыми коммунальными отходами, осуществляющих деятельность по транспортированию твердых коммунальных отходов, "&amp;"сведения о которых содержатся в договорах на транспортирование твердых коммунальных отходов, заключенных региональным оператором с таким оператором,"&amp;" и о предложении об установлении единого тарифа на услугу регионального оператора.","")&amp;"
Значение в поле «Наименование организации» содержит наименование юридического лица согласно уставу организации.
Значение в поле «ИНН» содержит идентификационный номер налогоплательщика."&amp;"
Значение в поле «КПП» содержит код постановки на учёт.
Значение в поле «ОГРН (ОГРНИП)» содержит основной государственный регистрационный номер юридического лица (индивидуального предпринимателя)."</f>
        <v>
Значение в поле «Наименование организации» содержит наименование юридического лица согласно уставу организации.
Значение в поле «ИНН» содержит идентификационный номер налогоплательщика.
Значение в поле «КПП» содержит код постановки на учёт.
Значение в поле «ОГРН (ОГРНИП)» содержит основной государственный регистрационный номер юридического лица (индивидуального предпринимателя).</v>
      </c>
      <c r="K9" s="1536"/>
      <c r="L9" s="512"/>
      <c r="M9" s="512"/>
      <c r="N9" s="501" t="str">
        <f t="array" ref="N9:N9">IF(ISERROR(MATCH(MID(O9,1,250),MID(note_ter,1,250),0)),"n","y")</f>
        <v>n</v>
      </c>
      <c r="O9" s="512"/>
      <c r="P9" s="501" t="str">
        <f>G9&amp;"("&amp;J9&amp;")"</f>
        <v>(
Значение в поле «Наименование организации» содержит наименование юридического лица согласно уставу организации.
Значение в поле «ИНН» содержит идентификационный номер налогоплательщика.
Значение в поле «КПП» содержит код постановки на учёт.
Значение в поле «ОГРН (ОГРНИП)» содержит основной государственный регистрационный номер юридического лица (индивидуального предпринимателя).)</v>
      </c>
      <c r="Q9" s="1161"/>
      <c r="R9" s="1161"/>
      <c r="S9" s="421"/>
      <c r="T9" s="1161"/>
      <c r="U9" s="1161"/>
      <c r="V9" s="1161"/>
      <c r="W9" s="423"/>
      <c r="X9" s="423"/>
      <c r="Y9" s="420"/>
      <c r="Z9" s="420"/>
      <c r="AA9" s="420"/>
      <c r="AB9" s="420"/>
      <c r="AC9" s="420"/>
      <c r="AD9" s="420"/>
      <c r="AE9" s="420"/>
      <c r="AF9" s="420"/>
      <c r="AG9" s="420"/>
      <c r="AH9" s="420"/>
      <c r="AI9" s="420"/>
      <c r="AJ9" s="420"/>
      <c r="AK9" s="420"/>
      <c r="AL9" s="420"/>
      <c r="AM9" s="420"/>
      <c r="AN9" s="420"/>
      <c r="AO9" s="420"/>
      <c r="AP9" s="420"/>
      <c r="AQ9" s="420"/>
      <c r="AR9" s="420"/>
      <c r="AS9" s="420"/>
      <c r="AT9" s="420"/>
      <c r="AU9" s="420"/>
      <c r="AV9" s="420"/>
      <c r="AW9" s="420"/>
      <c r="AX9" s="420"/>
      <c r="AY9" s="420"/>
      <c r="AZ9" s="420"/>
      <c r="BA9" s="420"/>
      <c r="BB9" s="420"/>
      <c r="BC9" s="420"/>
      <c r="BD9" s="420"/>
      <c r="BE9" s="420"/>
      <c r="BF9" s="420"/>
      <c r="BG9" s="420"/>
      <c r="BH9" s="420"/>
      <c r="BI9" s="420"/>
      <c r="BJ9" s="420"/>
      <c r="BK9" s="420"/>
      <c r="BL9" s="420"/>
      <c r="BM9" s="420"/>
      <c r="BN9" s="420"/>
      <c r="BO9" s="420"/>
      <c r="BP9" s="420"/>
      <c r="BQ9" s="420"/>
      <c r="BR9" s="420"/>
      <c r="BS9" s="420"/>
      <c r="BT9" s="423"/>
      <c r="BU9" s="423"/>
      <c r="BV9" s="423"/>
      <c r="BW9" s="423"/>
      <c r="BX9" s="423"/>
      <c r="BY9" s="423"/>
      <c r="BZ9" s="423"/>
      <c r="CA9" s="423"/>
      <c r="CB9" s="423"/>
      <c r="CC9" s="423"/>
      <c r="IU9" s="424">
        <v>22</v>
      </c>
    </row>
    <row s="1851" customFormat="1" customHeight="1" ht="15.75">
      <c r="A10" s="1632"/>
      <c r="B10" s="1161"/>
      <c r="C10" s="413"/>
      <c r="D10" s="802"/>
      <c r="E10" s="1542"/>
      <c r="F10" s="1501" t="s">
        <v>2005</v>
      </c>
      <c r="G10" s="1543"/>
      <c r="H10" s="1543"/>
      <c r="I10" s="1900"/>
      <c r="J10" s="2172"/>
      <c r="K10" s="1537"/>
      <c r="L10" s="512"/>
      <c r="M10" s="512"/>
      <c r="N10" s="512"/>
      <c r="O10" s="501"/>
      <c r="P10" s="512"/>
      <c r="Q10" s="1161"/>
      <c r="R10" s="1161"/>
      <c r="S10" s="421"/>
      <c r="T10" s="1161"/>
      <c r="U10" s="1161"/>
      <c r="V10" s="1161"/>
      <c r="W10" s="423"/>
      <c r="X10" s="423"/>
      <c r="Y10" s="420"/>
      <c r="Z10" s="420"/>
      <c r="AA10" s="420"/>
      <c r="AB10" s="420"/>
      <c r="AC10" s="420"/>
      <c r="AD10" s="420"/>
      <c r="AE10" s="420"/>
      <c r="AF10" s="420"/>
      <c r="AG10" s="420"/>
      <c r="AH10" s="420"/>
      <c r="AI10" s="420"/>
      <c r="AJ10" s="420"/>
      <c r="AK10" s="420"/>
      <c r="AL10" s="420"/>
      <c r="AM10" s="420"/>
      <c r="AN10" s="420"/>
      <c r="AO10" s="420"/>
      <c r="AP10" s="420"/>
      <c r="AQ10" s="420"/>
      <c r="AR10" s="420"/>
      <c r="AS10" s="420"/>
      <c r="AT10" s="420"/>
      <c r="AU10" s="420"/>
      <c r="AV10" s="420"/>
      <c r="AW10" s="420"/>
      <c r="AX10" s="420"/>
      <c r="AY10" s="420"/>
      <c r="AZ10" s="420"/>
      <c r="BA10" s="420"/>
      <c r="BB10" s="420"/>
      <c r="BC10" s="420"/>
      <c r="BD10" s="420"/>
      <c r="BE10" s="420"/>
      <c r="BF10" s="420"/>
      <c r="BG10" s="420"/>
      <c r="BH10" s="420"/>
      <c r="BI10" s="420"/>
      <c r="BJ10" s="420"/>
      <c r="BK10" s="420"/>
      <c r="BL10" s="420"/>
      <c r="BM10" s="420"/>
      <c r="BN10" s="420"/>
      <c r="BO10" s="420"/>
      <c r="BP10" s="420"/>
      <c r="BQ10" s="420"/>
      <c r="BR10" s="420"/>
      <c r="BS10" s="420"/>
      <c r="BT10" s="423"/>
      <c r="BU10" s="423"/>
      <c r="BV10" s="423"/>
      <c r="BW10" s="423"/>
      <c r="BX10" s="423"/>
      <c r="BY10" s="423"/>
      <c r="BZ10" s="423"/>
      <c r="CA10" s="423"/>
      <c r="CB10" s="423"/>
      <c r="CC10" s="423"/>
      <c r="IU10" s="424">
        <v>15</v>
      </c>
    </row>
    <row s="1820" customFormat="1" customHeight="1" ht="22.049999999999997">
      <c r="A11" s="1156"/>
      <c r="B11" s="1161"/>
      <c r="C11" s="1156"/>
      <c r="D11" s="452"/>
      <c r="E11" s="181"/>
      <c r="F11" s="181"/>
      <c r="G11" s="181"/>
      <c r="H11" s="181"/>
      <c r="I11" s="181"/>
      <c r="J11" s="181"/>
      <c r="K11" s="501"/>
      <c r="L11" s="501"/>
      <c r="M11" s="501"/>
      <c r="N11" s="501"/>
      <c r="O11" s="227"/>
      <c r="P11" s="501"/>
      <c r="Q11" s="226"/>
      <c r="R11" s="226"/>
      <c r="S11" s="226"/>
      <c r="T11" s="226"/>
      <c r="IU11" s="508">
        <v>21</v>
      </c>
    </row>
    <row s="1820" customFormat="1" customHeight="1" ht="14.699999999999998">
      <c r="A12" s="1156"/>
      <c r="B12" s="1161"/>
      <c r="C12" s="1156"/>
      <c r="D12" s="452"/>
      <c r="E12" s="1156"/>
      <c r="F12" s="1156"/>
      <c r="G12" s="1156"/>
      <c r="H12" s="1156"/>
      <c r="I12" s="1156"/>
      <c r="J12" s="1156"/>
      <c r="K12" s="501"/>
      <c r="L12" s="501"/>
      <c r="M12" s="501"/>
      <c r="N12" s="501"/>
      <c r="O12" s="227"/>
      <c r="P12" s="501"/>
      <c r="Q12" s="226"/>
      <c r="R12" s="226"/>
      <c r="S12" s="226"/>
      <c r="T12" s="226"/>
      <c r="IU12" s="508">
        <v>14</v>
      </c>
    </row>
    <row s="1820" customFormat="1" customHeight="1" ht="1.05">
      <c r="A13" s="1156"/>
      <c r="B13" s="1161"/>
      <c r="C13" s="1156"/>
      <c r="D13" s="452"/>
      <c r="E13" s="1156"/>
      <c r="F13" s="1156"/>
      <c r="G13" s="1156"/>
      <c r="H13" s="1156"/>
      <c r="I13" s="1156"/>
      <c r="J13" s="1156"/>
      <c r="K13" s="501"/>
      <c r="L13" s="501"/>
      <c r="M13" s="501"/>
      <c r="N13" s="501"/>
      <c r="O13" s="227"/>
      <c r="P13" s="501"/>
      <c r="Q13" s="226"/>
      <c r="R13" s="226"/>
      <c r="S13" s="226"/>
      <c r="T13" s="226"/>
      <c r="IU13" s="508">
        <v>1</v>
      </c>
    </row>
    <row s="1065" customFormat="1" customHeight="1" ht="10.5">
      <c r="B14" s="835"/>
      <c r="D14" s="183"/>
      <c r="K14" s="501"/>
      <c r="L14" s="501"/>
      <c r="M14" s="501"/>
      <c r="N14" s="501"/>
      <c r="O14" s="227"/>
      <c r="P14" s="501"/>
      <c r="Q14" s="226"/>
      <c r="R14" s="226"/>
      <c r="S14" s="226"/>
      <c r="T14" s="226"/>
      <c r="IU14" s="182">
        <v>10</v>
      </c>
    </row>
    <row s="1065" customFormat="1" customHeight="1" ht="10.5">
      <c r="B15" s="835"/>
      <c r="D15" s="183"/>
      <c r="K15" s="501"/>
      <c r="L15" s="501"/>
      <c r="M15" s="501"/>
      <c r="N15" s="501"/>
      <c r="O15" s="227"/>
      <c r="P15" s="501"/>
      <c r="Q15" s="226"/>
      <c r="R15" s="226"/>
      <c r="S15" s="226"/>
      <c r="T15" s="226"/>
      <c r="IU15" s="182">
        <v>10</v>
      </c>
    </row>
    <row customHeight="1" ht="14.699999999999998">
      <c r="IU16" s="1156">
        <v>14</v>
      </c>
    </row>
    <row customHeight="1" ht="14.699999999999998">
      <c r="IU17" s="1156">
        <v>14</v>
      </c>
    </row>
    <row customHeight="1" ht="14.699999999999998">
      <c r="IU18" s="1156">
        <v>14</v>
      </c>
    </row>
    <row customHeight="1" ht="14.699999999999998">
      <c r="G19" s="374"/>
      <c r="H19" s="374"/>
      <c r="I19" s="374"/>
      <c r="IU19" s="1156">
        <v>14</v>
      </c>
    </row>
    <row customHeight="1" ht="14.699999999999998">
      <c r="IU20" s="1156">
        <v>14</v>
      </c>
    </row>
    <row customHeight="1" ht="14.699999999999998">
      <c r="IU21" s="1156">
        <v>14</v>
      </c>
    </row>
    <row customHeight="1" ht="14.699999999999998">
      <c r="IU22" s="1156">
        <v>14</v>
      </c>
    </row>
    <row customHeight="1" ht="14.699999999999998">
      <c r="K23" s="1156"/>
      <c r="L23" s="1156"/>
      <c r="M23" s="1156"/>
      <c r="IU23" s="1156">
        <v>14</v>
      </c>
    </row>
    <row customHeight="1" ht="22.5" hidden="1">
      <c r="A24" s="1156" t="s">
        <v>86</v>
      </c>
      <c r="B24" s="1161">
        <v>0</v>
      </c>
      <c r="C24" s="1156">
        <v>0</v>
      </c>
      <c r="D24" s="452">
        <v>3</v>
      </c>
      <c r="E24" s="1156">
        <v>6</v>
      </c>
      <c r="F24" s="1156">
        <v>46</v>
      </c>
      <c r="G24" s="1156">
        <v>16</v>
      </c>
      <c r="H24" s="1156">
        <v>16</v>
      </c>
      <c r="I24" s="1156">
        <v>35</v>
      </c>
      <c r="J24" s="1156">
        <v>89</v>
      </c>
      <c r="K24" s="501">
        <v>3</v>
      </c>
      <c r="L24" s="501">
        <v>8</v>
      </c>
      <c r="M24" s="501">
        <v>8</v>
      </c>
      <c r="N24" s="501">
        <v>8</v>
      </c>
      <c r="O24" s="227">
        <v>25</v>
      </c>
      <c r="P24" s="501">
        <v>14</v>
      </c>
      <c r="Q24" s="226">
        <v>8</v>
      </c>
      <c r="R24" s="226">
        <v>8</v>
      </c>
      <c r="S24" s="226">
        <v>8</v>
      </c>
      <c r="T24" s="226">
        <v>8</v>
      </c>
      <c r="U24" s="1156">
        <v>8</v>
      </c>
      <c r="V24" s="1156">
        <v>8</v>
      </c>
      <c r="W24" s="1156">
        <v>8</v>
      </c>
      <c r="X24" s="1156">
        <v>8</v>
      </c>
      <c r="Y24" s="1156">
        <v>8</v>
      </c>
      <c r="Z24" s="1156">
        <v>8</v>
      </c>
      <c r="AA24" s="1156">
        <v>8</v>
      </c>
      <c r="AB24" s="1156">
        <v>8</v>
      </c>
      <c r="AC24" s="1156">
        <v>8</v>
      </c>
      <c r="AD24" s="1156">
        <v>8</v>
      </c>
      <c r="AE24" s="1156">
        <v>8</v>
      </c>
      <c r="AF24" s="1156">
        <v>8</v>
      </c>
      <c r="AG24" s="1156">
        <v>8</v>
      </c>
      <c r="AH24" s="1156">
        <v>8</v>
      </c>
      <c r="AI24" s="1156">
        <v>8</v>
      </c>
      <c r="AJ24" s="1156">
        <v>8</v>
      </c>
      <c r="AK24" s="1156">
        <v>8</v>
      </c>
      <c r="AL24" s="1156">
        <v>8</v>
      </c>
      <c r="AM24" s="1156">
        <v>8</v>
      </c>
      <c r="AN24" s="1156">
        <v>8</v>
      </c>
      <c r="AO24" s="1156">
        <v>8</v>
      </c>
      <c r="AP24" s="1156">
        <v>8</v>
      </c>
      <c r="AQ24" s="1156">
        <v>8</v>
      </c>
      <c r="AR24" s="1156">
        <v>8</v>
      </c>
      <c r="AS24" s="1156">
        <v>8</v>
      </c>
      <c r="AT24" s="1156">
        <v>8</v>
      </c>
      <c r="AU24" s="1156">
        <v>8</v>
      </c>
      <c r="AV24" s="1156">
        <v>8</v>
      </c>
      <c r="AW24" s="1156">
        <v>8</v>
      </c>
      <c r="AX24" s="1156">
        <v>8</v>
      </c>
      <c r="AY24" s="1156">
        <v>8</v>
      </c>
      <c r="AZ24" s="1156">
        <v>8</v>
      </c>
      <c r="BA24" s="1156">
        <v>8</v>
      </c>
      <c r="BB24" s="1156">
        <v>8</v>
      </c>
      <c r="BC24" s="1156">
        <v>8</v>
      </c>
      <c r="BD24" s="1156">
        <v>8</v>
      </c>
      <c r="BE24" s="1156">
        <v>8</v>
      </c>
      <c r="BF24" s="1156">
        <v>8</v>
      </c>
      <c r="BG24" s="1156">
        <v>8</v>
      </c>
      <c r="BH24" s="1156">
        <v>8</v>
      </c>
      <c r="BI24" s="1156">
        <v>8</v>
      </c>
      <c r="BJ24" s="1156">
        <v>8</v>
      </c>
      <c r="BK24" s="1156">
        <v>8</v>
      </c>
      <c r="BL24" s="1156">
        <v>8</v>
      </c>
      <c r="BM24" s="1156">
        <v>8</v>
      </c>
      <c r="BN24" s="1156">
        <v>8</v>
      </c>
      <c r="BO24" s="1156">
        <v>8</v>
      </c>
      <c r="BP24" s="1156">
        <v>8</v>
      </c>
      <c r="BQ24" s="1156">
        <v>8</v>
      </c>
      <c r="BR24" s="1156">
        <v>8</v>
      </c>
      <c r="BS24" s="1156">
        <v>8</v>
      </c>
      <c r="BT24" s="1156">
        <v>8</v>
      </c>
      <c r="BU24" s="1156">
        <v>8</v>
      </c>
      <c r="BV24" s="1156">
        <v>8</v>
      </c>
      <c r="BW24" s="1156">
        <v>8</v>
      </c>
      <c r="BX24" s="1156">
        <v>8</v>
      </c>
      <c r="BY24" s="1156">
        <v>8</v>
      </c>
      <c r="BZ24" s="1156">
        <v>8</v>
      </c>
      <c r="CA24" s="1156">
        <v>8</v>
      </c>
      <c r="CB24" s="1156">
        <v>8</v>
      </c>
      <c r="CC24" s="1156">
        <v>8</v>
      </c>
      <c r="CD24" s="1156">
        <v>8</v>
      </c>
      <c r="CE24" s="1156">
        <v>8</v>
      </c>
      <c r="CF24" s="1156">
        <v>8</v>
      </c>
      <c r="CG24" s="1156">
        <v>8</v>
      </c>
      <c r="CH24" s="1156">
        <v>8</v>
      </c>
      <c r="CI24" s="1156">
        <v>8</v>
      </c>
      <c r="CJ24" s="1156">
        <v>8</v>
      </c>
      <c r="CK24" s="1156">
        <v>8</v>
      </c>
      <c r="CL24" s="1156">
        <v>8</v>
      </c>
      <c r="CM24" s="1156">
        <v>8</v>
      </c>
      <c r="CN24" s="1156">
        <v>8</v>
      </c>
      <c r="CO24" s="1156">
        <v>8</v>
      </c>
      <c r="CP24" s="1156">
        <v>8</v>
      </c>
      <c r="CQ24" s="1156">
        <v>8</v>
      </c>
      <c r="CR24" s="1156">
        <v>8</v>
      </c>
      <c r="CS24" s="1156">
        <v>8</v>
      </c>
      <c r="CT24" s="1156">
        <v>8</v>
      </c>
      <c r="CU24" s="1156">
        <v>8</v>
      </c>
      <c r="CV24" s="1156">
        <v>8</v>
      </c>
      <c r="CW24" s="1156">
        <v>8</v>
      </c>
      <c r="CX24" s="1156">
        <v>8</v>
      </c>
      <c r="CY24" s="1156">
        <v>8</v>
      </c>
      <c r="CZ24" s="1156">
        <v>8</v>
      </c>
      <c r="DA24" s="1156">
        <v>8</v>
      </c>
      <c r="DB24" s="1156">
        <v>8</v>
      </c>
      <c r="DC24" s="1156">
        <v>8</v>
      </c>
      <c r="DD24" s="1156">
        <v>8</v>
      </c>
      <c r="DE24" s="1156">
        <v>8</v>
      </c>
      <c r="DF24" s="1156">
        <v>8</v>
      </c>
      <c r="DG24" s="1156">
        <v>8</v>
      </c>
      <c r="DH24" s="1156">
        <v>8</v>
      </c>
      <c r="DI24" s="1156">
        <v>8</v>
      </c>
      <c r="DJ24" s="1156">
        <v>8</v>
      </c>
      <c r="DK24" s="1156">
        <v>8</v>
      </c>
      <c r="DL24" s="1156">
        <v>8</v>
      </c>
      <c r="DM24" s="1156">
        <v>8</v>
      </c>
      <c r="DN24" s="1156">
        <v>8</v>
      </c>
      <c r="DO24" s="1156">
        <v>8</v>
      </c>
      <c r="DP24" s="1156">
        <v>8</v>
      </c>
      <c r="DQ24" s="1156">
        <v>8</v>
      </c>
      <c r="DR24" s="1156">
        <v>8</v>
      </c>
      <c r="DS24" s="1156">
        <v>8</v>
      </c>
      <c r="DT24" s="1156">
        <v>8</v>
      </c>
      <c r="DU24" s="1156">
        <v>8</v>
      </c>
      <c r="DV24" s="1156">
        <v>8</v>
      </c>
      <c r="DW24" s="1156">
        <v>8</v>
      </c>
      <c r="DX24" s="1156">
        <v>8</v>
      </c>
      <c r="DY24" s="1156">
        <v>8</v>
      </c>
      <c r="DZ24" s="1156">
        <v>8</v>
      </c>
      <c r="EA24" s="1156">
        <v>8</v>
      </c>
      <c r="EB24" s="1156">
        <v>8</v>
      </c>
      <c r="EC24" s="1156">
        <v>8</v>
      </c>
      <c r="ED24" s="1156">
        <v>8</v>
      </c>
      <c r="EE24" s="1156">
        <v>8</v>
      </c>
      <c r="EF24" s="1156">
        <v>8</v>
      </c>
      <c r="EG24" s="1156">
        <v>8</v>
      </c>
      <c r="EH24" s="1156">
        <v>8</v>
      </c>
      <c r="EI24" s="1156">
        <v>8</v>
      </c>
      <c r="EJ24" s="1156">
        <v>8</v>
      </c>
      <c r="EK24" s="1156">
        <v>8</v>
      </c>
      <c r="EL24" s="1156">
        <v>8</v>
      </c>
      <c r="EM24" s="1156">
        <v>8</v>
      </c>
      <c r="EN24" s="1156">
        <v>8</v>
      </c>
      <c r="EO24" s="1156">
        <v>8</v>
      </c>
      <c r="EP24" s="1156">
        <v>8</v>
      </c>
      <c r="EQ24" s="1156">
        <v>8</v>
      </c>
      <c r="ER24" s="1156">
        <v>8</v>
      </c>
      <c r="ES24" s="1156">
        <v>8</v>
      </c>
      <c r="ET24" s="1156">
        <v>8</v>
      </c>
      <c r="EU24" s="1156">
        <v>8</v>
      </c>
      <c r="EV24" s="1156">
        <v>8</v>
      </c>
      <c r="EW24" s="1156">
        <v>8</v>
      </c>
      <c r="EX24" s="1156">
        <v>8</v>
      </c>
      <c r="EY24" s="1156">
        <v>8</v>
      </c>
      <c r="EZ24" s="1156">
        <v>8</v>
      </c>
      <c r="FA24" s="1156">
        <v>8</v>
      </c>
      <c r="FB24" s="1156">
        <v>8</v>
      </c>
      <c r="FC24" s="1156">
        <v>8</v>
      </c>
      <c r="FD24" s="1156">
        <v>8</v>
      </c>
      <c r="FE24" s="1156">
        <v>8</v>
      </c>
      <c r="FF24" s="1156">
        <v>8</v>
      </c>
      <c r="FG24" s="1156">
        <v>8</v>
      </c>
      <c r="FH24" s="1156">
        <v>8</v>
      </c>
      <c r="FI24" s="1156">
        <v>8</v>
      </c>
      <c r="FJ24" s="1156">
        <v>8</v>
      </c>
      <c r="FK24" s="1156">
        <v>8</v>
      </c>
      <c r="FL24" s="1156">
        <v>8</v>
      </c>
      <c r="FM24" s="1156">
        <v>8</v>
      </c>
      <c r="FN24" s="1156">
        <v>8</v>
      </c>
      <c r="FO24" s="1156">
        <v>8</v>
      </c>
      <c r="FP24" s="1156">
        <v>8</v>
      </c>
      <c r="FQ24" s="1156">
        <v>8</v>
      </c>
      <c r="FR24" s="1156">
        <v>8</v>
      </c>
      <c r="FS24" s="1156">
        <v>8</v>
      </c>
      <c r="FT24" s="1156">
        <v>8</v>
      </c>
      <c r="FU24" s="1156">
        <v>8</v>
      </c>
      <c r="FV24" s="1156">
        <v>8</v>
      </c>
      <c r="FW24" s="1156">
        <v>8</v>
      </c>
      <c r="FX24" s="1156">
        <v>8</v>
      </c>
      <c r="FY24" s="1156">
        <v>8</v>
      </c>
      <c r="FZ24" s="1156">
        <v>8</v>
      </c>
      <c r="GA24" s="1156">
        <v>8</v>
      </c>
      <c r="GB24" s="1156">
        <v>8</v>
      </c>
      <c r="GC24" s="1156">
        <v>8</v>
      </c>
      <c r="GD24" s="1156">
        <v>8</v>
      </c>
      <c r="GE24" s="1156">
        <v>8</v>
      </c>
      <c r="GF24" s="1156">
        <v>8</v>
      </c>
      <c r="GG24" s="1156">
        <v>8</v>
      </c>
      <c r="GH24" s="1156">
        <v>8</v>
      </c>
      <c r="GI24" s="1156">
        <v>8</v>
      </c>
      <c r="GJ24" s="1156">
        <v>8</v>
      </c>
      <c r="GK24" s="1156">
        <v>8</v>
      </c>
      <c r="GL24" s="1156">
        <v>8</v>
      </c>
      <c r="GM24" s="1156">
        <v>8</v>
      </c>
      <c r="GN24" s="1156">
        <v>8</v>
      </c>
      <c r="GO24" s="1156">
        <v>8</v>
      </c>
      <c r="GP24" s="1156">
        <v>8</v>
      </c>
      <c r="GQ24" s="1156">
        <v>8</v>
      </c>
      <c r="GR24" s="1156">
        <v>8</v>
      </c>
      <c r="GS24" s="1156">
        <v>8</v>
      </c>
      <c r="GT24" s="1156">
        <v>8</v>
      </c>
      <c r="GU24" s="1156">
        <v>8</v>
      </c>
      <c r="GV24" s="1156">
        <v>8</v>
      </c>
      <c r="GW24" s="1156">
        <v>8</v>
      </c>
      <c r="GX24" s="1156">
        <v>8</v>
      </c>
      <c r="GY24" s="1156">
        <v>8</v>
      </c>
      <c r="GZ24" s="1156">
        <v>8</v>
      </c>
      <c r="HA24" s="1156">
        <v>8</v>
      </c>
      <c r="HB24" s="1156">
        <v>8</v>
      </c>
      <c r="HC24" s="1156">
        <v>8</v>
      </c>
      <c r="HD24" s="1156">
        <v>8</v>
      </c>
      <c r="HE24" s="1156">
        <v>8</v>
      </c>
      <c r="HF24" s="1156">
        <v>8</v>
      </c>
      <c r="HG24" s="1156">
        <v>8</v>
      </c>
      <c r="HH24" s="1156">
        <v>8</v>
      </c>
      <c r="HI24" s="1156">
        <v>8</v>
      </c>
      <c r="HJ24" s="1156">
        <v>8</v>
      </c>
      <c r="HK24" s="1156">
        <v>8</v>
      </c>
      <c r="HL24" s="1156">
        <v>8</v>
      </c>
      <c r="HM24" s="1156">
        <v>8</v>
      </c>
      <c r="HN24" s="1156">
        <v>8</v>
      </c>
      <c r="HO24" s="1156">
        <v>8</v>
      </c>
      <c r="HP24" s="1156">
        <v>8</v>
      </c>
      <c r="HQ24" s="1156">
        <v>8</v>
      </c>
      <c r="HR24" s="1156">
        <v>8</v>
      </c>
      <c r="HS24" s="1156">
        <v>8</v>
      </c>
      <c r="HT24" s="1156">
        <v>8</v>
      </c>
      <c r="HU24" s="1156">
        <v>8</v>
      </c>
      <c r="HV24" s="1156">
        <v>8</v>
      </c>
      <c r="HW24" s="1156">
        <v>8</v>
      </c>
      <c r="HX24" s="1156">
        <v>8</v>
      </c>
      <c r="HY24" s="1156">
        <v>8</v>
      </c>
      <c r="HZ24" s="1156">
        <v>8</v>
      </c>
      <c r="IA24" s="1156">
        <v>8</v>
      </c>
      <c r="IB24" s="1156">
        <v>8</v>
      </c>
      <c r="IC24" s="1156">
        <v>8</v>
      </c>
      <c r="ID24" s="1156">
        <v>8</v>
      </c>
      <c r="IE24" s="1156">
        <v>8</v>
      </c>
      <c r="IF24" s="1156">
        <v>8</v>
      </c>
      <c r="IG24" s="1156">
        <v>8</v>
      </c>
      <c r="IH24" s="1156">
        <v>8</v>
      </c>
      <c r="II24" s="1156">
        <v>8</v>
      </c>
      <c r="IJ24" s="1156">
        <v>8</v>
      </c>
      <c r="IK24" s="1156">
        <v>8</v>
      </c>
      <c r="IL24" s="1156">
        <v>8</v>
      </c>
      <c r="IM24" s="1156">
        <v>8</v>
      </c>
      <c r="IN24" s="1156">
        <v>8</v>
      </c>
      <c r="IO24" s="1156">
        <v>8</v>
      </c>
      <c r="IP24" s="1156">
        <v>8</v>
      </c>
      <c r="IQ24" s="1156">
        <v>8</v>
      </c>
      <c r="IR24" s="1156">
        <v>8</v>
      </c>
      <c r="IS24" s="1156">
        <v>8</v>
      </c>
      <c r="IT24" s="1156">
        <v>8</v>
      </c>
      <c r="IU24" s="1156">
        <v>23</v>
      </c>
    </row>
  </sheetData>
  <sheetProtection formatColumns="0" formatRows="0" autoFilter="0" sort="0" insertRows="0" insertColumns="1" deleteRows="0" deleteColumns="0"/>
  <mergeCells count="4">
    <mergeCell ref="E5:J5"/>
    <mergeCell ref="E7:I7"/>
    <mergeCell ref="J7:J8"/>
    <mergeCell ref="J9:J10"/>
  </mergeCells>
  <dataValidations count="2">
    <dataValidation type="textLength" allowBlank="1" showInputMessage="1" showErrorMessage="1" prompt="ОГРН состоит из 13 цифр, ОГРНИП - из 15" sqref="I9 I2">
      <formula1>13</formula1>
      <formula2>15</formula2>
    </dataValidation>
    <dataValidation type="textLength" allowBlank="1" showInputMessage="1" showErrorMessage="1" sqref="I3">
      <formula1>13</formula1>
      <formula2>15</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5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CBEDC08-1C58-DEA8-FE42-66CC40B179F8}" mc:Ignorable="x14ac xr xr2 xr3">
  <dimension ref="A1:IW15"/>
  <sheetViews>
    <sheetView showGridLines="0" zoomScale="90" workbookViewId="0">
      <pane xSplit="6" ySplit="9" topLeftCell="G10" activePane="bottomRight" state="frozen"/>
      <selection pane="bottomLeft" activeCell="A10" sqref="A10"/>
      <selection pane="topRight" activeCell="G1" sqref="G1"/>
      <selection pane="bottomRight" activeCell="A1" sqref="A1"/>
    </sheetView>
  </sheetViews>
  <sheetFormatPr defaultColWidth="9.140625" customHeight="1" defaultRowHeight="14.25"/>
  <cols>
    <col min="1" max="1" style="1636" width="9.140625" hidden="1"/>
    <col min="2" max="2" style="1367" width="9.140625" hidden="1"/>
    <col min="3" max="3" style="1636" width="3.7109375" hidden="1" customWidth="1"/>
    <col min="4" max="4" style="1843" width="3.00390625" customWidth="1"/>
    <col min="5" max="5" style="1636" width="6.00390625" customWidth="1"/>
    <col min="6" max="6" style="1636" width="27.00390625" customWidth="1"/>
    <col min="7" max="7" style="1636" width="16.00390625" customWidth="1"/>
    <col min="8" max="8" style="1636" width="12.00390625" customWidth="1"/>
    <col min="9" max="9" style="1636" width="32.00390625" customWidth="1"/>
    <col min="10" max="11" style="1636" width="41.00390625" customWidth="1"/>
    <col min="12" max="12" style="1636" width="89.00390625" customWidth="1"/>
    <col min="13" max="13" style="1625" width="3.00390625" customWidth="1"/>
    <col min="14" max="16" style="1625" width="8.00390625" customWidth="1"/>
    <col min="17" max="17" style="1625" width="25.00390625" customWidth="1"/>
    <col min="18" max="18" style="1625" width="14.00390625" customWidth="1"/>
    <col min="19" max="22" style="226" width="8.00390625" customWidth="1"/>
    <col min="23" max="256" style="1636" width="8.00390625" customWidth="1"/>
    <col min="257" max="257" style="1636" width="9.140625" hidden="1"/>
  </cols>
  <sheetData>
    <row customHeight="1" ht="22.5" hidden="1">
      <c r="IW1" s="1156" t="s">
        <v>14</v>
      </c>
    </row>
    <row s="1851" customFormat="1" customHeight="1" ht="22.5" hidden="1">
      <c r="A2" s="832"/>
      <c r="B2" s="1161">
        <v>1</v>
      </c>
      <c r="C2" s="1161"/>
      <c r="D2" s="1929" t="s">
        <v>108</v>
      </c>
      <c r="E2" s="1890"/>
      <c r="F2" s="1893" t="str">
        <f>IF(ROIV_INFO_NAME="","",ROIV_INFO_NAME)</f>
        <v>ПАО "ТГК-1" (филиал "Кольский")</v>
      </c>
      <c r="G2" s="1918" t="s">
        <v>28</v>
      </c>
      <c r="H2" s="1917"/>
      <c r="I2" s="1539"/>
      <c r="J2" s="819"/>
      <c r="K2" s="819"/>
      <c r="L2" s="229"/>
      <c r="M2" s="1536">
        <f>MERGEVALUE(F2)</f>
      </c>
      <c r="N2" s="512"/>
      <c r="O2" s="512"/>
      <c r="P2" s="501" t="str">
        <f t="array" ref="P2:P2">IF(ISERROR(MATCH(MID(Q2,1,250),MID(note_ter,1,250),0)),"n","y")</f>
        <v>n</v>
      </c>
      <c r="Q2" s="512"/>
      <c r="R2" s="501" t="str">
        <f>G2&amp;"("&amp;L2&amp;")"</f>
        <v>()</v>
      </c>
      <c r="S2" s="1161"/>
      <c r="T2" s="1161"/>
      <c r="U2" s="421"/>
      <c r="V2" s="1161"/>
      <c r="W2" s="1161"/>
      <c r="X2" s="1161"/>
      <c r="Y2" s="423"/>
      <c r="Z2" s="423"/>
      <c r="AA2" s="420"/>
      <c r="AB2" s="420"/>
      <c r="AC2" s="420"/>
      <c r="AD2" s="420"/>
      <c r="AE2" s="420"/>
      <c r="AF2" s="420"/>
      <c r="AG2" s="420"/>
      <c r="AH2" s="420"/>
      <c r="AI2" s="420"/>
      <c r="AJ2" s="420"/>
      <c r="AK2" s="420"/>
      <c r="AL2" s="420"/>
      <c r="AM2" s="420"/>
      <c r="AN2" s="420"/>
      <c r="AO2" s="420"/>
      <c r="AP2" s="420"/>
      <c r="AQ2" s="420"/>
      <c r="AR2" s="420"/>
      <c r="AS2" s="420"/>
      <c r="AT2" s="420"/>
      <c r="AU2" s="420"/>
      <c r="AV2" s="420"/>
      <c r="AW2" s="420"/>
      <c r="AX2" s="420"/>
      <c r="AY2" s="420"/>
      <c r="AZ2" s="420"/>
      <c r="BA2" s="420"/>
      <c r="BB2" s="420"/>
      <c r="BC2" s="420"/>
      <c r="BD2" s="420"/>
      <c r="BE2" s="420"/>
      <c r="BF2" s="420"/>
      <c r="BG2" s="420"/>
      <c r="BH2" s="420"/>
      <c r="BI2" s="420"/>
      <c r="BJ2" s="420"/>
      <c r="BK2" s="420"/>
      <c r="BL2" s="420"/>
      <c r="BM2" s="420"/>
      <c r="BN2" s="420"/>
      <c r="BO2" s="420"/>
      <c r="BP2" s="420"/>
      <c r="BQ2" s="420"/>
      <c r="BR2" s="420"/>
      <c r="BS2" s="420"/>
      <c r="BT2" s="420"/>
      <c r="BU2" s="420"/>
      <c r="BV2" s="423"/>
      <c r="BW2" s="423"/>
      <c r="BX2" s="423"/>
      <c r="BY2" s="423"/>
      <c r="BZ2" s="423"/>
      <c r="CA2" s="423"/>
      <c r="CB2" s="423"/>
      <c r="CC2" s="423"/>
      <c r="CD2" s="423"/>
      <c r="CE2" s="423"/>
      <c r="IW2" s="424">
        <v>0</v>
      </c>
    </row>
    <row s="1643" customFormat="1" customHeight="1" ht="5.25" hidden="1">
      <c r="A3" s="497"/>
      <c r="D3" s="495"/>
      <c r="F3" s="248" t="s">
        <v>87</v>
      </c>
      <c r="G3" s="1736" t="s">
        <v>88</v>
      </c>
      <c r="H3" s="495"/>
      <c r="I3" s="495"/>
      <c r="J3" s="495"/>
      <c r="K3" s="495"/>
      <c r="L3" s="228" t="s">
        <v>89</v>
      </c>
      <c r="M3" s="248" t="s">
        <v>87</v>
      </c>
      <c r="N3" s="248"/>
      <c r="O3" s="248"/>
      <c r="P3" s="248"/>
      <c r="Q3" s="249"/>
      <c r="R3" s="248"/>
      <c r="S3" s="248"/>
      <c r="T3" s="248"/>
      <c r="U3" s="248"/>
      <c r="V3" s="248"/>
      <c r="W3" s="228"/>
      <c r="X3" s="228"/>
      <c r="Y3" s="228"/>
      <c r="Z3" s="228"/>
      <c r="AA3" s="228"/>
      <c r="AB3" s="228"/>
      <c r="AC3" s="228"/>
      <c r="AD3" s="228"/>
      <c r="AE3" s="228"/>
      <c r="AF3" s="228"/>
      <c r="AG3" s="228"/>
      <c r="AH3" s="228"/>
      <c r="AI3" s="228"/>
      <c r="AJ3" s="228"/>
      <c r="AK3" s="228"/>
      <c r="AL3" s="228"/>
      <c r="AM3" s="228"/>
      <c r="AN3" s="228"/>
      <c r="AO3" s="228"/>
      <c r="AP3" s="228"/>
      <c r="AQ3" s="228"/>
      <c r="AR3" s="228"/>
      <c r="AS3" s="228"/>
      <c r="AT3" s="228"/>
      <c r="AU3" s="228"/>
      <c r="AV3" s="228"/>
      <c r="AW3" s="228"/>
      <c r="AX3" s="228"/>
      <c r="AY3" s="228"/>
      <c r="AZ3" s="228"/>
      <c r="BA3" s="228"/>
      <c r="BB3" s="228"/>
      <c r="BC3" s="228"/>
      <c r="BD3" s="228"/>
      <c r="BE3" s="228"/>
      <c r="BF3" s="228"/>
      <c r="BG3" s="228"/>
      <c r="BH3" s="228"/>
      <c r="BI3" s="228"/>
      <c r="BJ3" s="228"/>
      <c r="BK3" s="228"/>
      <c r="BL3" s="228"/>
      <c r="BM3" s="228"/>
      <c r="BN3" s="228"/>
      <c r="BO3" s="228"/>
      <c r="BP3" s="228"/>
      <c r="BQ3" s="228"/>
      <c r="BR3" s="228"/>
      <c r="BS3" s="228"/>
      <c r="BT3" s="228"/>
      <c r="BU3" s="228"/>
      <c r="BV3" s="228"/>
      <c r="BW3" s="228"/>
      <c r="BX3" s="228"/>
      <c r="BY3" s="228"/>
      <c r="BZ3" s="228"/>
      <c r="CA3" s="228"/>
      <c r="CB3" s="228"/>
      <c r="CC3" s="228"/>
      <c r="CD3" s="228"/>
      <c r="CE3" s="228"/>
      <c r="CF3" s="228"/>
      <c r="CG3" s="228"/>
      <c r="CH3" s="228"/>
      <c r="CI3" s="228"/>
      <c r="CJ3" s="228"/>
      <c r="CK3" s="228"/>
      <c r="CL3" s="228"/>
      <c r="CM3" s="228"/>
      <c r="CN3" s="228"/>
      <c r="CO3" s="228"/>
      <c r="CP3" s="228"/>
      <c r="CQ3" s="228"/>
      <c r="CR3" s="228"/>
      <c r="CS3" s="228"/>
      <c r="CT3" s="228"/>
      <c r="CU3" s="228"/>
      <c r="CV3" s="228"/>
      <c r="CW3" s="228"/>
      <c r="CX3" s="228"/>
      <c r="CY3" s="228"/>
      <c r="CZ3" s="228"/>
      <c r="DA3" s="228"/>
      <c r="DB3" s="228"/>
      <c r="DC3" s="228"/>
      <c r="DD3" s="228"/>
      <c r="DE3" s="228"/>
      <c r="DF3" s="228"/>
      <c r="DG3" s="228"/>
      <c r="DH3" s="228"/>
      <c r="DI3" s="228"/>
      <c r="DJ3" s="228"/>
      <c r="DK3" s="228"/>
      <c r="DL3" s="228"/>
      <c r="DM3" s="228"/>
      <c r="DN3" s="228"/>
      <c r="DO3" s="228"/>
      <c r="DP3" s="228"/>
      <c r="DQ3" s="228"/>
      <c r="DR3" s="228"/>
      <c r="DS3" s="228"/>
      <c r="DT3" s="228"/>
      <c r="DU3" s="228"/>
      <c r="DV3" s="228"/>
      <c r="DW3" s="228"/>
      <c r="DX3" s="228"/>
      <c r="DY3" s="228"/>
      <c r="DZ3" s="228"/>
      <c r="EA3" s="228"/>
      <c r="EB3" s="228"/>
      <c r="EC3" s="228"/>
      <c r="ED3" s="228"/>
      <c r="EE3" s="228"/>
      <c r="EF3" s="228"/>
      <c r="EG3" s="228"/>
      <c r="EH3" s="228"/>
      <c r="EI3" s="228"/>
      <c r="EJ3" s="228"/>
      <c r="EK3" s="228"/>
      <c r="EL3" s="228"/>
      <c r="EM3" s="228"/>
      <c r="EN3" s="228"/>
      <c r="EO3" s="228"/>
      <c r="EP3" s="228"/>
      <c r="EQ3" s="228"/>
      <c r="ER3" s="228"/>
      <c r="ES3" s="228"/>
      <c r="ET3" s="228"/>
      <c r="EU3" s="228"/>
      <c r="EV3" s="228"/>
      <c r="EW3" s="228"/>
      <c r="EX3" s="228"/>
      <c r="EY3" s="228"/>
      <c r="EZ3" s="228"/>
      <c r="FA3" s="228"/>
      <c r="FB3" s="228"/>
      <c r="FC3" s="228"/>
      <c r="FD3" s="228"/>
      <c r="FE3" s="228"/>
      <c r="FF3" s="228"/>
      <c r="FG3" s="228"/>
      <c r="FH3" s="228"/>
      <c r="FI3" s="228"/>
      <c r="FJ3" s="228"/>
      <c r="FK3" s="228"/>
      <c r="FL3" s="228"/>
      <c r="FM3" s="228"/>
      <c r="FN3" s="228"/>
      <c r="FO3" s="228"/>
      <c r="FP3" s="228"/>
      <c r="FQ3" s="228"/>
      <c r="FR3" s="228"/>
      <c r="FS3" s="228"/>
      <c r="FT3" s="228"/>
      <c r="FU3" s="228"/>
      <c r="FV3" s="228"/>
      <c r="FW3" s="228"/>
      <c r="FX3" s="228"/>
      <c r="FY3" s="228"/>
      <c r="FZ3" s="228"/>
      <c r="GA3" s="228"/>
      <c r="GB3" s="228"/>
      <c r="GC3" s="228"/>
      <c r="GD3" s="228"/>
      <c r="GE3" s="228"/>
      <c r="GF3" s="228"/>
      <c r="GG3" s="228"/>
      <c r="GH3" s="228"/>
      <c r="GI3" s="228"/>
      <c r="GJ3" s="228"/>
      <c r="GK3" s="228"/>
      <c r="GL3" s="228"/>
      <c r="GM3" s="228"/>
      <c r="GN3" s="228"/>
      <c r="GO3" s="228"/>
      <c r="GP3" s="228"/>
      <c r="GQ3" s="228"/>
      <c r="GR3" s="228"/>
      <c r="GS3" s="228"/>
      <c r="GT3" s="228"/>
      <c r="GU3" s="228"/>
      <c r="GV3" s="228"/>
      <c r="GW3" s="228"/>
      <c r="GX3" s="228"/>
      <c r="GY3" s="228"/>
      <c r="GZ3" s="228"/>
      <c r="HA3" s="228"/>
      <c r="HB3" s="228"/>
      <c r="HC3" s="228"/>
      <c r="HD3" s="228"/>
      <c r="HE3" s="228"/>
      <c r="HF3" s="228"/>
      <c r="HG3" s="228"/>
      <c r="HH3" s="228"/>
      <c r="HI3" s="228"/>
      <c r="HJ3" s="228"/>
      <c r="HK3" s="228"/>
      <c r="HL3" s="228"/>
      <c r="HM3" s="228"/>
      <c r="HN3" s="228"/>
      <c r="HO3" s="228"/>
      <c r="HP3" s="228"/>
      <c r="HQ3" s="228"/>
      <c r="HR3" s="228"/>
      <c r="HS3" s="228"/>
      <c r="HT3" s="228"/>
      <c r="HU3" s="228"/>
      <c r="HV3" s="228"/>
      <c r="HW3" s="228"/>
      <c r="HX3" s="228"/>
      <c r="HY3" s="228"/>
      <c r="HZ3" s="228"/>
      <c r="IA3" s="228"/>
      <c r="IB3" s="228"/>
      <c r="IC3" s="228"/>
      <c r="ID3" s="228"/>
      <c r="IE3" s="228"/>
      <c r="IF3" s="228"/>
      <c r="IG3" s="228"/>
      <c r="IH3" s="228"/>
      <c r="II3" s="228"/>
      <c r="IJ3" s="228"/>
      <c r="IK3" s="228"/>
      <c r="IL3" s="228"/>
      <c r="IM3" s="228"/>
      <c r="IN3" s="228"/>
      <c r="IO3" s="228"/>
      <c r="IP3" s="228"/>
      <c r="IQ3" s="228"/>
      <c r="IR3" s="228"/>
      <c r="IS3" s="228"/>
      <c r="IT3" s="228"/>
      <c r="IU3" s="228"/>
      <c r="IV3" s="228"/>
      <c r="IW3" s="512">
        <v>0</v>
      </c>
    </row>
    <row s="1820" customFormat="1" customHeight="1" ht="14.699999999999998">
      <c r="A4" s="1156"/>
      <c r="B4" s="1161"/>
      <c r="C4" s="1156"/>
      <c r="D4" s="1496"/>
      <c r="E4" s="510"/>
      <c r="F4" s="510"/>
      <c r="G4" s="510"/>
      <c r="H4" s="510"/>
      <c r="I4" s="510"/>
      <c r="J4" s="510"/>
      <c r="K4" s="510"/>
      <c r="L4" s="167"/>
      <c r="M4" s="248"/>
      <c r="N4" s="501"/>
      <c r="O4" s="501"/>
      <c r="P4" s="501"/>
      <c r="Q4" s="227"/>
      <c r="R4" s="501"/>
      <c r="S4" s="226"/>
      <c r="T4" s="226"/>
      <c r="U4" s="226"/>
      <c r="V4" s="226"/>
      <c r="IW4" s="508">
        <v>14</v>
      </c>
    </row>
    <row s="1820" customFormat="1" customHeight="1" ht="27.299999999999997">
      <c r="A5" s="1156"/>
      <c r="B5" s="1161"/>
      <c r="C5" s="1156"/>
      <c r="D5" s="1496"/>
      <c r="E5" s="2101" t="str">
        <f>"Форма "&amp;IF(TEMPLATE_SPHERE="HEAT","4","3")&amp;". Информация о рассмотрении дел об установлении "&amp;IF(TEMPLATE_SPHERE="TKO","предельных тарифов","тарифов в сфере "&amp;TEMPLATE_SPHERE_RUS)</f>
        <v>Форма 4. Информация о рассмотрении дел об установлении тарифов в сфере теплоснабжения</v>
      </c>
      <c r="F5" s="2101"/>
      <c r="G5" s="2101"/>
      <c r="H5" s="2101"/>
      <c r="I5" s="2101"/>
      <c r="J5" s="2101"/>
      <c r="K5" s="2101"/>
      <c r="L5" s="589"/>
      <c r="M5" s="248"/>
      <c r="N5" s="501"/>
      <c r="O5" s="501"/>
      <c r="P5" s="501"/>
      <c r="Q5" s="227"/>
      <c r="R5" s="501"/>
      <c r="S5" s="226"/>
      <c r="T5" s="226"/>
      <c r="U5" s="226"/>
      <c r="V5" s="226"/>
      <c r="IW5" s="508">
        <v>26</v>
      </c>
    </row>
    <row s="1820" customFormat="1" customHeight="1" ht="14.699999999999998">
      <c r="A6" s="1156"/>
      <c r="B6" s="1161"/>
      <c r="C6" s="1156"/>
      <c r="D6" s="1496"/>
      <c r="E6" s="510"/>
      <c r="F6" s="168"/>
      <c r="G6" s="168"/>
      <c r="H6" s="168"/>
      <c r="I6" s="168"/>
      <c r="J6" s="168"/>
      <c r="K6" s="168"/>
      <c r="L6" s="169"/>
      <c r="M6" s="501"/>
      <c r="N6" s="501"/>
      <c r="O6" s="501"/>
      <c r="P6" s="501"/>
      <c r="Q6" s="227"/>
      <c r="R6" s="501"/>
      <c r="S6" s="226"/>
      <c r="T6" s="226"/>
      <c r="U6" s="226"/>
      <c r="V6" s="226"/>
      <c r="IW6" s="508">
        <v>14</v>
      </c>
    </row>
    <row s="1820" customFormat="1" customHeight="1" ht="14.699999999999998">
      <c r="A7" s="1156"/>
      <c r="B7" s="1161"/>
      <c r="C7" s="1156"/>
      <c r="D7" s="1496"/>
      <c r="E7" s="2102" t="s">
        <v>430</v>
      </c>
      <c r="F7" s="2103"/>
      <c r="G7" s="2103"/>
      <c r="H7" s="2103"/>
      <c r="I7" s="2103"/>
      <c r="J7" s="2103"/>
      <c r="K7" s="2103"/>
      <c r="L7" s="2475" t="s">
        <v>431</v>
      </c>
      <c r="M7" s="501"/>
      <c r="N7" s="501"/>
      <c r="O7" s="501"/>
      <c r="P7" s="501"/>
      <c r="Q7" s="227"/>
      <c r="R7" s="501"/>
      <c r="S7" s="226"/>
      <c r="T7" s="226"/>
      <c r="U7" s="226"/>
      <c r="V7" s="226"/>
      <c r="IW7" s="508">
        <v>14</v>
      </c>
    </row>
    <row s="1820" customFormat="1" customHeight="1" ht="67.2">
      <c r="A8" s="1156"/>
      <c r="B8" s="1161"/>
      <c r="C8" s="1156"/>
      <c r="D8" s="1496"/>
      <c r="E8" s="2479" t="s">
        <v>92</v>
      </c>
      <c r="F8" s="2479" t="str">
        <f>"Наименование "&amp;IF(TEMPLATE_SPHERE="TKO","регионального органа регулирования (органа местного самоуправления)","органа "&amp;IF(TEMPLATE_SPHERE="HEAT","тарифного регулирования","регулирования тарифов"))</f>
        <v>Наименование органа тарифного регулирования</v>
      </c>
      <c r="G8" s="2481" t="str">
        <f>"Заседание правления (коллегии) "&amp;IF(TEMPLATE_SPHERE="TKO","регионального органа регулирования (органа местного самоуправления)","органа "&amp;IF(TEMPLATE_SPHERE="HEAT","тарифного регулирования","регулирования тарифов"))&amp;", на котором планируется рассмотрение дел об установлении "&amp;IF(TEMPLATE_SPHERE="TKO","предельных тарифов",IF(TEMPLATE_SPHERE="HEAT","цен (тарифов) в сфере теплоснабжения","тарифов в сфере водоснабжения и водоотведения"))</f>
        <v>Заседание правления (коллегии) органа тарифного регулирования, на котором планируется рассмотрение дел об установлении цен (тарифов) в сфере теплоснабжения</v>
      </c>
      <c r="H8" s="2482"/>
      <c r="I8" s="2483"/>
      <c r="J8" s="2479" t="str">
        <f>"Принятые "&amp;IF(TEMPLATE_SPHERE="TKO","региональным органом регулирования (органом местного самоуправления)","органом "&amp;IF(TEMPLATE_SPHERE="HEAT","тарифного регулирования","регулирования тарифов"))&amp;" решения об установлении "&amp;IF(TEMPLATE_SPHERE="TKO","предельных тарифов",IF(TEMPLATE_SPHERE="HEAT","цен (тарифов) в сфере теплоснабжения, а также решения об утверждении предельного уровня цены на тепловую энергию (мощность), принимаемые в соответствии с Федеральным законом от 27 июля 2010 г. N 190-ФЗ ""О теплоснабжении""","тарифов в сфере водоснабжения и водоотведения"))</f>
        <v>Принятые органом тарифного регулирования решения об установлении цен (тарифов) в сфере теплоснабжения, а также решения об утверждении предельного уровня цены на тепловую энергию (мощность), принимаемые в соответствии с Федеральным законом от 27 июля 2010 г. N 190-ФЗ "О теплоснабжении"</v>
      </c>
      <c r="K8" s="2479" t="str">
        <f>"Протокол заседания правления (коллегии) "&amp;IF(TEMPLATE_SPHERE="TKO","регионального органа регулирования (органа местного самоуправления)","органа "&amp;IF(TEMPLATE_SPHERE="HEAT","тарифного регулирования","регулирования тарифов"))&amp;", оформленный в соответствии "&amp;IF(TEMPLATE_SPHERE="HEAT","с законодательством Российской Федерации",IF(TEMPLATE_SPHERE="TKO","с требованиями, установленными Правилами регулирования тарифов в сфере обращения с твердыми коммунальными отходами, утвержденными постановлением Правительства Российской Федерации от 30 мая 2016 г. N 484","с требованиями, установленными Правилами регулирования тарифов в сфере водоснабжения и водоотведения, утвержденными постановлением Правительства Российской Федерации от 13 мая 2013 г. № 406"))</f>
        <v>Протокол заседания правления (коллегии) органа тарифного регулирования, оформленный в соответствии с законодательством Российской Федерации</v>
      </c>
      <c r="L8" s="2477"/>
      <c r="M8" s="501"/>
      <c r="N8" s="501"/>
      <c r="O8" s="501"/>
      <c r="P8" s="501"/>
      <c r="Q8" s="227"/>
      <c r="R8" s="501"/>
      <c r="S8" s="226"/>
      <c r="T8" s="226"/>
      <c r="U8" s="226"/>
      <c r="V8" s="226"/>
      <c r="IW8" s="508">
        <v>64</v>
      </c>
    </row>
    <row s="1820" customFormat="1" customHeight="1" ht="29.25">
      <c r="A9" s="1156"/>
      <c r="B9" s="1161"/>
      <c r="C9" s="1156"/>
      <c r="D9" s="1496"/>
      <c r="E9" s="2480"/>
      <c r="F9" s="2480"/>
      <c r="G9" s="1538" t="s">
        <v>2006</v>
      </c>
      <c r="H9" s="1538" t="s">
        <v>2007</v>
      </c>
      <c r="I9" s="1538" t="s">
        <v>2008</v>
      </c>
      <c r="J9" s="2480"/>
      <c r="K9" s="2480"/>
      <c r="L9" s="2476"/>
      <c r="M9" s="501"/>
      <c r="N9" s="501"/>
      <c r="O9" s="501"/>
      <c r="P9" s="501"/>
      <c r="Q9" s="227"/>
      <c r="R9" s="501"/>
      <c r="S9" s="226"/>
      <c r="T9" s="226"/>
      <c r="U9" s="226"/>
      <c r="V9" s="226"/>
      <c r="IW9" s="508">
        <v>28</v>
      </c>
    </row>
    <row s="1851" customFormat="1" customHeight="1" ht="23.25">
      <c r="A10" s="2100"/>
      <c r="B10" s="1161">
        <v>1</v>
      </c>
      <c r="C10" s="1161"/>
      <c r="D10" s="801"/>
      <c r="E10" s="799">
        <v>1</v>
      </c>
      <c r="F10" s="1540" t="str">
        <f>IF(ROIV_INFO_NAME="","",ROIV_INFO_NAME)</f>
        <v>ПАО "ТГК-1" (филиал "Кольский")</v>
      </c>
      <c r="G10" s="1733" t="s">
        <v>28</v>
      </c>
      <c r="H10" s="1917"/>
      <c r="I10" s="1535"/>
      <c r="J10" s="819"/>
      <c r="K10" s="819"/>
      <c r="L10" s="2433" t="str">
        <f>"В поле «"&amp;F8&amp;"»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образован."&amp;"
В поле «дата» указывается дата в виде «ДД.ММ.ГГГГ».
В поле «место» указывается адрес места проведения заседания (коллегии).
В полях «"&amp;MID(J8,1,40)&amp;"… » и «"&amp;MID(K8,1,40)&amp;"…» указываются ссылка на документ, предварительно загруженный в хранилище файлов ФГИС ЕИАС."</f>
        <v>В поле «Наименование органа тарифного регулирования»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тарифного регулирования… » и «Протокол заседания правления (коллегии) …» указываются ссылка на документ, предварительно загруженный в хранилище файлов ФГИС ЕИАС.</v>
      </c>
      <c r="M10" s="1536">
        <f>MERGEVALUE(F10)</f>
      </c>
      <c r="N10" s="512"/>
      <c r="O10" s="512"/>
      <c r="P10" s="501" t="str">
        <f t="array" ref="P10:P10">IF(ISERROR(MATCH(MID(Q10,1,250),MID(note_ter,1,250),0)),"n","y")</f>
        <v>n</v>
      </c>
      <c r="Q10" s="512"/>
      <c r="R10" s="501" t="str">
        <f>G10&amp;"("&amp;L10&amp;")"</f>
        <v>(В поле «Наименование органа тарифного регулирования»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тарифного регулирования… » и «Протокол заседания правления (коллегии) …» указываются ссылка на документ, предварительно загруженный в хранилище файлов ФГИС ЕИАС.)</v>
      </c>
      <c r="S10" s="1161"/>
      <c r="T10" s="1161"/>
      <c r="U10" s="421"/>
      <c r="V10" s="1161"/>
      <c r="W10" s="1161"/>
      <c r="X10" s="1161"/>
      <c r="Y10" s="423"/>
      <c r="Z10" s="423"/>
      <c r="AA10" s="420"/>
      <c r="AB10" s="420"/>
      <c r="AC10" s="420"/>
      <c r="AD10" s="420"/>
      <c r="AE10" s="420"/>
      <c r="AF10" s="420"/>
      <c r="AG10" s="420"/>
      <c r="AH10" s="420"/>
      <c r="AI10" s="420"/>
      <c r="AJ10" s="420"/>
      <c r="AK10" s="420"/>
      <c r="AL10" s="420"/>
      <c r="AM10" s="420"/>
      <c r="AN10" s="420"/>
      <c r="AO10" s="420"/>
      <c r="AP10" s="420"/>
      <c r="AQ10" s="420"/>
      <c r="AR10" s="420"/>
      <c r="AS10" s="420"/>
      <c r="AT10" s="420"/>
      <c r="AU10" s="420"/>
      <c r="AV10" s="420"/>
      <c r="AW10" s="420"/>
      <c r="AX10" s="420"/>
      <c r="AY10" s="420"/>
      <c r="AZ10" s="420"/>
      <c r="BA10" s="420"/>
      <c r="BB10" s="420"/>
      <c r="BC10" s="420"/>
      <c r="BD10" s="420"/>
      <c r="BE10" s="420"/>
      <c r="BF10" s="420"/>
      <c r="BG10" s="420"/>
      <c r="BH10" s="420"/>
      <c r="BI10" s="420"/>
      <c r="BJ10" s="420"/>
      <c r="BK10" s="420"/>
      <c r="BL10" s="420"/>
      <c r="BM10" s="420"/>
      <c r="BN10" s="420"/>
      <c r="BO10" s="420"/>
      <c r="BP10" s="420"/>
      <c r="BQ10" s="420"/>
      <c r="BR10" s="420"/>
      <c r="BS10" s="420"/>
      <c r="BT10" s="420"/>
      <c r="BU10" s="420"/>
      <c r="BV10" s="423"/>
      <c r="BW10" s="423"/>
      <c r="BX10" s="423"/>
      <c r="BY10" s="423"/>
      <c r="BZ10" s="423"/>
      <c r="CA10" s="423"/>
      <c r="CB10" s="423"/>
      <c r="CC10" s="423"/>
      <c r="CD10" s="423"/>
      <c r="CE10" s="423"/>
      <c r="IW10" s="424">
        <v>22</v>
      </c>
    </row>
    <row s="1851" customFormat="1" customHeight="1" ht="15.75">
      <c r="A11" s="2100"/>
      <c r="B11" s="1161"/>
      <c r="C11" s="413"/>
      <c r="D11" s="802"/>
      <c r="E11" s="422"/>
      <c r="F11" s="417" t="s">
        <v>2009</v>
      </c>
      <c r="G11" s="188"/>
      <c r="H11" s="188"/>
      <c r="I11" s="188"/>
      <c r="J11" s="188"/>
      <c r="K11" s="425"/>
      <c r="L11" s="2478"/>
      <c r="M11" s="1537"/>
      <c r="N11" s="512"/>
      <c r="O11" s="512"/>
      <c r="P11" s="512"/>
      <c r="Q11" s="501"/>
      <c r="R11" s="512"/>
      <c r="S11" s="1161"/>
      <c r="T11" s="1161"/>
      <c r="U11" s="421"/>
      <c r="V11" s="1161"/>
      <c r="W11" s="1161"/>
      <c r="X11" s="1161"/>
      <c r="Y11" s="423"/>
      <c r="Z11" s="423"/>
      <c r="AA11" s="420"/>
      <c r="AB11" s="420"/>
      <c r="AC11" s="420"/>
      <c r="AD11" s="420"/>
      <c r="AE11" s="420"/>
      <c r="AF11" s="420"/>
      <c r="AG11" s="420"/>
      <c r="AH11" s="420"/>
      <c r="AI11" s="420"/>
      <c r="AJ11" s="420"/>
      <c r="AK11" s="420"/>
      <c r="AL11" s="420"/>
      <c r="AM11" s="420"/>
      <c r="AN11" s="420"/>
      <c r="AO11" s="420"/>
      <c r="AP11" s="420"/>
      <c r="AQ11" s="420"/>
      <c r="AR11" s="420"/>
      <c r="AS11" s="420"/>
      <c r="AT11" s="420"/>
      <c r="AU11" s="420"/>
      <c r="AV11" s="420"/>
      <c r="AW11" s="420"/>
      <c r="AX11" s="420"/>
      <c r="AY11" s="420"/>
      <c r="AZ11" s="420"/>
      <c r="BA11" s="420"/>
      <c r="BB11" s="420"/>
      <c r="BC11" s="420"/>
      <c r="BD11" s="420"/>
      <c r="BE11" s="420"/>
      <c r="BF11" s="420"/>
      <c r="BG11" s="420"/>
      <c r="BH11" s="420"/>
      <c r="BI11" s="420"/>
      <c r="BJ11" s="420"/>
      <c r="BK11" s="420"/>
      <c r="BL11" s="420"/>
      <c r="BM11" s="420"/>
      <c r="BN11" s="420"/>
      <c r="BO11" s="420"/>
      <c r="BP11" s="420"/>
      <c r="BQ11" s="420"/>
      <c r="BR11" s="420"/>
      <c r="BS11" s="420"/>
      <c r="BT11" s="420"/>
      <c r="BU11" s="420"/>
      <c r="BV11" s="423"/>
      <c r="BW11" s="423"/>
      <c r="BX11" s="423"/>
      <c r="BY11" s="423"/>
      <c r="BZ11" s="423"/>
      <c r="CA11" s="423"/>
      <c r="CB11" s="423"/>
      <c r="CC11" s="423"/>
      <c r="CD11" s="423"/>
      <c r="CE11" s="423"/>
      <c r="IW11" s="424">
        <v>15</v>
      </c>
    </row>
    <row s="1820" customFormat="1" customHeight="1" ht="22.049999999999997">
      <c r="A12" s="1156"/>
      <c r="B12" s="1161"/>
      <c r="C12" s="1156"/>
      <c r="D12" s="452"/>
      <c r="E12" s="181"/>
      <c r="F12" s="181"/>
      <c r="G12" s="181"/>
      <c r="H12" s="181"/>
      <c r="I12" s="181"/>
      <c r="J12" s="181"/>
      <c r="K12" s="181"/>
      <c r="L12" s="181"/>
      <c r="M12" s="501"/>
      <c r="N12" s="501"/>
      <c r="O12" s="501"/>
      <c r="P12" s="501"/>
      <c r="Q12" s="227"/>
      <c r="R12" s="501"/>
      <c r="S12" s="226"/>
      <c r="T12" s="226"/>
      <c r="U12" s="226"/>
      <c r="V12" s="226"/>
      <c r="IW12" s="508">
        <v>21</v>
      </c>
    </row>
    <row s="1820" customFormat="1" customHeight="1" ht="14.699999999999998">
      <c r="A13" s="1156"/>
      <c r="B13" s="1161"/>
      <c r="C13" s="1156"/>
      <c r="D13" s="452"/>
      <c r="E13" s="1156"/>
      <c r="F13" s="1156"/>
      <c r="G13" s="1156"/>
      <c r="H13" s="1156"/>
      <c r="I13" s="1156"/>
      <c r="J13" s="1156"/>
      <c r="K13" s="1156"/>
      <c r="L13" s="1156"/>
      <c r="M13" s="501"/>
      <c r="N13" s="501"/>
      <c r="O13" s="501"/>
      <c r="P13" s="501"/>
      <c r="Q13" s="227"/>
      <c r="R13" s="501"/>
      <c r="S13" s="226"/>
      <c r="T13" s="226"/>
      <c r="U13" s="226"/>
      <c r="V13" s="226"/>
      <c r="IW13" s="508">
        <v>14</v>
      </c>
    </row>
    <row s="1820" customFormat="1" customHeight="1" ht="1.05">
      <c r="A14" s="1156"/>
      <c r="B14" s="1161"/>
      <c r="C14" s="1156"/>
      <c r="D14" s="452"/>
      <c r="E14" s="1156"/>
      <c r="F14" s="1156"/>
      <c r="G14" s="1156"/>
      <c r="H14" s="1156"/>
      <c r="I14" s="1156"/>
      <c r="J14" s="1156"/>
      <c r="K14" s="1156"/>
      <c r="L14" s="1156"/>
      <c r="M14" s="501"/>
      <c r="N14" s="501"/>
      <c r="O14" s="501"/>
      <c r="P14" s="501"/>
      <c r="Q14" s="227"/>
      <c r="R14" s="501"/>
      <c r="S14" s="226"/>
      <c r="T14" s="226"/>
      <c r="U14" s="226"/>
      <c r="V14" s="226"/>
      <c r="IW14" s="508">
        <v>1</v>
      </c>
    </row>
    <row customHeight="1" ht="22.5" hidden="1">
      <c r="A15" s="1156" t="s">
        <v>86</v>
      </c>
      <c r="B15" s="1161">
        <v>0</v>
      </c>
      <c r="C15" s="1156">
        <v>0</v>
      </c>
      <c r="D15" s="452">
        <v>3</v>
      </c>
      <c r="E15" s="1156">
        <v>6</v>
      </c>
      <c r="F15" s="1156">
        <v>27</v>
      </c>
      <c r="G15" s="1156">
        <v>16</v>
      </c>
      <c r="H15" s="1156">
        <v>12</v>
      </c>
      <c r="I15" s="1156">
        <v>32</v>
      </c>
      <c r="J15" s="1156">
        <v>41</v>
      </c>
      <c r="K15" s="1156">
        <v>41</v>
      </c>
      <c r="L15" s="1156">
        <v>89</v>
      </c>
      <c r="M15" s="501">
        <v>3</v>
      </c>
      <c r="N15" s="501">
        <v>8</v>
      </c>
      <c r="O15" s="501">
        <v>8</v>
      </c>
      <c r="P15" s="501">
        <v>8</v>
      </c>
      <c r="Q15" s="227">
        <v>25</v>
      </c>
      <c r="R15" s="501">
        <v>14</v>
      </c>
      <c r="S15" s="226">
        <v>8</v>
      </c>
      <c r="T15" s="226">
        <v>8</v>
      </c>
      <c r="U15" s="226">
        <v>8</v>
      </c>
      <c r="V15" s="226">
        <v>8</v>
      </c>
      <c r="W15" s="1156">
        <v>8</v>
      </c>
      <c r="X15" s="1156">
        <v>8</v>
      </c>
      <c r="Y15" s="1156">
        <v>8</v>
      </c>
      <c r="Z15" s="1156">
        <v>8</v>
      </c>
      <c r="AA15" s="1156">
        <v>8</v>
      </c>
      <c r="AB15" s="1156">
        <v>8</v>
      </c>
      <c r="AC15" s="1156">
        <v>8</v>
      </c>
      <c r="AD15" s="1156">
        <v>8</v>
      </c>
      <c r="AE15" s="1156">
        <v>8</v>
      </c>
      <c r="AF15" s="1156">
        <v>8</v>
      </c>
      <c r="AG15" s="1156">
        <v>8</v>
      </c>
      <c r="AH15" s="1156">
        <v>8</v>
      </c>
      <c r="AI15" s="1156">
        <v>8</v>
      </c>
      <c r="AJ15" s="1156">
        <v>8</v>
      </c>
      <c r="AK15" s="1156">
        <v>8</v>
      </c>
      <c r="AL15" s="1156">
        <v>8</v>
      </c>
      <c r="AM15" s="1156">
        <v>8</v>
      </c>
      <c r="AN15" s="1156">
        <v>8</v>
      </c>
      <c r="AO15" s="1156">
        <v>8</v>
      </c>
      <c r="AP15" s="1156">
        <v>8</v>
      </c>
      <c r="AQ15" s="1156">
        <v>8</v>
      </c>
      <c r="AR15" s="1156">
        <v>8</v>
      </c>
      <c r="AS15" s="1156">
        <v>8</v>
      </c>
      <c r="AT15" s="1156">
        <v>8</v>
      </c>
      <c r="AU15" s="1156">
        <v>8</v>
      </c>
      <c r="AV15" s="1156">
        <v>8</v>
      </c>
      <c r="AW15" s="1156">
        <v>8</v>
      </c>
      <c r="AX15" s="1156">
        <v>8</v>
      </c>
      <c r="AY15" s="1156">
        <v>8</v>
      </c>
      <c r="AZ15" s="1156">
        <v>8</v>
      </c>
      <c r="BA15" s="1156">
        <v>8</v>
      </c>
      <c r="BB15" s="1156">
        <v>8</v>
      </c>
      <c r="BC15" s="1156">
        <v>8</v>
      </c>
      <c r="BD15" s="1156">
        <v>8</v>
      </c>
      <c r="BE15" s="1156">
        <v>8</v>
      </c>
      <c r="BF15" s="1156">
        <v>8</v>
      </c>
      <c r="BG15" s="1156">
        <v>8</v>
      </c>
      <c r="BH15" s="1156">
        <v>8</v>
      </c>
      <c r="BI15" s="1156">
        <v>8</v>
      </c>
      <c r="BJ15" s="1156">
        <v>8</v>
      </c>
      <c r="BK15" s="1156">
        <v>8</v>
      </c>
      <c r="BL15" s="1156">
        <v>8</v>
      </c>
      <c r="BM15" s="1156">
        <v>8</v>
      </c>
      <c r="BN15" s="1156">
        <v>8</v>
      </c>
      <c r="BO15" s="1156">
        <v>8</v>
      </c>
      <c r="BP15" s="1156">
        <v>8</v>
      </c>
      <c r="BQ15" s="1156">
        <v>8</v>
      </c>
      <c r="BR15" s="1156">
        <v>8</v>
      </c>
      <c r="BS15" s="1156">
        <v>8</v>
      </c>
      <c r="BT15" s="1156">
        <v>8</v>
      </c>
      <c r="BU15" s="1156">
        <v>8</v>
      </c>
      <c r="BV15" s="1156">
        <v>8</v>
      </c>
      <c r="BW15" s="1156">
        <v>8</v>
      </c>
      <c r="BX15" s="1156">
        <v>8</v>
      </c>
      <c r="BY15" s="1156">
        <v>8</v>
      </c>
      <c r="BZ15" s="1156">
        <v>8</v>
      </c>
      <c r="CA15" s="1156">
        <v>8</v>
      </c>
      <c r="CB15" s="1156">
        <v>8</v>
      </c>
      <c r="CC15" s="1156">
        <v>8</v>
      </c>
      <c r="CD15" s="1156">
        <v>8</v>
      </c>
      <c r="CE15" s="1156">
        <v>8</v>
      </c>
      <c r="CF15" s="1156">
        <v>8</v>
      </c>
      <c r="CG15" s="1156">
        <v>8</v>
      </c>
      <c r="CH15" s="1156">
        <v>8</v>
      </c>
      <c r="CI15" s="1156">
        <v>8</v>
      </c>
      <c r="CJ15" s="1156">
        <v>8</v>
      </c>
      <c r="CK15" s="1156">
        <v>8</v>
      </c>
      <c r="CL15" s="1156">
        <v>8</v>
      </c>
      <c r="CM15" s="1156">
        <v>8</v>
      </c>
      <c r="CN15" s="1156">
        <v>8</v>
      </c>
      <c r="CO15" s="1156">
        <v>8</v>
      </c>
      <c r="CP15" s="1156">
        <v>8</v>
      </c>
      <c r="CQ15" s="1156">
        <v>8</v>
      </c>
      <c r="CR15" s="1156">
        <v>8</v>
      </c>
      <c r="CS15" s="1156">
        <v>8</v>
      </c>
      <c r="CT15" s="1156">
        <v>8</v>
      </c>
      <c r="CU15" s="1156">
        <v>8</v>
      </c>
      <c r="CV15" s="1156">
        <v>8</v>
      </c>
      <c r="CW15" s="1156">
        <v>8</v>
      </c>
      <c r="CX15" s="1156">
        <v>8</v>
      </c>
      <c r="CY15" s="1156">
        <v>8</v>
      </c>
      <c r="CZ15" s="1156">
        <v>8</v>
      </c>
      <c r="DA15" s="1156">
        <v>8</v>
      </c>
      <c r="DB15" s="1156">
        <v>8</v>
      </c>
      <c r="DC15" s="1156">
        <v>8</v>
      </c>
      <c r="DD15" s="1156">
        <v>8</v>
      </c>
      <c r="DE15" s="1156">
        <v>8</v>
      </c>
      <c r="DF15" s="1156">
        <v>8</v>
      </c>
      <c r="DG15" s="1156">
        <v>8</v>
      </c>
      <c r="DH15" s="1156">
        <v>8</v>
      </c>
      <c r="DI15" s="1156">
        <v>8</v>
      </c>
      <c r="DJ15" s="1156">
        <v>8</v>
      </c>
      <c r="DK15" s="1156">
        <v>8</v>
      </c>
      <c r="DL15" s="1156">
        <v>8</v>
      </c>
      <c r="DM15" s="1156">
        <v>8</v>
      </c>
      <c r="DN15" s="1156">
        <v>8</v>
      </c>
      <c r="DO15" s="1156">
        <v>8</v>
      </c>
      <c r="DP15" s="1156">
        <v>8</v>
      </c>
      <c r="DQ15" s="1156">
        <v>8</v>
      </c>
      <c r="DR15" s="1156">
        <v>8</v>
      </c>
      <c r="DS15" s="1156">
        <v>8</v>
      </c>
      <c r="DT15" s="1156">
        <v>8</v>
      </c>
      <c r="DU15" s="1156">
        <v>8</v>
      </c>
      <c r="DV15" s="1156">
        <v>8</v>
      </c>
      <c r="DW15" s="1156">
        <v>8</v>
      </c>
      <c r="DX15" s="1156">
        <v>8</v>
      </c>
      <c r="DY15" s="1156">
        <v>8</v>
      </c>
      <c r="DZ15" s="1156">
        <v>8</v>
      </c>
      <c r="EA15" s="1156">
        <v>8</v>
      </c>
      <c r="EB15" s="1156">
        <v>8</v>
      </c>
      <c r="EC15" s="1156">
        <v>8</v>
      </c>
      <c r="ED15" s="1156">
        <v>8</v>
      </c>
      <c r="EE15" s="1156">
        <v>8</v>
      </c>
      <c r="EF15" s="1156">
        <v>8</v>
      </c>
      <c r="EG15" s="1156">
        <v>8</v>
      </c>
      <c r="EH15" s="1156">
        <v>8</v>
      </c>
      <c r="EI15" s="1156">
        <v>8</v>
      </c>
      <c r="EJ15" s="1156">
        <v>8</v>
      </c>
      <c r="EK15" s="1156">
        <v>8</v>
      </c>
      <c r="EL15" s="1156">
        <v>8</v>
      </c>
      <c r="EM15" s="1156">
        <v>8</v>
      </c>
      <c r="EN15" s="1156">
        <v>8</v>
      </c>
      <c r="EO15" s="1156">
        <v>8</v>
      </c>
      <c r="EP15" s="1156">
        <v>8</v>
      </c>
      <c r="EQ15" s="1156">
        <v>8</v>
      </c>
      <c r="ER15" s="1156">
        <v>8</v>
      </c>
      <c r="ES15" s="1156">
        <v>8</v>
      </c>
      <c r="ET15" s="1156">
        <v>8</v>
      </c>
      <c r="EU15" s="1156">
        <v>8</v>
      </c>
      <c r="EV15" s="1156">
        <v>8</v>
      </c>
      <c r="EW15" s="1156">
        <v>8</v>
      </c>
      <c r="EX15" s="1156">
        <v>8</v>
      </c>
      <c r="EY15" s="1156">
        <v>8</v>
      </c>
      <c r="EZ15" s="1156">
        <v>8</v>
      </c>
      <c r="FA15" s="1156">
        <v>8</v>
      </c>
      <c r="FB15" s="1156">
        <v>8</v>
      </c>
      <c r="FC15" s="1156">
        <v>8</v>
      </c>
      <c r="FD15" s="1156">
        <v>8</v>
      </c>
      <c r="FE15" s="1156">
        <v>8</v>
      </c>
      <c r="FF15" s="1156">
        <v>8</v>
      </c>
      <c r="FG15" s="1156">
        <v>8</v>
      </c>
      <c r="FH15" s="1156">
        <v>8</v>
      </c>
      <c r="FI15" s="1156">
        <v>8</v>
      </c>
      <c r="FJ15" s="1156">
        <v>8</v>
      </c>
      <c r="FK15" s="1156">
        <v>8</v>
      </c>
      <c r="FL15" s="1156">
        <v>8</v>
      </c>
      <c r="FM15" s="1156">
        <v>8</v>
      </c>
      <c r="FN15" s="1156">
        <v>8</v>
      </c>
      <c r="FO15" s="1156">
        <v>8</v>
      </c>
      <c r="FP15" s="1156">
        <v>8</v>
      </c>
      <c r="FQ15" s="1156">
        <v>8</v>
      </c>
      <c r="FR15" s="1156">
        <v>8</v>
      </c>
      <c r="FS15" s="1156">
        <v>8</v>
      </c>
      <c r="FT15" s="1156">
        <v>8</v>
      </c>
      <c r="FU15" s="1156">
        <v>8</v>
      </c>
      <c r="FV15" s="1156">
        <v>8</v>
      </c>
      <c r="FW15" s="1156">
        <v>8</v>
      </c>
      <c r="FX15" s="1156">
        <v>8</v>
      </c>
      <c r="FY15" s="1156">
        <v>8</v>
      </c>
      <c r="FZ15" s="1156">
        <v>8</v>
      </c>
      <c r="GA15" s="1156">
        <v>8</v>
      </c>
      <c r="GB15" s="1156">
        <v>8</v>
      </c>
      <c r="GC15" s="1156">
        <v>8</v>
      </c>
      <c r="GD15" s="1156">
        <v>8</v>
      </c>
      <c r="GE15" s="1156">
        <v>8</v>
      </c>
      <c r="GF15" s="1156">
        <v>8</v>
      </c>
      <c r="GG15" s="1156">
        <v>8</v>
      </c>
      <c r="GH15" s="1156">
        <v>8</v>
      </c>
      <c r="GI15" s="1156">
        <v>8</v>
      </c>
      <c r="GJ15" s="1156">
        <v>8</v>
      </c>
      <c r="GK15" s="1156">
        <v>8</v>
      </c>
      <c r="GL15" s="1156">
        <v>8</v>
      </c>
      <c r="GM15" s="1156">
        <v>8</v>
      </c>
      <c r="GN15" s="1156">
        <v>8</v>
      </c>
      <c r="GO15" s="1156">
        <v>8</v>
      </c>
      <c r="GP15" s="1156">
        <v>8</v>
      </c>
      <c r="GQ15" s="1156">
        <v>8</v>
      </c>
      <c r="GR15" s="1156">
        <v>8</v>
      </c>
      <c r="GS15" s="1156">
        <v>8</v>
      </c>
      <c r="GT15" s="1156">
        <v>8</v>
      </c>
      <c r="GU15" s="1156">
        <v>8</v>
      </c>
      <c r="GV15" s="1156">
        <v>8</v>
      </c>
      <c r="GW15" s="1156">
        <v>8</v>
      </c>
      <c r="GX15" s="1156">
        <v>8</v>
      </c>
      <c r="GY15" s="1156">
        <v>8</v>
      </c>
      <c r="GZ15" s="1156">
        <v>8</v>
      </c>
      <c r="HA15" s="1156">
        <v>8</v>
      </c>
      <c r="HB15" s="1156">
        <v>8</v>
      </c>
      <c r="HC15" s="1156">
        <v>8</v>
      </c>
      <c r="HD15" s="1156">
        <v>8</v>
      </c>
      <c r="HE15" s="1156">
        <v>8</v>
      </c>
      <c r="HF15" s="1156">
        <v>8</v>
      </c>
      <c r="HG15" s="1156">
        <v>8</v>
      </c>
      <c r="HH15" s="1156">
        <v>8</v>
      </c>
      <c r="HI15" s="1156">
        <v>8</v>
      </c>
      <c r="HJ15" s="1156">
        <v>8</v>
      </c>
      <c r="HK15" s="1156">
        <v>8</v>
      </c>
      <c r="HL15" s="1156">
        <v>8</v>
      </c>
      <c r="HM15" s="1156">
        <v>8</v>
      </c>
      <c r="HN15" s="1156">
        <v>8</v>
      </c>
      <c r="HO15" s="1156">
        <v>8</v>
      </c>
      <c r="HP15" s="1156">
        <v>8</v>
      </c>
      <c r="HQ15" s="1156">
        <v>8</v>
      </c>
      <c r="HR15" s="1156">
        <v>8</v>
      </c>
      <c r="HS15" s="1156">
        <v>8</v>
      </c>
      <c r="HT15" s="1156">
        <v>8</v>
      </c>
      <c r="HU15" s="1156">
        <v>8</v>
      </c>
      <c r="HV15" s="1156">
        <v>8</v>
      </c>
      <c r="HW15" s="1156">
        <v>8</v>
      </c>
      <c r="HX15" s="1156">
        <v>8</v>
      </c>
      <c r="HY15" s="1156">
        <v>8</v>
      </c>
      <c r="HZ15" s="1156">
        <v>8</v>
      </c>
      <c r="IA15" s="1156">
        <v>8</v>
      </c>
      <c r="IB15" s="1156">
        <v>8</v>
      </c>
      <c r="IC15" s="1156">
        <v>8</v>
      </c>
      <c r="ID15" s="1156">
        <v>8</v>
      </c>
      <c r="IE15" s="1156">
        <v>8</v>
      </c>
      <c r="IF15" s="1156">
        <v>8</v>
      </c>
      <c r="IG15" s="1156">
        <v>8</v>
      </c>
      <c r="IH15" s="1156">
        <v>8</v>
      </c>
      <c r="II15" s="1156">
        <v>8</v>
      </c>
      <c r="IJ15" s="1156">
        <v>8</v>
      </c>
      <c r="IK15" s="1156">
        <v>8</v>
      </c>
      <c r="IL15" s="1156">
        <v>8</v>
      </c>
      <c r="IM15" s="1156">
        <v>8</v>
      </c>
      <c r="IN15" s="1156">
        <v>8</v>
      </c>
      <c r="IO15" s="1156">
        <v>8</v>
      </c>
      <c r="IP15" s="1156">
        <v>8</v>
      </c>
      <c r="IQ15" s="1156">
        <v>8</v>
      </c>
      <c r="IR15" s="1156">
        <v>8</v>
      </c>
      <c r="IS15" s="1156">
        <v>8</v>
      </c>
      <c r="IT15" s="1156">
        <v>8</v>
      </c>
      <c r="IU15" s="1156">
        <v>8</v>
      </c>
      <c r="IV15" s="1156">
        <v>8</v>
      </c>
      <c r="IW15" s="1156">
        <v>23</v>
      </c>
    </row>
  </sheetData>
  <sheetProtection formatColumns="0" formatRows="0" autoFilter="0" sort="0" insertRows="0" insertColumns="1" deleteRows="0" deleteColumns="0"/>
  <mergeCells count="10">
    <mergeCell ref="L7:L9"/>
    <mergeCell ref="E7:K7"/>
    <mergeCell ref="A10:A11"/>
    <mergeCell ref="L10:L11"/>
    <mergeCell ref="E5:K5"/>
    <mergeCell ref="F8:F9"/>
    <mergeCell ref="E8:E9"/>
    <mergeCell ref="G8:I8"/>
    <mergeCell ref="J8:J9"/>
    <mergeCell ref="K8:K9"/>
  </mergeCells>
  <dataValidations count="5">
    <dataValidation type="textLength" operator="lessThanOrEqual" allowBlank="1" showInputMessage="1" showErrorMessage="1" sqref="I10 I2">
      <formula1>990</formula1>
    </dataValidation>
    <dataValidation type="time" allowBlank="1" showInputMessage="1" showErrorMessage="1" prompt="Укажите время в формате ЧЧ:ММ" sqref="H10 H2">
      <formula1>0</formula1>
      <formula2>0.9993055555555556</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J10:K10 J2:K3">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2:G3 G10"/>
    <dataValidation type="textLength" allowBlank="1" showInputMessage="1" showErrorMessage="1" sqref="H3:I3">
      <formula1>13</formula1>
      <formula2>15</formula2>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5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4FF93B8-E5AD-A228-3D78-4C8C7A402BB7}" mc:Ignorable="x14ac xr xr2 xr3">
  <dimension ref="A1:IW15"/>
  <sheetViews>
    <sheetView showGridLines="0" zoomScale="90" workbookViewId="0">
      <pane xSplit="6" ySplit="9" topLeftCell="G10" activePane="bottomRight" state="frozen"/>
      <selection pane="bottomLeft" activeCell="A10" sqref="A10"/>
      <selection pane="topRight" activeCell="G1" sqref="G1"/>
      <selection pane="bottomRight" activeCell="A1" sqref="A1"/>
    </sheetView>
  </sheetViews>
  <sheetFormatPr defaultColWidth="9.140625" customHeight="1" defaultRowHeight="14.25"/>
  <cols>
    <col min="1" max="1" style="1636" width="9.140625" hidden="1"/>
    <col min="2" max="2" style="1367" width="9.140625" hidden="1"/>
    <col min="3" max="3" style="1636" width="3.7109375" hidden="1" customWidth="1"/>
    <col min="4" max="4" style="1843" width="3.00390625" customWidth="1"/>
    <col min="5" max="5" style="1636" width="6.00390625" customWidth="1"/>
    <col min="6" max="6" style="1636" width="27.00390625" customWidth="1"/>
    <col min="7" max="7" style="1636" width="16.00390625" customWidth="1"/>
    <col min="8" max="8" style="1636" width="12.00390625" customWidth="1"/>
    <col min="9" max="9" style="1636" width="32.00390625" customWidth="1"/>
    <col min="10" max="11" style="1636" width="41.00390625" customWidth="1"/>
    <col min="12" max="12" style="1636" width="89.00390625" customWidth="1"/>
    <col min="13" max="13" style="1625" width="3.00390625" customWidth="1"/>
    <col min="14" max="16" style="1625" width="8.00390625" customWidth="1"/>
    <col min="17" max="17" style="1625" width="25.00390625" customWidth="1"/>
    <col min="18" max="18" style="1625" width="14.00390625" customWidth="1"/>
    <col min="19" max="22" style="226" width="8.00390625" customWidth="1"/>
    <col min="23" max="256" style="1636" width="8.00390625" customWidth="1"/>
    <col min="257" max="257" style="1636" width="9.140625" hidden="1"/>
  </cols>
  <sheetData>
    <row customHeight="1" ht="22.5" hidden="1">
      <c r="IW1" s="1632" t="s">
        <v>14</v>
      </c>
    </row>
    <row s="1851" customFormat="1" customHeight="1" ht="22.5" hidden="1">
      <c r="A2" s="832"/>
      <c r="B2" s="1367">
        <v>1</v>
      </c>
      <c r="C2" s="1367"/>
      <c r="D2" s="1929" t="s">
        <v>108</v>
      </c>
      <c r="E2" s="1905"/>
      <c r="F2" s="1907" t="str">
        <f>IF(ROIV_INFO_NAME="","",ROIV_INFO_NAME)</f>
        <v>ПАО "ТГК-1" (филиал "Кольский")</v>
      </c>
      <c r="G2" s="1733" t="s">
        <v>28</v>
      </c>
      <c r="H2" s="1917"/>
      <c r="I2" s="1539"/>
      <c r="J2" s="819"/>
      <c r="K2" s="819"/>
      <c r="L2" s="229"/>
      <c r="M2" s="1536">
        <f>MERGEVALUE(F2)</f>
      </c>
      <c r="N2" s="1637"/>
      <c r="O2" s="1637"/>
      <c r="P2" s="1625" t="str">
        <f t="array" ref="P2:P2">IF(ISERROR(MATCH(MID(Q2,1,250),MID(note_ter,1,250),0)),"n","y")</f>
        <v>n</v>
      </c>
      <c r="Q2" s="1637"/>
      <c r="R2" s="1625" t="str">
        <f>G2&amp;"("&amp;L2&amp;")"</f>
        <v>()</v>
      </c>
      <c r="S2" s="1367"/>
      <c r="T2" s="1367"/>
      <c r="U2" s="421"/>
      <c r="V2" s="1367"/>
      <c r="W2" s="1367"/>
      <c r="X2" s="1367"/>
      <c r="Y2" s="834"/>
      <c r="Z2" s="834"/>
      <c r="AA2" s="628"/>
      <c r="AB2" s="628"/>
      <c r="AC2" s="628"/>
      <c r="AD2" s="628"/>
      <c r="AE2" s="628"/>
      <c r="AF2" s="628"/>
      <c r="AG2" s="628"/>
      <c r="AH2" s="628"/>
      <c r="AI2" s="628"/>
      <c r="AJ2" s="628"/>
      <c r="AK2" s="628"/>
      <c r="AL2" s="628"/>
      <c r="AM2" s="628"/>
      <c r="AN2" s="628"/>
      <c r="AO2" s="628"/>
      <c r="AP2" s="628"/>
      <c r="AQ2" s="628"/>
      <c r="AR2" s="628"/>
      <c r="AS2" s="628"/>
      <c r="AT2" s="628"/>
      <c r="AU2" s="628"/>
      <c r="AV2" s="628"/>
      <c r="AW2" s="628"/>
      <c r="AX2" s="628"/>
      <c r="AY2" s="628"/>
      <c r="AZ2" s="628"/>
      <c r="BA2" s="628"/>
      <c r="BB2" s="628"/>
      <c r="BC2" s="628"/>
      <c r="BD2" s="628"/>
      <c r="BE2" s="628"/>
      <c r="BF2" s="628"/>
      <c r="BG2" s="628"/>
      <c r="BH2" s="628"/>
      <c r="BI2" s="628"/>
      <c r="BJ2" s="628"/>
      <c r="BK2" s="628"/>
      <c r="BL2" s="628"/>
      <c r="BM2" s="628"/>
      <c r="BN2" s="628"/>
      <c r="BO2" s="628"/>
      <c r="BP2" s="628"/>
      <c r="BQ2" s="628"/>
      <c r="BR2" s="628"/>
      <c r="BS2" s="628"/>
      <c r="BT2" s="628"/>
      <c r="BU2" s="628"/>
      <c r="BV2" s="834"/>
      <c r="BW2" s="834"/>
      <c r="BX2" s="834"/>
      <c r="BY2" s="834"/>
      <c r="BZ2" s="834"/>
      <c r="CA2" s="834"/>
      <c r="CB2" s="834"/>
      <c r="CC2" s="834"/>
      <c r="CD2" s="834"/>
      <c r="CE2" s="834"/>
      <c r="IW2" s="625">
        <v>0</v>
      </c>
    </row>
    <row s="1643" customFormat="1" customHeight="1" ht="5.25" hidden="1">
      <c r="A3" s="1642"/>
      <c r="D3" s="1894"/>
      <c r="F3" s="249" t="s">
        <v>87</v>
      </c>
      <c r="G3" s="1736" t="s">
        <v>88</v>
      </c>
      <c r="H3" s="1894"/>
      <c r="I3" s="1894"/>
      <c r="J3" s="1894"/>
      <c r="K3" s="1894"/>
      <c r="L3" s="228" t="s">
        <v>89</v>
      </c>
      <c r="M3" s="249" t="s">
        <v>87</v>
      </c>
      <c r="N3" s="249"/>
      <c r="O3" s="249"/>
      <c r="P3" s="249"/>
      <c r="Q3" s="249"/>
      <c r="R3" s="249"/>
      <c r="S3" s="249"/>
      <c r="T3" s="249"/>
      <c r="U3" s="249"/>
      <c r="V3" s="249"/>
      <c r="W3" s="228"/>
      <c r="X3" s="228"/>
      <c r="Y3" s="228"/>
      <c r="Z3" s="228"/>
      <c r="AA3" s="228"/>
      <c r="AB3" s="228"/>
      <c r="AC3" s="228"/>
      <c r="AD3" s="228"/>
      <c r="AE3" s="228"/>
      <c r="AF3" s="228"/>
      <c r="AG3" s="228"/>
      <c r="AH3" s="228"/>
      <c r="AI3" s="228"/>
      <c r="AJ3" s="228"/>
      <c r="AK3" s="228"/>
      <c r="AL3" s="228"/>
      <c r="AM3" s="228"/>
      <c r="AN3" s="228"/>
      <c r="AO3" s="228"/>
      <c r="AP3" s="228"/>
      <c r="AQ3" s="228"/>
      <c r="AR3" s="228"/>
      <c r="AS3" s="228"/>
      <c r="AT3" s="228"/>
      <c r="AU3" s="228"/>
      <c r="AV3" s="228"/>
      <c r="AW3" s="228"/>
      <c r="AX3" s="228"/>
      <c r="AY3" s="228"/>
      <c r="AZ3" s="228"/>
      <c r="BA3" s="228"/>
      <c r="BB3" s="228"/>
      <c r="BC3" s="228"/>
      <c r="BD3" s="228"/>
      <c r="BE3" s="228"/>
      <c r="BF3" s="228"/>
      <c r="BG3" s="228"/>
      <c r="BH3" s="228"/>
      <c r="BI3" s="228"/>
      <c r="BJ3" s="228"/>
      <c r="BK3" s="228"/>
      <c r="BL3" s="228"/>
      <c r="BM3" s="228"/>
      <c r="BN3" s="228"/>
      <c r="BO3" s="228"/>
      <c r="BP3" s="228"/>
      <c r="BQ3" s="228"/>
      <c r="BR3" s="228"/>
      <c r="BS3" s="228"/>
      <c r="BT3" s="228"/>
      <c r="BU3" s="228"/>
      <c r="BV3" s="228"/>
      <c r="BW3" s="228"/>
      <c r="BX3" s="228"/>
      <c r="BY3" s="228"/>
      <c r="BZ3" s="228"/>
      <c r="CA3" s="228"/>
      <c r="CB3" s="228"/>
      <c r="CC3" s="228"/>
      <c r="CD3" s="228"/>
      <c r="CE3" s="228"/>
      <c r="CF3" s="228"/>
      <c r="CG3" s="228"/>
      <c r="CH3" s="228"/>
      <c r="CI3" s="228"/>
      <c r="CJ3" s="228"/>
      <c r="CK3" s="228"/>
      <c r="CL3" s="228"/>
      <c r="CM3" s="228"/>
      <c r="CN3" s="228"/>
      <c r="CO3" s="228"/>
      <c r="CP3" s="228"/>
      <c r="CQ3" s="228"/>
      <c r="CR3" s="228"/>
      <c r="CS3" s="228"/>
      <c r="CT3" s="228"/>
      <c r="CU3" s="228"/>
      <c r="CV3" s="228"/>
      <c r="CW3" s="228"/>
      <c r="CX3" s="228"/>
      <c r="CY3" s="228"/>
      <c r="CZ3" s="228"/>
      <c r="DA3" s="228"/>
      <c r="DB3" s="228"/>
      <c r="DC3" s="228"/>
      <c r="DD3" s="228"/>
      <c r="DE3" s="228"/>
      <c r="DF3" s="228"/>
      <c r="DG3" s="228"/>
      <c r="DH3" s="228"/>
      <c r="DI3" s="228"/>
      <c r="DJ3" s="228"/>
      <c r="DK3" s="228"/>
      <c r="DL3" s="228"/>
      <c r="DM3" s="228"/>
      <c r="DN3" s="228"/>
      <c r="DO3" s="228"/>
      <c r="DP3" s="228"/>
      <c r="DQ3" s="228"/>
      <c r="DR3" s="228"/>
      <c r="DS3" s="228"/>
      <c r="DT3" s="228"/>
      <c r="DU3" s="228"/>
      <c r="DV3" s="228"/>
      <c r="DW3" s="228"/>
      <c r="DX3" s="228"/>
      <c r="DY3" s="228"/>
      <c r="DZ3" s="228"/>
      <c r="EA3" s="228"/>
      <c r="EB3" s="228"/>
      <c r="EC3" s="228"/>
      <c r="ED3" s="228"/>
      <c r="EE3" s="228"/>
      <c r="EF3" s="228"/>
      <c r="EG3" s="228"/>
      <c r="EH3" s="228"/>
      <c r="EI3" s="228"/>
      <c r="EJ3" s="228"/>
      <c r="EK3" s="228"/>
      <c r="EL3" s="228"/>
      <c r="EM3" s="228"/>
      <c r="EN3" s="228"/>
      <c r="EO3" s="228"/>
      <c r="EP3" s="228"/>
      <c r="EQ3" s="228"/>
      <c r="ER3" s="228"/>
      <c r="ES3" s="228"/>
      <c r="ET3" s="228"/>
      <c r="EU3" s="228"/>
      <c r="EV3" s="228"/>
      <c r="EW3" s="228"/>
      <c r="EX3" s="228"/>
      <c r="EY3" s="228"/>
      <c r="EZ3" s="228"/>
      <c r="FA3" s="228"/>
      <c r="FB3" s="228"/>
      <c r="FC3" s="228"/>
      <c r="FD3" s="228"/>
      <c r="FE3" s="228"/>
      <c r="FF3" s="228"/>
      <c r="FG3" s="228"/>
      <c r="FH3" s="228"/>
      <c r="FI3" s="228"/>
      <c r="FJ3" s="228"/>
      <c r="FK3" s="228"/>
      <c r="FL3" s="228"/>
      <c r="FM3" s="228"/>
      <c r="FN3" s="228"/>
      <c r="FO3" s="228"/>
      <c r="FP3" s="228"/>
      <c r="FQ3" s="228"/>
      <c r="FR3" s="228"/>
      <c r="FS3" s="228"/>
      <c r="FT3" s="228"/>
      <c r="FU3" s="228"/>
      <c r="FV3" s="228"/>
      <c r="FW3" s="228"/>
      <c r="FX3" s="228"/>
      <c r="FY3" s="228"/>
      <c r="FZ3" s="228"/>
      <c r="GA3" s="228"/>
      <c r="GB3" s="228"/>
      <c r="GC3" s="228"/>
      <c r="GD3" s="228"/>
      <c r="GE3" s="228"/>
      <c r="GF3" s="228"/>
      <c r="GG3" s="228"/>
      <c r="GH3" s="228"/>
      <c r="GI3" s="228"/>
      <c r="GJ3" s="228"/>
      <c r="GK3" s="228"/>
      <c r="GL3" s="228"/>
      <c r="GM3" s="228"/>
      <c r="GN3" s="228"/>
      <c r="GO3" s="228"/>
      <c r="GP3" s="228"/>
      <c r="GQ3" s="228"/>
      <c r="GR3" s="228"/>
      <c r="GS3" s="228"/>
      <c r="GT3" s="228"/>
      <c r="GU3" s="228"/>
      <c r="GV3" s="228"/>
      <c r="GW3" s="228"/>
      <c r="GX3" s="228"/>
      <c r="GY3" s="228"/>
      <c r="GZ3" s="228"/>
      <c r="HA3" s="228"/>
      <c r="HB3" s="228"/>
      <c r="HC3" s="228"/>
      <c r="HD3" s="228"/>
      <c r="HE3" s="228"/>
      <c r="HF3" s="228"/>
      <c r="HG3" s="228"/>
      <c r="HH3" s="228"/>
      <c r="HI3" s="228"/>
      <c r="HJ3" s="228"/>
      <c r="HK3" s="228"/>
      <c r="HL3" s="228"/>
      <c r="HM3" s="228"/>
      <c r="HN3" s="228"/>
      <c r="HO3" s="228"/>
      <c r="HP3" s="228"/>
      <c r="HQ3" s="228"/>
      <c r="HR3" s="228"/>
      <c r="HS3" s="228"/>
      <c r="HT3" s="228"/>
      <c r="HU3" s="228"/>
      <c r="HV3" s="228"/>
      <c r="HW3" s="228"/>
      <c r="HX3" s="228"/>
      <c r="HY3" s="228"/>
      <c r="HZ3" s="228"/>
      <c r="IA3" s="228"/>
      <c r="IB3" s="228"/>
      <c r="IC3" s="228"/>
      <c r="ID3" s="228"/>
      <c r="IE3" s="228"/>
      <c r="IF3" s="228"/>
      <c r="IG3" s="228"/>
      <c r="IH3" s="228"/>
      <c r="II3" s="228"/>
      <c r="IJ3" s="228"/>
      <c r="IK3" s="228"/>
      <c r="IL3" s="228"/>
      <c r="IM3" s="228"/>
      <c r="IN3" s="228"/>
      <c r="IO3" s="228"/>
      <c r="IP3" s="228"/>
      <c r="IQ3" s="228"/>
      <c r="IR3" s="228"/>
      <c r="IS3" s="228"/>
      <c r="IT3" s="228"/>
      <c r="IU3" s="228"/>
      <c r="IV3" s="228"/>
      <c r="IW3" s="1637">
        <v>0</v>
      </c>
    </row>
    <row s="1820" customFormat="1" customHeight="1" ht="14.699999999999998">
      <c r="A4" s="1632"/>
      <c r="B4" s="1367"/>
      <c r="C4" s="1632"/>
      <c r="D4" s="1516"/>
      <c r="E4" s="1636"/>
      <c r="F4" s="1636"/>
      <c r="G4" s="1636"/>
      <c r="H4" s="1636"/>
      <c r="I4" s="1636"/>
      <c r="J4" s="1636"/>
      <c r="K4" s="1636"/>
      <c r="L4" s="1896"/>
      <c r="M4" s="249"/>
      <c r="N4" s="1625"/>
      <c r="O4" s="1625"/>
      <c r="P4" s="1625"/>
      <c r="Q4" s="1625"/>
      <c r="R4" s="1625"/>
      <c r="S4" s="226"/>
      <c r="T4" s="226"/>
      <c r="U4" s="226"/>
      <c r="V4" s="226"/>
      <c r="IW4" s="1610">
        <v>14</v>
      </c>
    </row>
    <row s="1820" customFormat="1" customHeight="1" ht="27.299999999999997">
      <c r="A5" s="1632"/>
      <c r="B5" s="1367"/>
      <c r="C5" s="1632"/>
      <c r="D5" s="1516"/>
      <c r="E5" s="2101" t="str">
        <f>"Форма "&amp;IF(TEMPLATE_SPHERE="HEAT","4","3")&amp;". Информация о рассмотрении дел об установлении "&amp;IF(TEMPLATE_SPHERE="TKO","предельных тарифов","тарифов в сфере "&amp;TEMPLATE_SPHERE_RUS)</f>
        <v>Форма 4. Информация о рассмотрении дел об установлении тарифов в сфере теплоснабжения</v>
      </c>
      <c r="F5" s="2101"/>
      <c r="G5" s="2101"/>
      <c r="H5" s="2101"/>
      <c r="I5" s="2101"/>
      <c r="J5" s="2101"/>
      <c r="K5" s="2101"/>
      <c r="L5" s="1636"/>
      <c r="M5" s="249"/>
      <c r="N5" s="1625"/>
      <c r="O5" s="1625"/>
      <c r="P5" s="1625"/>
      <c r="Q5" s="1625"/>
      <c r="R5" s="1625"/>
      <c r="S5" s="226"/>
      <c r="T5" s="226"/>
      <c r="U5" s="226"/>
      <c r="V5" s="226"/>
      <c r="IW5" s="1610">
        <v>26</v>
      </c>
    </row>
    <row s="1820" customFormat="1" customHeight="1" ht="14.699999999999998">
      <c r="A6" s="1632"/>
      <c r="B6" s="1367"/>
      <c r="C6" s="1632"/>
      <c r="D6" s="1516"/>
      <c r="E6" s="1636"/>
      <c r="F6" s="617"/>
      <c r="G6" s="617"/>
      <c r="H6" s="617"/>
      <c r="I6" s="617"/>
      <c r="J6" s="617"/>
      <c r="K6" s="617"/>
      <c r="L6" s="1253"/>
      <c r="M6" s="1625"/>
      <c r="N6" s="1625"/>
      <c r="O6" s="1625"/>
      <c r="P6" s="1625"/>
      <c r="Q6" s="1625"/>
      <c r="R6" s="1625"/>
      <c r="S6" s="226"/>
      <c r="T6" s="226"/>
      <c r="U6" s="226"/>
      <c r="V6" s="226"/>
      <c r="IW6" s="1610">
        <v>14</v>
      </c>
    </row>
    <row s="1820" customFormat="1" customHeight="1" ht="14.699999999999998">
      <c r="A7" s="1632"/>
      <c r="B7" s="1367"/>
      <c r="C7" s="1632"/>
      <c r="D7" s="1516"/>
      <c r="E7" s="2102" t="s">
        <v>430</v>
      </c>
      <c r="F7" s="2103"/>
      <c r="G7" s="2103"/>
      <c r="H7" s="2103"/>
      <c r="I7" s="2103"/>
      <c r="J7" s="2103"/>
      <c r="K7" s="2103"/>
      <c r="L7" s="2475" t="s">
        <v>431</v>
      </c>
      <c r="M7" s="1625"/>
      <c r="N7" s="1625"/>
      <c r="O7" s="1625"/>
      <c r="P7" s="1625"/>
      <c r="Q7" s="1625"/>
      <c r="R7" s="1625"/>
      <c r="S7" s="226"/>
      <c r="T7" s="226"/>
      <c r="U7" s="226"/>
      <c r="V7" s="226"/>
      <c r="IW7" s="1610">
        <v>14</v>
      </c>
    </row>
    <row s="1820" customFormat="1" customHeight="1" ht="67.2">
      <c r="A8" s="1632"/>
      <c r="B8" s="1367"/>
      <c r="C8" s="1632"/>
      <c r="D8" s="1516"/>
      <c r="E8" s="2479" t="s">
        <v>92</v>
      </c>
      <c r="F8" s="2479" t="s">
        <v>2010</v>
      </c>
      <c r="G8" s="2481" t="s">
        <v>2011</v>
      </c>
      <c r="H8" s="2482"/>
      <c r="I8" s="2483"/>
      <c r="J8" s="2479" t="s">
        <v>2012</v>
      </c>
      <c r="K8" s="2479" t="str">
        <f>"Протокол заседания правления (коллегии) "&amp;IF(TEMPLATE_SPHERE="TKO","регионального органа регулирования (органа местного самоуправления)","органа "&amp;IF(TEMPLATE_SPHERE="HEAT","тарифного регулирования","регулирования тарифов"))&amp;", оформленный в соответствии "&amp;IF(TEMPLATE_SPHERE="HEAT","с законодательством Российской Федерации",IF(TEMPLATE_SPHERE="TKO","с требованиями, установленными Правилами регулирования тарифов в сфере обращения с твердыми коммунальными отходами, утвержденными постановлением Правительства Российской Федерации от 30 мая 2016 г. N 484","с требованиями, установленными Правилами регулирования тарифов в сфере водоснабжения и водоотведения, утвержденными постановлением Правительства Российской Федерации от 13 мая 2013 г. № 406"))</f>
        <v>Протокол заседания правления (коллегии) органа тарифного регулирования, оформленный в соответствии с законодательством Российской Федерации</v>
      </c>
      <c r="L8" s="2477"/>
      <c r="M8" s="1625"/>
      <c r="N8" s="1625"/>
      <c r="O8" s="1625"/>
      <c r="P8" s="1625"/>
      <c r="Q8" s="1625"/>
      <c r="R8" s="1625"/>
      <c r="S8" s="226"/>
      <c r="T8" s="226"/>
      <c r="U8" s="226"/>
      <c r="V8" s="226"/>
      <c r="IW8" s="1610">
        <v>64</v>
      </c>
    </row>
    <row s="1820" customFormat="1" customHeight="1" ht="29.25">
      <c r="A9" s="1632"/>
      <c r="B9" s="1367"/>
      <c r="C9" s="1632"/>
      <c r="D9" s="1516"/>
      <c r="E9" s="2480"/>
      <c r="F9" s="2480"/>
      <c r="G9" s="1895" t="s">
        <v>2006</v>
      </c>
      <c r="H9" s="1895" t="s">
        <v>2007</v>
      </c>
      <c r="I9" s="1895" t="s">
        <v>2008</v>
      </c>
      <c r="J9" s="2480"/>
      <c r="K9" s="2480"/>
      <c r="L9" s="2476"/>
      <c r="M9" s="1625"/>
      <c r="N9" s="1625"/>
      <c r="O9" s="1625"/>
      <c r="P9" s="1625"/>
      <c r="Q9" s="1625"/>
      <c r="R9" s="1625"/>
      <c r="S9" s="226"/>
      <c r="T9" s="226"/>
      <c r="U9" s="226"/>
      <c r="V9" s="226"/>
      <c r="IW9" s="1610">
        <v>28</v>
      </c>
    </row>
    <row s="1851" customFormat="1" customHeight="1" ht="1.05">
      <c r="A10" s="2100"/>
      <c r="B10" s="1367">
        <v>1</v>
      </c>
      <c r="C10" s="1367"/>
      <c r="D10" s="801"/>
      <c r="E10" s="796">
        <v>0</v>
      </c>
      <c r="F10" s="1892" t="str">
        <f>IF(ROIV_INFO_NAME="","",ROIV_INFO_NAME)</f>
        <v>ПАО "ТГК-1" (филиал "Кольский")</v>
      </c>
      <c r="G10" s="1734" t="s">
        <v>28</v>
      </c>
      <c r="H10" s="1904"/>
      <c r="I10" s="1904"/>
      <c r="J10" s="520"/>
      <c r="K10" s="520"/>
      <c r="L10" s="2433" t="str">
        <f>"В поле «"&amp;F8&amp;"»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образован."&amp;"
В поле «дата» указывается дата в виде «ДД.ММ.ГГГГ».
В поле «место» указывается адрес места проведения заседания (коллегии).
В полях «"&amp;MID(J8,1,40)&amp;"… » и «"&amp;MID(K8,1,40)&amp;"…» указываются ссылка на документ, предварительно загруженный в хранилище файлов ФГИС ЕИАС."</f>
        <v>В поле «Наименование органа тарифного регулирования»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тарифного регулирования… » и «Протокол заседания правления (коллегии) …» указываются ссылка на документ, предварительно загруженный в хранилище файлов ФГИС ЕИАС.</v>
      </c>
      <c r="M10" s="1536">
        <f>MERGEVALUE(F10)</f>
      </c>
      <c r="N10" s="1637"/>
      <c r="O10" s="1637"/>
      <c r="P10" s="1625" t="str">
        <f t="array" ref="P10:P10">IF(ISERROR(MATCH(MID(Q10,1,250),MID(note_ter,1,250),0)),"n","y")</f>
        <v>n</v>
      </c>
      <c r="Q10" s="1637"/>
      <c r="R10" s="1625" t="str">
        <f>G10&amp;"("&amp;L10&amp;")"</f>
        <v>(В поле «Наименование органа тарифного регулирования»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тарифного регулирования… » и «Протокол заседания правления (коллегии) …» указываются ссылка на документ, предварительно загруженный в хранилище файлов ФГИС ЕИАС.)</v>
      </c>
      <c r="S10" s="1367"/>
      <c r="T10" s="1367"/>
      <c r="U10" s="421"/>
      <c r="V10" s="1367"/>
      <c r="W10" s="1367"/>
      <c r="X10" s="1367"/>
      <c r="Y10" s="834"/>
      <c r="Z10" s="834"/>
      <c r="AA10" s="628"/>
      <c r="AB10" s="628"/>
      <c r="AC10" s="628"/>
      <c r="AD10" s="628"/>
      <c r="AE10" s="628"/>
      <c r="AF10" s="628"/>
      <c r="AG10" s="628"/>
      <c r="AH10" s="628"/>
      <c r="AI10" s="628"/>
      <c r="AJ10" s="628"/>
      <c r="AK10" s="628"/>
      <c r="AL10" s="628"/>
      <c r="AM10" s="628"/>
      <c r="AN10" s="628"/>
      <c r="AO10" s="628"/>
      <c r="AP10" s="628"/>
      <c r="AQ10" s="628"/>
      <c r="AR10" s="628"/>
      <c r="AS10" s="628"/>
      <c r="AT10" s="628"/>
      <c r="AU10" s="628"/>
      <c r="AV10" s="628"/>
      <c r="AW10" s="628"/>
      <c r="AX10" s="628"/>
      <c r="AY10" s="628"/>
      <c r="AZ10" s="628"/>
      <c r="BA10" s="628"/>
      <c r="BB10" s="628"/>
      <c r="BC10" s="628"/>
      <c r="BD10" s="628"/>
      <c r="BE10" s="628"/>
      <c r="BF10" s="628"/>
      <c r="BG10" s="628"/>
      <c r="BH10" s="628"/>
      <c r="BI10" s="628"/>
      <c r="BJ10" s="628"/>
      <c r="BK10" s="628"/>
      <c r="BL10" s="628"/>
      <c r="BM10" s="628"/>
      <c r="BN10" s="628"/>
      <c r="BO10" s="628"/>
      <c r="BP10" s="628"/>
      <c r="BQ10" s="628"/>
      <c r="BR10" s="628"/>
      <c r="BS10" s="628"/>
      <c r="BT10" s="628"/>
      <c r="BU10" s="628"/>
      <c r="BV10" s="834"/>
      <c r="BW10" s="834"/>
      <c r="BX10" s="834"/>
      <c r="BY10" s="834"/>
      <c r="BZ10" s="834"/>
      <c r="CA10" s="834"/>
      <c r="CB10" s="834"/>
      <c r="CC10" s="834"/>
      <c r="CD10" s="834"/>
      <c r="CE10" s="834"/>
      <c r="IW10" s="625">
        <v>1</v>
      </c>
    </row>
    <row s="1851" customFormat="1" customHeight="1" ht="15.75">
      <c r="A11" s="2100"/>
      <c r="B11" s="1367"/>
      <c r="C11" s="413"/>
      <c r="D11" s="802"/>
      <c r="E11" s="422"/>
      <c r="F11" s="652" t="s">
        <v>2009</v>
      </c>
      <c r="G11" s="188"/>
      <c r="H11" s="188"/>
      <c r="I11" s="188"/>
      <c r="J11" s="188"/>
      <c r="K11" s="425"/>
      <c r="L11" s="2478"/>
      <c r="M11" s="1537"/>
      <c r="N11" s="1637"/>
      <c r="O11" s="1637"/>
      <c r="P11" s="1637"/>
      <c r="Q11" s="1625"/>
      <c r="R11" s="1637"/>
      <c r="S11" s="1367"/>
      <c r="T11" s="1367"/>
      <c r="U11" s="421"/>
      <c r="V11" s="1367"/>
      <c r="W11" s="1367"/>
      <c r="X11" s="1367"/>
      <c r="Y11" s="834"/>
      <c r="Z11" s="834"/>
      <c r="AA11" s="628"/>
      <c r="AB11" s="628"/>
      <c r="AC11" s="628"/>
      <c r="AD11" s="628"/>
      <c r="AE11" s="628"/>
      <c r="AF11" s="628"/>
      <c r="AG11" s="628"/>
      <c r="AH11" s="628"/>
      <c r="AI11" s="628"/>
      <c r="AJ11" s="628"/>
      <c r="AK11" s="628"/>
      <c r="AL11" s="628"/>
      <c r="AM11" s="628"/>
      <c r="AN11" s="628"/>
      <c r="AO11" s="628"/>
      <c r="AP11" s="628"/>
      <c r="AQ11" s="628"/>
      <c r="AR11" s="628"/>
      <c r="AS11" s="628"/>
      <c r="AT11" s="628"/>
      <c r="AU11" s="628"/>
      <c r="AV11" s="628"/>
      <c r="AW11" s="628"/>
      <c r="AX11" s="628"/>
      <c r="AY11" s="628"/>
      <c r="AZ11" s="628"/>
      <c r="BA11" s="628"/>
      <c r="BB11" s="628"/>
      <c r="BC11" s="628"/>
      <c r="BD11" s="628"/>
      <c r="BE11" s="628"/>
      <c r="BF11" s="628"/>
      <c r="BG11" s="628"/>
      <c r="BH11" s="628"/>
      <c r="BI11" s="628"/>
      <c r="BJ11" s="628"/>
      <c r="BK11" s="628"/>
      <c r="BL11" s="628"/>
      <c r="BM11" s="628"/>
      <c r="BN11" s="628"/>
      <c r="BO11" s="628"/>
      <c r="BP11" s="628"/>
      <c r="BQ11" s="628"/>
      <c r="BR11" s="628"/>
      <c r="BS11" s="628"/>
      <c r="BT11" s="628"/>
      <c r="BU11" s="628"/>
      <c r="BV11" s="834"/>
      <c r="BW11" s="834"/>
      <c r="BX11" s="834"/>
      <c r="BY11" s="834"/>
      <c r="BZ11" s="834"/>
      <c r="CA11" s="834"/>
      <c r="CB11" s="834"/>
      <c r="CC11" s="834"/>
      <c r="CD11" s="834"/>
      <c r="CE11" s="834"/>
      <c r="IW11" s="625">
        <v>15</v>
      </c>
    </row>
    <row s="1820" customFormat="1" customHeight="1" ht="22.049999999999997">
      <c r="A12" s="1632"/>
      <c r="B12" s="1367"/>
      <c r="C12" s="1632"/>
      <c r="D12" s="1634"/>
      <c r="E12" s="181"/>
      <c r="F12" s="181"/>
      <c r="G12" s="181"/>
      <c r="H12" s="181"/>
      <c r="I12" s="181"/>
      <c r="J12" s="181"/>
      <c r="K12" s="181"/>
      <c r="L12" s="181"/>
      <c r="M12" s="1625"/>
      <c r="N12" s="1625"/>
      <c r="O12" s="1625"/>
      <c r="P12" s="1625"/>
      <c r="Q12" s="1625"/>
      <c r="R12" s="1625"/>
      <c r="S12" s="226"/>
      <c r="T12" s="226"/>
      <c r="U12" s="226"/>
      <c r="V12" s="226"/>
      <c r="IW12" s="1610">
        <v>21</v>
      </c>
    </row>
    <row s="1820" customFormat="1" customHeight="1" ht="14.699999999999998">
      <c r="A13" s="1632"/>
      <c r="B13" s="1367"/>
      <c r="C13" s="1632"/>
      <c r="D13" s="1634"/>
      <c r="E13" s="1632"/>
      <c r="F13" s="1632"/>
      <c r="G13" s="1632"/>
      <c r="H13" s="1632"/>
      <c r="I13" s="1632"/>
      <c r="J13" s="1632"/>
      <c r="K13" s="1632"/>
      <c r="L13" s="1632"/>
      <c r="M13" s="1625"/>
      <c r="N13" s="1625"/>
      <c r="O13" s="1625"/>
      <c r="P13" s="1625"/>
      <c r="Q13" s="1625"/>
      <c r="R13" s="1625"/>
      <c r="S13" s="226"/>
      <c r="T13" s="226"/>
      <c r="U13" s="226"/>
      <c r="V13" s="226"/>
      <c r="IW13" s="1610">
        <v>14</v>
      </c>
    </row>
    <row s="1820" customFormat="1" customHeight="1" ht="1.05">
      <c r="A14" s="1632"/>
      <c r="B14" s="1367"/>
      <c r="C14" s="1632"/>
      <c r="D14" s="1634"/>
      <c r="E14" s="1632"/>
      <c r="F14" s="1632"/>
      <c r="G14" s="1632"/>
      <c r="H14" s="1632"/>
      <c r="I14" s="1632"/>
      <c r="J14" s="1632"/>
      <c r="K14" s="1632"/>
      <c r="L14" s="1632"/>
      <c r="M14" s="1625"/>
      <c r="N14" s="1625"/>
      <c r="O14" s="1625"/>
      <c r="P14" s="1625"/>
      <c r="Q14" s="1625"/>
      <c r="R14" s="1625"/>
      <c r="S14" s="226"/>
      <c r="T14" s="226"/>
      <c r="U14" s="226"/>
      <c r="V14" s="226"/>
      <c r="IW14" s="1610">
        <v>1</v>
      </c>
    </row>
    <row customHeight="1" ht="22.5" hidden="1">
      <c r="A15" s="1632" t="s">
        <v>86</v>
      </c>
      <c r="B15" s="1367">
        <v>0</v>
      </c>
      <c r="C15" s="1632">
        <v>0</v>
      </c>
      <c r="D15" s="1634">
        <v>3</v>
      </c>
      <c r="E15" s="1632">
        <v>6</v>
      </c>
      <c r="F15" s="1632">
        <v>27</v>
      </c>
      <c r="G15" s="1632">
        <v>16</v>
      </c>
      <c r="H15" s="1632">
        <v>12</v>
      </c>
      <c r="I15" s="1632">
        <v>32</v>
      </c>
      <c r="J15" s="1632">
        <v>41</v>
      </c>
      <c r="K15" s="1632">
        <v>41</v>
      </c>
      <c r="L15" s="1632">
        <v>89</v>
      </c>
      <c r="M15" s="1625">
        <v>3</v>
      </c>
      <c r="N15" s="1625">
        <v>8</v>
      </c>
      <c r="O15" s="1625">
        <v>8</v>
      </c>
      <c r="P15" s="1625">
        <v>8</v>
      </c>
      <c r="Q15" s="1625">
        <v>25</v>
      </c>
      <c r="R15" s="1625">
        <v>14</v>
      </c>
      <c r="S15" s="226">
        <v>8</v>
      </c>
      <c r="T15" s="226">
        <v>8</v>
      </c>
      <c r="U15" s="226">
        <v>8</v>
      </c>
      <c r="V15" s="226">
        <v>8</v>
      </c>
      <c r="W15" s="1632">
        <v>8</v>
      </c>
      <c r="X15" s="1632">
        <v>8</v>
      </c>
      <c r="Y15" s="1632">
        <v>8</v>
      </c>
      <c r="Z15" s="1632">
        <v>8</v>
      </c>
      <c r="AA15" s="1632">
        <v>8</v>
      </c>
      <c r="AB15" s="1632">
        <v>8</v>
      </c>
      <c r="AC15" s="1632">
        <v>8</v>
      </c>
      <c r="AD15" s="1632">
        <v>8</v>
      </c>
      <c r="AE15" s="1632">
        <v>8</v>
      </c>
      <c r="AF15" s="1632">
        <v>8</v>
      </c>
      <c r="AG15" s="1632">
        <v>8</v>
      </c>
      <c r="AH15" s="1632">
        <v>8</v>
      </c>
      <c r="AI15" s="1632">
        <v>8</v>
      </c>
      <c r="AJ15" s="1632">
        <v>8</v>
      </c>
      <c r="AK15" s="1632">
        <v>8</v>
      </c>
      <c r="AL15" s="1632">
        <v>8</v>
      </c>
      <c r="AM15" s="1632">
        <v>8</v>
      </c>
      <c r="AN15" s="1632">
        <v>8</v>
      </c>
      <c r="AO15" s="1632">
        <v>8</v>
      </c>
      <c r="AP15" s="1632">
        <v>8</v>
      </c>
      <c r="AQ15" s="1632">
        <v>8</v>
      </c>
      <c r="AR15" s="1632">
        <v>8</v>
      </c>
      <c r="AS15" s="1632">
        <v>8</v>
      </c>
      <c r="AT15" s="1632">
        <v>8</v>
      </c>
      <c r="AU15" s="1632">
        <v>8</v>
      </c>
      <c r="AV15" s="1632">
        <v>8</v>
      </c>
      <c r="AW15" s="1632">
        <v>8</v>
      </c>
      <c r="AX15" s="1632">
        <v>8</v>
      </c>
      <c r="AY15" s="1632">
        <v>8</v>
      </c>
      <c r="AZ15" s="1632">
        <v>8</v>
      </c>
      <c r="BA15" s="1632">
        <v>8</v>
      </c>
      <c r="BB15" s="1632">
        <v>8</v>
      </c>
      <c r="BC15" s="1632">
        <v>8</v>
      </c>
      <c r="BD15" s="1632">
        <v>8</v>
      </c>
      <c r="BE15" s="1632">
        <v>8</v>
      </c>
      <c r="BF15" s="1632">
        <v>8</v>
      </c>
      <c r="BG15" s="1632">
        <v>8</v>
      </c>
      <c r="BH15" s="1632">
        <v>8</v>
      </c>
      <c r="BI15" s="1632">
        <v>8</v>
      </c>
      <c r="BJ15" s="1632">
        <v>8</v>
      </c>
      <c r="BK15" s="1632">
        <v>8</v>
      </c>
      <c r="BL15" s="1632">
        <v>8</v>
      </c>
      <c r="BM15" s="1632">
        <v>8</v>
      </c>
      <c r="BN15" s="1632">
        <v>8</v>
      </c>
      <c r="BO15" s="1632">
        <v>8</v>
      </c>
      <c r="BP15" s="1632">
        <v>8</v>
      </c>
      <c r="BQ15" s="1632">
        <v>8</v>
      </c>
      <c r="BR15" s="1632">
        <v>8</v>
      </c>
      <c r="BS15" s="1632">
        <v>8</v>
      </c>
      <c r="BT15" s="1632">
        <v>8</v>
      </c>
      <c r="BU15" s="1632">
        <v>8</v>
      </c>
      <c r="BV15" s="1632">
        <v>8</v>
      </c>
      <c r="BW15" s="1632">
        <v>8</v>
      </c>
      <c r="BX15" s="1632">
        <v>8</v>
      </c>
      <c r="BY15" s="1632">
        <v>8</v>
      </c>
      <c r="BZ15" s="1632">
        <v>8</v>
      </c>
      <c r="CA15" s="1632">
        <v>8</v>
      </c>
      <c r="CB15" s="1632">
        <v>8</v>
      </c>
      <c r="CC15" s="1632">
        <v>8</v>
      </c>
      <c r="CD15" s="1632">
        <v>8</v>
      </c>
      <c r="CE15" s="1632">
        <v>8</v>
      </c>
      <c r="CF15" s="1632">
        <v>8</v>
      </c>
      <c r="CG15" s="1632">
        <v>8</v>
      </c>
      <c r="CH15" s="1632">
        <v>8</v>
      </c>
      <c r="CI15" s="1632">
        <v>8</v>
      </c>
      <c r="CJ15" s="1632">
        <v>8</v>
      </c>
      <c r="CK15" s="1632">
        <v>8</v>
      </c>
      <c r="CL15" s="1632">
        <v>8</v>
      </c>
      <c r="CM15" s="1632">
        <v>8</v>
      </c>
      <c r="CN15" s="1632">
        <v>8</v>
      </c>
      <c r="CO15" s="1632">
        <v>8</v>
      </c>
      <c r="CP15" s="1632">
        <v>8</v>
      </c>
      <c r="CQ15" s="1632">
        <v>8</v>
      </c>
      <c r="CR15" s="1632">
        <v>8</v>
      </c>
      <c r="CS15" s="1632">
        <v>8</v>
      </c>
      <c r="CT15" s="1632">
        <v>8</v>
      </c>
      <c r="CU15" s="1632">
        <v>8</v>
      </c>
      <c r="CV15" s="1632">
        <v>8</v>
      </c>
      <c r="CW15" s="1632">
        <v>8</v>
      </c>
      <c r="CX15" s="1632">
        <v>8</v>
      </c>
      <c r="CY15" s="1632">
        <v>8</v>
      </c>
      <c r="CZ15" s="1632">
        <v>8</v>
      </c>
      <c r="DA15" s="1632">
        <v>8</v>
      </c>
      <c r="DB15" s="1632">
        <v>8</v>
      </c>
      <c r="DC15" s="1632">
        <v>8</v>
      </c>
      <c r="DD15" s="1632">
        <v>8</v>
      </c>
      <c r="DE15" s="1632">
        <v>8</v>
      </c>
      <c r="DF15" s="1632">
        <v>8</v>
      </c>
      <c r="DG15" s="1632">
        <v>8</v>
      </c>
      <c r="DH15" s="1632">
        <v>8</v>
      </c>
      <c r="DI15" s="1632">
        <v>8</v>
      </c>
      <c r="DJ15" s="1632">
        <v>8</v>
      </c>
      <c r="DK15" s="1632">
        <v>8</v>
      </c>
      <c r="DL15" s="1632">
        <v>8</v>
      </c>
      <c r="DM15" s="1632">
        <v>8</v>
      </c>
      <c r="DN15" s="1632">
        <v>8</v>
      </c>
      <c r="DO15" s="1632">
        <v>8</v>
      </c>
      <c r="DP15" s="1632">
        <v>8</v>
      </c>
      <c r="DQ15" s="1632">
        <v>8</v>
      </c>
      <c r="DR15" s="1632">
        <v>8</v>
      </c>
      <c r="DS15" s="1632">
        <v>8</v>
      </c>
      <c r="DT15" s="1632">
        <v>8</v>
      </c>
      <c r="DU15" s="1632">
        <v>8</v>
      </c>
      <c r="DV15" s="1632">
        <v>8</v>
      </c>
      <c r="DW15" s="1632">
        <v>8</v>
      </c>
      <c r="DX15" s="1632">
        <v>8</v>
      </c>
      <c r="DY15" s="1632">
        <v>8</v>
      </c>
      <c r="DZ15" s="1632">
        <v>8</v>
      </c>
      <c r="EA15" s="1632">
        <v>8</v>
      </c>
      <c r="EB15" s="1632">
        <v>8</v>
      </c>
      <c r="EC15" s="1632">
        <v>8</v>
      </c>
      <c r="ED15" s="1632">
        <v>8</v>
      </c>
      <c r="EE15" s="1632">
        <v>8</v>
      </c>
      <c r="EF15" s="1632">
        <v>8</v>
      </c>
      <c r="EG15" s="1632">
        <v>8</v>
      </c>
      <c r="EH15" s="1632">
        <v>8</v>
      </c>
      <c r="EI15" s="1632">
        <v>8</v>
      </c>
      <c r="EJ15" s="1632">
        <v>8</v>
      </c>
      <c r="EK15" s="1632">
        <v>8</v>
      </c>
      <c r="EL15" s="1632">
        <v>8</v>
      </c>
      <c r="EM15" s="1632">
        <v>8</v>
      </c>
      <c r="EN15" s="1632">
        <v>8</v>
      </c>
      <c r="EO15" s="1632">
        <v>8</v>
      </c>
      <c r="EP15" s="1632">
        <v>8</v>
      </c>
      <c r="EQ15" s="1632">
        <v>8</v>
      </c>
      <c r="ER15" s="1632">
        <v>8</v>
      </c>
      <c r="ES15" s="1632">
        <v>8</v>
      </c>
      <c r="ET15" s="1632">
        <v>8</v>
      </c>
      <c r="EU15" s="1632">
        <v>8</v>
      </c>
      <c r="EV15" s="1632">
        <v>8</v>
      </c>
      <c r="EW15" s="1632">
        <v>8</v>
      </c>
      <c r="EX15" s="1632">
        <v>8</v>
      </c>
      <c r="EY15" s="1632">
        <v>8</v>
      </c>
      <c r="EZ15" s="1632">
        <v>8</v>
      </c>
      <c r="FA15" s="1632">
        <v>8</v>
      </c>
      <c r="FB15" s="1632">
        <v>8</v>
      </c>
      <c r="FC15" s="1632">
        <v>8</v>
      </c>
      <c r="FD15" s="1632">
        <v>8</v>
      </c>
      <c r="FE15" s="1632">
        <v>8</v>
      </c>
      <c r="FF15" s="1632">
        <v>8</v>
      </c>
      <c r="FG15" s="1632">
        <v>8</v>
      </c>
      <c r="FH15" s="1632">
        <v>8</v>
      </c>
      <c r="FI15" s="1632">
        <v>8</v>
      </c>
      <c r="FJ15" s="1632">
        <v>8</v>
      </c>
      <c r="FK15" s="1632">
        <v>8</v>
      </c>
      <c r="FL15" s="1632">
        <v>8</v>
      </c>
      <c r="FM15" s="1632">
        <v>8</v>
      </c>
      <c r="FN15" s="1632">
        <v>8</v>
      </c>
      <c r="FO15" s="1632">
        <v>8</v>
      </c>
      <c r="FP15" s="1632">
        <v>8</v>
      </c>
      <c r="FQ15" s="1632">
        <v>8</v>
      </c>
      <c r="FR15" s="1632">
        <v>8</v>
      </c>
      <c r="FS15" s="1632">
        <v>8</v>
      </c>
      <c r="FT15" s="1632">
        <v>8</v>
      </c>
      <c r="FU15" s="1632">
        <v>8</v>
      </c>
      <c r="FV15" s="1632">
        <v>8</v>
      </c>
      <c r="FW15" s="1632">
        <v>8</v>
      </c>
      <c r="FX15" s="1632">
        <v>8</v>
      </c>
      <c r="FY15" s="1632">
        <v>8</v>
      </c>
      <c r="FZ15" s="1632">
        <v>8</v>
      </c>
      <c r="GA15" s="1632">
        <v>8</v>
      </c>
      <c r="GB15" s="1632">
        <v>8</v>
      </c>
      <c r="GC15" s="1632">
        <v>8</v>
      </c>
      <c r="GD15" s="1632">
        <v>8</v>
      </c>
      <c r="GE15" s="1632">
        <v>8</v>
      </c>
      <c r="GF15" s="1632">
        <v>8</v>
      </c>
      <c r="GG15" s="1632">
        <v>8</v>
      </c>
      <c r="GH15" s="1632">
        <v>8</v>
      </c>
      <c r="GI15" s="1632">
        <v>8</v>
      </c>
      <c r="GJ15" s="1632">
        <v>8</v>
      </c>
      <c r="GK15" s="1632">
        <v>8</v>
      </c>
      <c r="GL15" s="1632">
        <v>8</v>
      </c>
      <c r="GM15" s="1632">
        <v>8</v>
      </c>
      <c r="GN15" s="1632">
        <v>8</v>
      </c>
      <c r="GO15" s="1632">
        <v>8</v>
      </c>
      <c r="GP15" s="1632">
        <v>8</v>
      </c>
      <c r="GQ15" s="1632">
        <v>8</v>
      </c>
      <c r="GR15" s="1632">
        <v>8</v>
      </c>
      <c r="GS15" s="1632">
        <v>8</v>
      </c>
      <c r="GT15" s="1632">
        <v>8</v>
      </c>
      <c r="GU15" s="1632">
        <v>8</v>
      </c>
      <c r="GV15" s="1632">
        <v>8</v>
      </c>
      <c r="GW15" s="1632">
        <v>8</v>
      </c>
      <c r="GX15" s="1632">
        <v>8</v>
      </c>
      <c r="GY15" s="1632">
        <v>8</v>
      </c>
      <c r="GZ15" s="1632">
        <v>8</v>
      </c>
      <c r="HA15" s="1632">
        <v>8</v>
      </c>
      <c r="HB15" s="1632">
        <v>8</v>
      </c>
      <c r="HC15" s="1632">
        <v>8</v>
      </c>
      <c r="HD15" s="1632">
        <v>8</v>
      </c>
      <c r="HE15" s="1632">
        <v>8</v>
      </c>
      <c r="HF15" s="1632">
        <v>8</v>
      </c>
      <c r="HG15" s="1632">
        <v>8</v>
      </c>
      <c r="HH15" s="1632">
        <v>8</v>
      </c>
      <c r="HI15" s="1632">
        <v>8</v>
      </c>
      <c r="HJ15" s="1632">
        <v>8</v>
      </c>
      <c r="HK15" s="1632">
        <v>8</v>
      </c>
      <c r="HL15" s="1632">
        <v>8</v>
      </c>
      <c r="HM15" s="1632">
        <v>8</v>
      </c>
      <c r="HN15" s="1632">
        <v>8</v>
      </c>
      <c r="HO15" s="1632">
        <v>8</v>
      </c>
      <c r="HP15" s="1632">
        <v>8</v>
      </c>
      <c r="HQ15" s="1632">
        <v>8</v>
      </c>
      <c r="HR15" s="1632">
        <v>8</v>
      </c>
      <c r="HS15" s="1632">
        <v>8</v>
      </c>
      <c r="HT15" s="1632">
        <v>8</v>
      </c>
      <c r="HU15" s="1632">
        <v>8</v>
      </c>
      <c r="HV15" s="1632">
        <v>8</v>
      </c>
      <c r="HW15" s="1632">
        <v>8</v>
      </c>
      <c r="HX15" s="1632">
        <v>8</v>
      </c>
      <c r="HY15" s="1632">
        <v>8</v>
      </c>
      <c r="HZ15" s="1632">
        <v>8</v>
      </c>
      <c r="IA15" s="1632">
        <v>8</v>
      </c>
      <c r="IB15" s="1632">
        <v>8</v>
      </c>
      <c r="IC15" s="1632">
        <v>8</v>
      </c>
      <c r="ID15" s="1632">
        <v>8</v>
      </c>
      <c r="IE15" s="1632">
        <v>8</v>
      </c>
      <c r="IF15" s="1632">
        <v>8</v>
      </c>
      <c r="IG15" s="1632">
        <v>8</v>
      </c>
      <c r="IH15" s="1632">
        <v>8</v>
      </c>
      <c r="II15" s="1632">
        <v>8</v>
      </c>
      <c r="IJ15" s="1632">
        <v>8</v>
      </c>
      <c r="IK15" s="1632">
        <v>8</v>
      </c>
      <c r="IL15" s="1632">
        <v>8</v>
      </c>
      <c r="IM15" s="1632">
        <v>8</v>
      </c>
      <c r="IN15" s="1632">
        <v>8</v>
      </c>
      <c r="IO15" s="1632">
        <v>8</v>
      </c>
      <c r="IP15" s="1632">
        <v>8</v>
      </c>
      <c r="IQ15" s="1632">
        <v>8</v>
      </c>
      <c r="IR15" s="1632">
        <v>8</v>
      </c>
      <c r="IS15" s="1632">
        <v>8</v>
      </c>
      <c r="IT15" s="1632">
        <v>8</v>
      </c>
      <c r="IU15" s="1632">
        <v>8</v>
      </c>
      <c r="IV15" s="1632">
        <v>8</v>
      </c>
      <c r="IW15" s="1632">
        <v>23</v>
      </c>
    </row>
  </sheetData>
  <sheetProtection sort="0" autoFilter="0" insertRows="0" insertColumns="1" deleteRows="0" deleteColumns="0"/>
  <mergeCells count="10">
    <mergeCell ref="A10:A11"/>
    <mergeCell ref="L10:L11"/>
    <mergeCell ref="E5:K5"/>
    <mergeCell ref="E7:K7"/>
    <mergeCell ref="L7:L9"/>
    <mergeCell ref="E8:E9"/>
    <mergeCell ref="F8:F9"/>
    <mergeCell ref="G8:I8"/>
    <mergeCell ref="J8:J9"/>
    <mergeCell ref="K8:K9"/>
  </mergeCells>
  <dataValidations count="5">
    <dataValidation type="time" allowBlank="1" showInputMessage="1" showErrorMessage="1" prompt="Укажите время в формате ЧЧ:ММ" sqref="H2">
      <formula1>0</formula1>
      <formula2>0.9993055555555556</formula2>
    </dataValidation>
    <dataValidation type="textLength" operator="lessThanOrEqual" allowBlank="1" showInputMessage="1" showErrorMessage="1" sqref="I2">
      <formula1>990</formula1>
    </dataValidation>
    <dataValidation type="textLength" allowBlank="1" showInputMessage="1" showErrorMessage="1" sqref="H3:I3">
      <formula1>13</formula1>
      <formula2>15</formula2>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2:G3"/>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J2:K3">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5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1E750F8-6D68-5E2A-0C78-CBE3EA6615E3}" mc:Ignorable="x14ac xr xr2 xr3">
  <dimension ref="A1:Q19"/>
  <sheetViews>
    <sheetView showGridLines="0" zoomScale="90" workbookViewId="0">
      <pane xSplit="10" ySplit="12" topLeftCell="K13" activePane="bottomRight" state="frozen"/>
      <selection pane="bottomLeft" activeCell="A13" sqref="A13"/>
      <selection pane="topRight" activeCell="K1" sqref="K1"/>
      <selection pane="bottomRight" activeCell="A1" sqref="A1"/>
    </sheetView>
  </sheetViews>
  <sheetFormatPr defaultColWidth="9.140625" customHeight="1" defaultRowHeight="14.25"/>
  <cols>
    <col min="1" max="1" style="1636" width="9.140625" hidden="1"/>
    <col min="2" max="2" style="1367" width="9.140625" hidden="1"/>
    <col min="3" max="3" style="1636" width="3.7109375" hidden="1" customWidth="1"/>
    <col min="4" max="4" style="1843" width="3.00390625" customWidth="1"/>
    <col min="5" max="5" style="1636" width="6.00390625" customWidth="1"/>
    <col min="6" max="6" style="1636" width="27.00390625" customWidth="1"/>
    <col min="7" max="7" style="1636" width="29.00390625" customWidth="1"/>
    <col min="8" max="8" style="1636" width="25.00390625" customWidth="1"/>
    <col min="9" max="9" style="1636" width="5.00390625" customWidth="1"/>
    <col min="10" max="10" style="1636" width="6.00390625" customWidth="1"/>
    <col min="11" max="11" style="1636" width="41.00390625" customWidth="1"/>
    <col min="12" max="12" style="1636" width="42.00390625" customWidth="1"/>
    <col min="13" max="13" style="1636" width="41.00390625" customWidth="1"/>
    <col min="14" max="14" style="1636" width="89.00390625" customWidth="1"/>
    <col min="15" max="15" style="1625" width="3.00390625" customWidth="1"/>
    <col min="16" max="16" style="1625" width="8.00390625" customWidth="1"/>
    <col min="17" max="17" style="1636" width="9.140625" hidden="1"/>
  </cols>
  <sheetData>
    <row customHeight="1" ht="22.5" hidden="1">
      <c r="Q1" s="1156" t="s">
        <v>14</v>
      </c>
    </row>
    <row s="1851" customFormat="1" customHeight="1" ht="22.5" hidden="1">
      <c r="A2" s="497"/>
      <c r="B2" s="1161">
        <v>1</v>
      </c>
      <c r="C2" s="1161"/>
      <c r="D2" s="1929" t="s">
        <v>108</v>
      </c>
      <c r="E2" s="2128">
        <v>1</v>
      </c>
      <c r="F2" s="2304" t="str">
        <f>IF(region_name="","",region_name)</f>
        <v>Мурманская область</v>
      </c>
      <c r="G2" s="2484"/>
      <c r="H2" s="2485"/>
      <c r="I2" s="475"/>
      <c r="J2" s="1911">
        <v>1</v>
      </c>
      <c r="K2" s="1913"/>
      <c r="L2" s="1913"/>
      <c r="M2" s="1913"/>
      <c r="N2" s="493"/>
      <c r="O2" s="1536"/>
      <c r="P2" s="512"/>
      <c r="Q2" s="424">
        <v>0</v>
      </c>
    </row>
    <row s="1851" customFormat="1" customHeight="1" ht="22.5" hidden="1">
      <c r="A3" s="832"/>
      <c r="B3" s="1161"/>
      <c r="C3" s="1161"/>
      <c r="D3" s="802"/>
      <c r="E3" s="2128"/>
      <c r="F3" s="2304"/>
      <c r="G3" s="2484"/>
      <c r="H3" s="2486"/>
      <c r="I3" s="422"/>
      <c r="J3" s="1501"/>
      <c r="K3" s="1501" t="s">
        <v>2013</v>
      </c>
      <c r="L3" s="1544"/>
      <c r="M3" s="1921"/>
      <c r="N3" s="1914"/>
      <c r="O3" s="1536"/>
      <c r="P3" s="512"/>
      <c r="Q3" s="424">
        <v>0</v>
      </c>
    </row>
    <row s="1643" customFormat="1" customHeight="1" ht="5.25" hidden="1">
      <c r="A4" s="497"/>
      <c r="D4" s="495"/>
      <c r="F4" s="248" t="s">
        <v>87</v>
      </c>
      <c r="G4" s="495" t="s">
        <v>88</v>
      </c>
      <c r="H4" s="495"/>
      <c r="I4" s="1924"/>
      <c r="J4" s="1545"/>
      <c r="K4" s="1912"/>
      <c r="L4" s="1912"/>
      <c r="M4" s="1912"/>
      <c r="N4" s="1908"/>
      <c r="O4" s="248" t="s">
        <v>87</v>
      </c>
      <c r="P4" s="248"/>
      <c r="Q4" s="512">
        <v>0</v>
      </c>
    </row>
    <row s="1851" customFormat="1" customHeight="1" ht="22.5" hidden="1">
      <c r="A5" s="1642"/>
      <c r="B5" s="1367">
        <v>1</v>
      </c>
      <c r="C5" s="1367"/>
      <c r="D5" s="802"/>
      <c r="E5" s="1914"/>
      <c r="F5" s="1914"/>
      <c r="G5" s="1914"/>
      <c r="H5" s="1925"/>
      <c r="I5" s="1930" t="s">
        <v>108</v>
      </c>
      <c r="J5" s="1923">
        <v>1</v>
      </c>
      <c r="K5" s="1913"/>
      <c r="L5" s="1913"/>
      <c r="M5" s="1913"/>
      <c r="N5" s="493"/>
      <c r="O5" s="1536"/>
      <c r="P5" s="1637"/>
      <c r="Q5" s="625">
        <v>0</v>
      </c>
    </row>
    <row s="1820" customFormat="1" customHeight="1" ht="14.699999999999998">
      <c r="A6" s="1156"/>
      <c r="B6" s="1161"/>
      <c r="C6" s="1156"/>
      <c r="D6" s="1496"/>
      <c r="E6" s="510"/>
      <c r="F6" s="510"/>
      <c r="G6" s="510"/>
      <c r="H6" s="510"/>
      <c r="I6" s="510"/>
      <c r="J6" s="510"/>
      <c r="K6" s="510"/>
      <c r="L6" s="510"/>
      <c r="M6" s="510"/>
      <c r="N6" s="1636"/>
      <c r="O6" s="248"/>
      <c r="P6" s="501"/>
      <c r="Q6" s="508">
        <v>14</v>
      </c>
    </row>
    <row s="1820" customFormat="1" customHeight="1" ht="27.299999999999997">
      <c r="A7" s="1156"/>
      <c r="B7" s="1161"/>
      <c r="C7" s="1156"/>
      <c r="D7" s="1496"/>
      <c r="E7" s="2491" t="str">
        <f>"Форма "&amp;IF(TEMPLATE_SPHERE="HEAT","5","4")&amp;". Информация о привлечении к административной ответственности организаций и должностных лиц за нарушение установленных порядка, способа, сроков раскрытия информации и форм ее предоставления"</f>
        <v>Форма 5. Информация о привлечении к административной ответственности организаций и должностных лиц за нарушение установленных порядка, способа, сроков раскрытия информации и форм ее предоставления</v>
      </c>
      <c r="F7" s="2491"/>
      <c r="G7" s="2491"/>
      <c r="H7" s="2491"/>
      <c r="I7" s="2491"/>
      <c r="J7" s="2491"/>
      <c r="K7" s="2491"/>
      <c r="L7" s="2491"/>
      <c r="M7" s="2491"/>
      <c r="N7" s="1253"/>
      <c r="O7" s="248"/>
      <c r="P7" s="501"/>
      <c r="Q7" s="508">
        <v>26</v>
      </c>
    </row>
    <row s="1820" customFormat="1" customHeight="1" ht="14.699999999999998">
      <c r="A8" s="1156"/>
      <c r="B8" s="1161"/>
      <c r="C8" s="1156"/>
      <c r="D8" s="1496"/>
      <c r="E8" s="510"/>
      <c r="F8" s="168"/>
      <c r="G8" s="168"/>
      <c r="H8" s="168"/>
      <c r="I8" s="168"/>
      <c r="J8" s="168"/>
      <c r="K8" s="168"/>
      <c r="L8" s="168"/>
      <c r="M8" s="168"/>
      <c r="N8" s="617"/>
      <c r="O8" s="501"/>
      <c r="P8" s="501"/>
      <c r="Q8" s="508">
        <v>14</v>
      </c>
    </row>
    <row s="1547" customFormat="1" customHeight="1" ht="14.25" hidden="1">
      <c r="A9" s="1469"/>
      <c r="B9" s="1479"/>
      <c r="C9" s="1469"/>
      <c r="D9" s="1496"/>
      <c r="E9" s="1915"/>
      <c r="F9" s="1915"/>
      <c r="G9" s="1915"/>
      <c r="H9" s="1915"/>
      <c r="I9" s="2494"/>
      <c r="J9" s="2494"/>
      <c r="K9" s="2494"/>
      <c r="L9" s="1915"/>
      <c r="M9" s="1916"/>
      <c r="O9" s="1546"/>
      <c r="P9" s="1546"/>
      <c r="Q9" s="1547">
        <v>0</v>
      </c>
    </row>
    <row s="1820" customFormat="1" customHeight="1" ht="14.699999999999998">
      <c r="A10" s="1156"/>
      <c r="B10" s="1161"/>
      <c r="C10" s="1156"/>
      <c r="D10" s="1496"/>
      <c r="E10" s="2128" t="s">
        <v>430</v>
      </c>
      <c r="F10" s="2128"/>
      <c r="G10" s="2128"/>
      <c r="H10" s="2128"/>
      <c r="I10" s="2128"/>
      <c r="J10" s="2128"/>
      <c r="K10" s="2128"/>
      <c r="L10" s="2128"/>
      <c r="M10" s="2102"/>
      <c r="N10" s="2479" t="s">
        <v>431</v>
      </c>
      <c r="O10" s="501"/>
      <c r="P10" s="501"/>
      <c r="Q10" s="508">
        <v>14</v>
      </c>
    </row>
    <row s="1820" customFormat="1" customHeight="1" ht="44.25">
      <c r="A11" s="1632"/>
      <c r="B11" s="1367"/>
      <c r="C11" s="1632"/>
      <c r="D11" s="1516"/>
      <c r="E11" s="2493" t="s">
        <v>92</v>
      </c>
      <c r="F11" s="2493" t="s">
        <v>434</v>
      </c>
      <c r="G11" s="2493" t="s">
        <v>2014</v>
      </c>
      <c r="H11" s="2493"/>
      <c r="I11" s="2493" t="s">
        <v>2015</v>
      </c>
      <c r="J11" s="2493"/>
      <c r="K11" s="2493"/>
      <c r="L11" s="2493" t="s">
        <v>2016</v>
      </c>
      <c r="M11" s="2481" t="s">
        <v>2017</v>
      </c>
      <c r="N11" s="2492"/>
      <c r="O11" s="1625"/>
      <c r="P11" s="1625"/>
      <c r="Q11" s="1610">
        <v>42</v>
      </c>
    </row>
    <row s="1820" customFormat="1" customHeight="1" ht="29.25">
      <c r="A12" s="1156"/>
      <c r="B12" s="1161"/>
      <c r="C12" s="1156"/>
      <c r="D12" s="1496"/>
      <c r="E12" s="2479"/>
      <c r="F12" s="2493"/>
      <c r="G12" s="1910" t="s">
        <v>2018</v>
      </c>
      <c r="H12" s="1910" t="s">
        <v>438</v>
      </c>
      <c r="I12" s="2493"/>
      <c r="J12" s="2493"/>
      <c r="K12" s="2493"/>
      <c r="L12" s="2493"/>
      <c r="M12" s="2481"/>
      <c r="N12" s="2480"/>
      <c r="O12" s="501"/>
      <c r="P12" s="501"/>
      <c r="Q12" s="508">
        <v>28</v>
      </c>
    </row>
    <row s="1851" customFormat="1" customHeight="1" ht="23.25">
      <c r="A13" s="2100">
        <v>26379339</v>
      </c>
      <c r="B13" s="1161">
        <v>1</v>
      </c>
      <c r="C13" s="1161"/>
      <c r="D13" s="802"/>
      <c r="E13" s="2128">
        <v>1</v>
      </c>
      <c r="F13" s="2487" t="str">
        <f>IF(region_name="","",region_name)</f>
        <v>Мурманская область</v>
      </c>
      <c r="G13" s="2488"/>
      <c r="H13" s="2495"/>
      <c r="I13" s="475"/>
      <c r="J13" s="1906">
        <v>1</v>
      </c>
      <c r="K13" s="1919"/>
      <c r="L13" s="1920"/>
      <c r="M13" s="1920"/>
      <c r="N13" s="2489" t="s">
        <v>2019</v>
      </c>
      <c r="O13" s="1536"/>
      <c r="P13" s="512"/>
      <c r="Q13" s="424">
        <v>22</v>
      </c>
    </row>
    <row s="1851" customFormat="1" customHeight="1" ht="23.25">
      <c r="A14" s="2100"/>
      <c r="B14" s="1161"/>
      <c r="C14" s="1161"/>
      <c r="D14" s="802"/>
      <c r="E14" s="2128"/>
      <c r="F14" s="2487"/>
      <c r="G14" s="2488"/>
      <c r="H14" s="2496"/>
      <c r="I14" s="422"/>
      <c r="J14" s="1501"/>
      <c r="K14" s="1501" t="s">
        <v>2013</v>
      </c>
      <c r="L14" s="1544"/>
      <c r="M14" s="1544"/>
      <c r="N14" s="2490"/>
      <c r="O14" s="1536"/>
      <c r="P14" s="512"/>
      <c r="Q14" s="424">
        <v>22</v>
      </c>
    </row>
    <row s="1851" customFormat="1" customHeight="1" ht="23.25">
      <c r="A15" s="2100"/>
      <c r="B15" s="1161"/>
      <c r="C15" s="413"/>
      <c r="D15" s="802"/>
      <c r="E15" s="422"/>
      <c r="F15" s="1501" t="s">
        <v>2005</v>
      </c>
      <c r="G15" s="1543"/>
      <c r="H15" s="1543"/>
      <c r="I15" s="188"/>
      <c r="J15" s="188"/>
      <c r="K15" s="188"/>
      <c r="L15" s="188"/>
      <c r="M15" s="188"/>
      <c r="N15" s="2490"/>
      <c r="O15" s="1537"/>
      <c r="P15" s="512"/>
      <c r="Q15" s="424">
        <v>22</v>
      </c>
    </row>
    <row s="1820" customFormat="1" customHeight="1" ht="22.049999999999997">
      <c r="A16" s="1156"/>
      <c r="B16" s="1161"/>
      <c r="C16" s="1156"/>
      <c r="D16" s="452"/>
      <c r="E16" s="181"/>
      <c r="F16" s="181"/>
      <c r="G16" s="181"/>
      <c r="H16" s="181"/>
      <c r="I16" s="181"/>
      <c r="J16" s="181"/>
      <c r="K16" s="181"/>
      <c r="L16" s="181"/>
      <c r="M16" s="510"/>
      <c r="N16" s="1636"/>
      <c r="O16" s="501"/>
      <c r="P16" s="501"/>
      <c r="Q16" s="508">
        <v>21</v>
      </c>
    </row>
    <row s="1820" customFormat="1" customHeight="1" ht="14.699999999999998">
      <c r="A17" s="1156"/>
      <c r="B17" s="1161"/>
      <c r="C17" s="1156"/>
      <c r="D17" s="452"/>
      <c r="E17" s="1156"/>
      <c r="F17" s="1156"/>
      <c r="G17" s="1156"/>
      <c r="H17" s="1156"/>
      <c r="I17" s="1156"/>
      <c r="J17" s="1156"/>
      <c r="K17" s="1156"/>
      <c r="L17" s="1156"/>
      <c r="M17" s="1156"/>
      <c r="N17" s="1632"/>
      <c r="O17" s="501"/>
      <c r="P17" s="501"/>
      <c r="Q17" s="508">
        <v>14</v>
      </c>
    </row>
    <row s="1820" customFormat="1" customHeight="1" ht="1.05">
      <c r="A18" s="1156"/>
      <c r="B18" s="1161"/>
      <c r="C18" s="1156"/>
      <c r="D18" s="452"/>
      <c r="E18" s="1156"/>
      <c r="F18" s="1156"/>
      <c r="G18" s="1156"/>
      <c r="H18" s="1156"/>
      <c r="I18" s="1156"/>
      <c r="J18" s="1156"/>
      <c r="K18" s="1156"/>
      <c r="L18" s="1156"/>
      <c r="M18" s="1156"/>
      <c r="N18" s="1632"/>
      <c r="O18" s="501"/>
      <c r="P18" s="501"/>
      <c r="Q18" s="508">
        <v>1</v>
      </c>
    </row>
    <row customHeight="1" ht="22.5" hidden="1">
      <c r="A19" s="1156" t="s">
        <v>86</v>
      </c>
      <c r="B19" s="1161">
        <v>0</v>
      </c>
      <c r="C19" s="1156">
        <v>0</v>
      </c>
      <c r="D19" s="452">
        <v>3</v>
      </c>
      <c r="E19" s="1156">
        <v>6</v>
      </c>
      <c r="F19" s="1156">
        <v>27</v>
      </c>
      <c r="G19" s="1156">
        <v>29</v>
      </c>
      <c r="H19" s="1156">
        <v>25</v>
      </c>
      <c r="I19" s="1156">
        <v>5</v>
      </c>
      <c r="J19" s="1156">
        <v>6</v>
      </c>
      <c r="K19" s="1156">
        <v>41</v>
      </c>
      <c r="L19" s="1156">
        <v>42</v>
      </c>
      <c r="M19" s="1156">
        <v>41</v>
      </c>
      <c r="N19" s="1632">
        <v>89</v>
      </c>
      <c r="O19" s="501">
        <v>3</v>
      </c>
      <c r="P19" s="501">
        <v>8</v>
      </c>
      <c r="Q19" s="1156">
        <v>23</v>
      </c>
    </row>
  </sheetData>
  <sheetProtection formatColumns="0" formatRows="0" autoFilter="0" sort="0" insertRows="0" insertColumns="1" deleteRows="0" deleteColumns="0"/>
  <mergeCells count="20">
    <mergeCell ref="N13:N15"/>
    <mergeCell ref="E10:M10"/>
    <mergeCell ref="E7:M7"/>
    <mergeCell ref="N10:N12"/>
    <mergeCell ref="I11:K12"/>
    <mergeCell ref="L11:L12"/>
    <mergeCell ref="M11:M12"/>
    <mergeCell ref="E11:E12"/>
    <mergeCell ref="F11:F12"/>
    <mergeCell ref="I9:K9"/>
    <mergeCell ref="H13:H14"/>
    <mergeCell ref="G11:H11"/>
    <mergeCell ref="E2:E3"/>
    <mergeCell ref="F2:F3"/>
    <mergeCell ref="G2:G3"/>
    <mergeCell ref="H2:H3"/>
    <mergeCell ref="A13:A15"/>
    <mergeCell ref="F13:F14"/>
    <mergeCell ref="G13:G14"/>
    <mergeCell ref="E13:E14"/>
  </mergeCells>
  <dataValidations count="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L4">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 sqref="M4">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5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1144F08-FE01-ACE7-FD13-F2A027626538}" mc:Ignorable="x14ac xr xr2 xr3">
  <sheetPr>
    <tabColor rgb="FFEAEBEE"/>
    <pageSetUpPr fitToPage="1"/>
  </sheetPr>
  <dimension ref="A1:M16"/>
  <sheetViews>
    <sheetView showGridLines="0" zoomScale="90" workbookViewId="0">
      <pane xSplit="4" ySplit="11" topLeftCell="E12" activePane="bottomRight" state="frozen"/>
      <selection pane="bottomLeft" activeCell="A12" sqref="A12"/>
      <selection pane="topRight" activeCell="E1" sqref="E1"/>
      <selection pane="bottomRight" activeCell="A1" sqref="A1"/>
    </sheetView>
  </sheetViews>
  <sheetFormatPr defaultColWidth="9.140625" customHeight="1" defaultRowHeight="14.25"/>
  <cols>
    <col min="1" max="1" style="359" width="9.140625" hidden="1"/>
    <col min="2" max="2" style="1824" width="9.140625" hidden="1"/>
    <col min="3" max="3" style="121" width="3.00390625" customWidth="1"/>
    <col min="4" max="4" style="1824" width="6.00390625" customWidth="1"/>
    <col min="5" max="5" style="1824" width="22.00390625" customWidth="1"/>
    <col min="6" max="6" style="1824" width="15.00390625" customWidth="1"/>
    <col min="7" max="7" style="1824" width="14.00390625" customWidth="1"/>
    <col min="8" max="8" style="1824" width="47.00390625" customWidth="1"/>
    <col min="9" max="9" style="1824" width="115.00390625" customWidth="1"/>
    <col min="10" max="10" style="1824" width="3.00390625" customWidth="1"/>
    <col min="11" max="12" style="1824" width="8.00390625" customWidth="1"/>
    <col min="13" max="13" style="1824" width="9.140625" hidden="1"/>
  </cols>
  <sheetData>
    <row customHeight="1" ht="14.25" hidden="1">
      <c r="M1" s="122" t="s">
        <v>14</v>
      </c>
    </row>
    <row customHeight="1" ht="14.25" hidden="1">
      <c r="M2" s="122">
        <v>0</v>
      </c>
    </row>
    <row customHeight="1" ht="14.25" hidden="1">
      <c r="M3" s="122">
        <v>0</v>
      </c>
    </row>
    <row customHeight="1" ht="3">
      <c r="M4" s="122">
        <v>3</v>
      </c>
    </row>
    <row s="1636" customFormat="1" customHeight="1" ht="31.5">
      <c r="A5" s="116"/>
      <c r="C5" s="91"/>
      <c r="D5" s="2101" t="s">
        <v>2020</v>
      </c>
      <c r="E5" s="2101"/>
      <c r="F5" s="2101"/>
      <c r="G5" s="2101"/>
      <c r="H5" s="2101"/>
      <c r="I5" s="266"/>
      <c r="M5" s="84">
        <v>30</v>
      </c>
    </row>
    <row customHeight="1" ht="3" hidden="1">
      <c r="D6" s="123"/>
      <c r="E6" s="123"/>
      <c r="F6" s="123"/>
      <c r="G6" s="123"/>
      <c r="H6" s="123"/>
      <c r="I6" s="123"/>
      <c r="M6" s="122">
        <v>0</v>
      </c>
    </row>
    <row s="359" customFormat="1" customHeight="1" ht="14.699999999999998">
      <c r="B7" s="120"/>
      <c r="C7" s="121"/>
      <c r="D7" s="124"/>
      <c r="E7" s="124"/>
      <c r="F7" s="124"/>
      <c r="G7" s="124"/>
      <c r="H7" s="753"/>
      <c r="I7" s="124"/>
      <c r="J7" s="125"/>
      <c r="M7" s="119">
        <v>14</v>
      </c>
    </row>
    <row customHeight="1" ht="14.699999999999998">
      <c r="D8" s="2210" t="s">
        <v>430</v>
      </c>
      <c r="E8" s="2210"/>
      <c r="F8" s="2210"/>
      <c r="G8" s="2210"/>
      <c r="H8" s="2210"/>
      <c r="I8" s="2210" t="s">
        <v>431</v>
      </c>
      <c r="M8" s="122">
        <v>14</v>
      </c>
    </row>
    <row customHeight="1" ht="29.25">
      <c r="D9" s="2210" t="s">
        <v>92</v>
      </c>
      <c r="E9" s="2210" t="s">
        <v>2021</v>
      </c>
      <c r="F9" s="2210"/>
      <c r="G9" s="2210"/>
      <c r="H9" s="2210"/>
      <c r="I9" s="2210"/>
      <c r="M9" s="122">
        <v>28</v>
      </c>
    </row>
    <row customHeight="1" ht="24">
      <c r="D10" s="2210"/>
      <c r="E10" s="128" t="s">
        <v>2022</v>
      </c>
      <c r="F10" s="128" t="s">
        <v>2023</v>
      </c>
      <c r="G10" s="128" t="s">
        <v>2024</v>
      </c>
      <c r="H10" s="128" t="s">
        <v>520</v>
      </c>
      <c r="I10" s="2210"/>
      <c r="M10" s="122">
        <v>23</v>
      </c>
    </row>
    <row customHeight="1" ht="12" hidden="1">
      <c r="D11" s="88" t="s">
        <v>123</v>
      </c>
      <c r="E11" s="88" t="s">
        <v>95</v>
      </c>
      <c r="F11" s="88" t="s">
        <v>124</v>
      </c>
      <c r="G11" s="88" t="s">
        <v>96</v>
      </c>
      <c r="H11" s="88" t="s">
        <v>97</v>
      </c>
      <c r="I11" s="88" t="s">
        <v>125</v>
      </c>
      <c r="M11" s="122">
        <v>0</v>
      </c>
    </row>
    <row s="1824" customFormat="1" customHeight="1" ht="26.25">
      <c r="A12" s="146" t="s">
        <v>94</v>
      </c>
      <c r="B12" s="126" t="s">
        <v>28</v>
      </c>
      <c r="C12" s="127"/>
      <c r="D12" s="129" t="s">
        <v>123</v>
      </c>
      <c r="E12" s="382"/>
      <c r="F12" s="382"/>
      <c r="G12" s="1735" t="s">
        <v>28</v>
      </c>
      <c r="H12" s="383"/>
      <c r="I12" s="2170" t="s">
        <v>2025</v>
      </c>
      <c r="K12" s="273"/>
      <c r="L12" s="274"/>
      <c r="M12" s="118">
        <v>25</v>
      </c>
    </row>
    <row customHeight="1" ht="15.75">
      <c r="A13" s="122"/>
      <c r="B13" s="122"/>
      <c r="C13" s="122"/>
      <c r="D13" s="110"/>
      <c r="E13" s="131" t="s">
        <v>599</v>
      </c>
      <c r="F13" s="130"/>
      <c r="G13" s="130"/>
      <c r="H13" s="215"/>
      <c r="I13" s="2172"/>
      <c r="M13" s="122">
        <v>15</v>
      </c>
    </row>
    <row customHeight="1" ht="3">
      <c r="A14" s="122"/>
      <c r="B14" s="122"/>
      <c r="C14" s="122"/>
      <c r="M14" s="122">
        <v>3</v>
      </c>
    </row>
    <row customHeight="1" ht="29.25">
      <c r="E15" s="2497" t="s">
        <v>2026</v>
      </c>
      <c r="F15" s="2497"/>
      <c r="G15" s="2497"/>
      <c r="H15" s="2497"/>
      <c r="M15" s="122">
        <v>28</v>
      </c>
    </row>
    <row customHeight="1" ht="14.25" hidden="1">
      <c r="A16" s="119" t="s">
        <v>86</v>
      </c>
      <c r="B16" s="120">
        <v>0</v>
      </c>
      <c r="C16" s="121">
        <v>3</v>
      </c>
      <c r="D16" s="122">
        <v>6</v>
      </c>
      <c r="E16" s="122">
        <v>22</v>
      </c>
      <c r="F16" s="122">
        <v>15</v>
      </c>
      <c r="G16" s="122">
        <v>14</v>
      </c>
      <c r="H16" s="122">
        <v>47</v>
      </c>
      <c r="I16" s="122">
        <v>115</v>
      </c>
      <c r="J16" s="122">
        <v>3</v>
      </c>
      <c r="K16" s="122">
        <v>8</v>
      </c>
      <c r="L16" s="122">
        <v>8</v>
      </c>
      <c r="M16" s="122">
        <v>14</v>
      </c>
    </row>
  </sheetData>
  <sheetProtection formatColumns="0" formatRows="0" autoFilter="0" sort="0" insertRows="0" insertColumns="1" deleteRows="0" deleteColumns="0"/>
  <mergeCells count="7">
    <mergeCell ref="E15:H15"/>
    <mergeCell ref="D5:H5"/>
    <mergeCell ref="I12:I13"/>
    <mergeCell ref="D8:H8"/>
    <mergeCell ref="I8:I10"/>
    <mergeCell ref="E9:H9"/>
    <mergeCell ref="D9:D10"/>
  </mergeCells>
  <dataValidations count="3">
    <dataValidation type="textLength" operator="lessThanOrEqual" allowBlank="1" showInputMessage="1" showErrorMessage="1" errorTitle="Ошибка" error="Допускается ввод не более 900 символов!" sqref="E12:F12">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12">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12"/>
  </dataValidations>
  <printOptions horizontalCentered="1"/>
  <pageMargins left="0.24" right="0.24" top="0.24" bottom="0.24" header="0.24" footer="0.24"/>
  <pageSetup paperSize="9" scale="70" fitToHeight="0" pageOrder="downThenOver" orientation="landscape"/>
  <headerFooter>
    <oddHeader>&amp;L&amp;C&amp;R</oddHeader>
    <oddFooter>&amp;L&amp;C&amp;R</oddFooter>
    <evenHeader>&amp;L&amp;C&amp;R</evenHeader>
    <evenFooter>&amp;L&amp;C&amp;R</evenFooter>
  </headerFooter>
</worksheet>
</file>

<file path=xl/worksheets/sheet5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E446968-446C-6718-FAE8-46A75835F58E}" mc:Ignorable="x14ac xr xr2 xr3">
  <sheetPr>
    <tabColor rgb="FFCCCCFF"/>
    <pageSetUpPr fitToPage="1"/>
  </sheetPr>
  <dimension ref="A1:J17"/>
  <sheetViews>
    <sheetView showGridLines="0" zoomScale="90" workbookViewId="0">
      <pane xSplit="4" ySplit="11" topLeftCell="E12" activePane="bottomRight" state="frozen"/>
      <selection pane="bottomLeft" activeCell="A12" sqref="A12"/>
      <selection pane="topRight" activeCell="E1" sqref="E1"/>
      <selection pane="bottomRight" activeCell="E14" sqref="E14"/>
    </sheetView>
  </sheetViews>
  <sheetFormatPr defaultColWidth="9.140625" customHeight="1" defaultRowHeight="14.25"/>
  <cols>
    <col min="1" max="2" style="265" width="9.140625" hidden="1"/>
    <col min="3" max="3" style="92" width="3.00390625" customWidth="1"/>
    <col min="4" max="4" style="265" width="6.00390625" customWidth="1"/>
    <col min="5" max="5" style="265" width="94.00390625" customWidth="1"/>
    <col min="6" max="9" style="265" width="8.00390625" customWidth="1"/>
    <col min="10" max="10" style="265" width="9.140625" hidden="1"/>
  </cols>
  <sheetData>
    <row customHeight="1" ht="14.25" hidden="1">
      <c r="J1" s="70" t="s">
        <v>14</v>
      </c>
    </row>
    <row customHeight="1" ht="14.25" hidden="1">
      <c r="J2" s="70">
        <v>0</v>
      </c>
    </row>
    <row customHeight="1" ht="14.25" hidden="1">
      <c r="J3" s="70">
        <v>0</v>
      </c>
    </row>
    <row customHeight="1" ht="14.25" hidden="1">
      <c r="J4" s="70">
        <v>0</v>
      </c>
    </row>
    <row customHeight="1" ht="14.25" hidden="1">
      <c r="J5" s="70">
        <v>0</v>
      </c>
    </row>
    <row customHeight="1" ht="3">
      <c r="C6" s="93"/>
      <c r="D6" s="71"/>
      <c r="E6" s="71"/>
      <c r="J6" s="70">
        <v>3</v>
      </c>
    </row>
    <row customHeight="1" ht="23.25">
      <c r="C7" s="93"/>
      <c r="D7" s="2498" t="s">
        <v>2027</v>
      </c>
      <c r="E7" s="2499"/>
      <c r="F7" s="268"/>
      <c r="J7" s="70">
        <v>22</v>
      </c>
    </row>
    <row customHeight="1" ht="3">
      <c r="C8" s="93"/>
      <c r="D8" s="71"/>
      <c r="E8" s="71"/>
      <c r="J8" s="70">
        <v>3</v>
      </c>
    </row>
    <row customHeight="1" ht="16.8">
      <c r="C9" s="93"/>
      <c r="D9" s="106" t="s">
        <v>92</v>
      </c>
      <c r="E9" s="261" t="s">
        <v>2028</v>
      </c>
      <c r="J9" s="70">
        <v>16</v>
      </c>
    </row>
    <row customHeight="1" ht="1.05">
      <c r="C10" s="93"/>
      <c r="D10" s="88"/>
      <c r="E10" s="88"/>
      <c r="J10" s="70">
        <v>1</v>
      </c>
    </row>
    <row customHeight="1" ht="11.25" hidden="1">
      <c r="C11" s="93"/>
      <c r="D11" s="151">
        <v>0</v>
      </c>
      <c r="E11" s="262"/>
      <c r="J11" s="70">
        <v>0</v>
      </c>
    </row>
    <row customHeight="1" ht="15.75">
      <c r="C12" s="137"/>
      <c r="D12" s="114">
        <v>1</v>
      </c>
      <c r="E12" s="378" t="s">
        <v>2029</v>
      </c>
      <c r="J12" s="70">
        <v>15</v>
      </c>
    </row>
    <row customHeight="1" ht="15">
      <c r="A13" s="265"/>
      <c r="B13" s="265"/>
      <c r="C13" s="684" t="s">
        <v>108</v>
      </c>
      <c r="D13" s="114" t="s">
        <v>107</v>
      </c>
      <c r="E13" s="378" t="s">
        <v>2030</v>
      </c>
      <c r="F13" s="265"/>
      <c r="G13" s="265"/>
      <c r="H13" s="265"/>
      <c r="I13" s="265"/>
      <c r="J13" s="265"/>
    </row>
    <row customHeight="1" ht="12.75">
      <c r="C14" s="93"/>
      <c r="D14" s="263"/>
      <c r="E14" s="264" t="s">
        <v>2031</v>
      </c>
      <c r="J14" s="70">
        <v>12</v>
      </c>
    </row>
    <row customHeight="1" ht="3">
      <c r="J15" s="70">
        <v>3</v>
      </c>
    </row>
    <row customHeight="1" ht="23.25">
      <c r="C16" s="138"/>
      <c r="D16" s="2500" t="s">
        <v>2032</v>
      </c>
      <c r="E16" s="2500"/>
      <c r="F16" s="139"/>
      <c r="G16" s="139"/>
      <c r="H16" s="139"/>
      <c r="I16" s="139"/>
      <c r="J16" s="70">
        <v>22</v>
      </c>
    </row>
    <row customHeight="1" ht="14.25" hidden="1">
      <c r="A17" s="70" t="s">
        <v>86</v>
      </c>
      <c r="B17" s="70">
        <v>0</v>
      </c>
      <c r="C17" s="92">
        <v>3</v>
      </c>
      <c r="D17" s="70">
        <v>6</v>
      </c>
      <c r="E17" s="70">
        <v>94</v>
      </c>
      <c r="F17" s="70">
        <v>8</v>
      </c>
      <c r="G17" s="70">
        <v>8</v>
      </c>
      <c r="H17" s="70">
        <v>8</v>
      </c>
      <c r="I17" s="70">
        <v>8</v>
      </c>
      <c r="J17" s="70">
        <v>14</v>
      </c>
    </row>
  </sheetData>
  <sheetProtection formatColumns="0" formatRows="0" sort="0" autoFilter="0" insertRows="0" insertColumns="1" deleteRows="0" deleteColumns="0"/>
  <mergeCells count="2">
    <mergeCell ref="D7:E7"/>
    <mergeCell ref="D16:E16"/>
  </mergeCells>
  <dataValidations count="2">
    <dataValidation type="textLength" operator="lessThanOrEqual" allowBlank="1" showInputMessage="1" showErrorMessage="1" errorTitle="Ошибка" error="Допускается ввод не более 900 символов!" sqref="E13">
      <formula1>900</formula1>
    </dataValidation>
    <dataValidation type="textLength" operator="lessThanOrEqual" allowBlank="1" showInputMessage="1" showErrorMessage="1" errorTitle="Ошибка" error="Допускается ввод не более 900 символов!" sqref="E11:E12">
      <formula1>900</formula1>
    </dataValidation>
  </dataValidations>
  <pageMargins left="0.75" right="0.75" top="1.00" bottom="1.00" header="0.50" footer="0.50"/>
  <pageSetup paperSize="9" scale="94" pageOrder="downThenOver" orientation="portrait"/>
  <headerFooter>
    <oddHeader>&amp;L&amp;C&amp;R</oddHeader>
    <oddFooter>&amp;L&amp;C&amp;R</oddFooter>
    <evenHeader>&amp;L&amp;C&amp;R</evenHeader>
    <evenFooter>&amp;L&amp;C&amp;R</evenFooter>
  </headerFooter>
</worksheet>
</file>

<file path=xl/worksheets/sheet5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ECD9F18-EFD8-3696-6218-3DACDAF2A1C2}" mc:Ignorable="x14ac xr xr2 xr3">
  <sheetPr>
    <tabColor rgb="FFCCCCFF"/>
    <pageSetUpPr fitToPage="1"/>
  </sheetPr>
  <dimension ref="A1:M13"/>
  <sheetViews>
    <sheetView topLeftCell="C6" showGridLines="0" zoomScale="90" workbookViewId="0">
      <selection activeCell="A1" sqref="A1"/>
    </sheetView>
  </sheetViews>
  <sheetFormatPr defaultColWidth="9.140625" customHeight="1" defaultRowHeight="14.25"/>
  <cols>
    <col min="1" max="2" style="265" width="9.140625" hidden="1"/>
    <col min="3" max="3" style="92" width="3.00390625" customWidth="1"/>
    <col min="4" max="4" style="265" width="6.00390625" customWidth="1"/>
    <col min="5" max="5" style="265" width="94.00390625" customWidth="1"/>
    <col min="6" max="12" style="265" width="8.00390625" customWidth="1"/>
    <col min="13" max="13" style="265" width="9.140625" hidden="1"/>
  </cols>
  <sheetData>
    <row customHeight="1" ht="14.25" hidden="1">
      <c r="L1" s="265"/>
      <c r="M1" s="70" t="s">
        <v>14</v>
      </c>
    </row>
    <row customHeight="1" ht="14.25" hidden="1">
      <c r="M2" s="70">
        <v>0</v>
      </c>
    </row>
    <row customHeight="1" ht="14.25" hidden="1">
      <c r="M3" s="70">
        <v>0</v>
      </c>
    </row>
    <row customHeight="1" ht="14.25" hidden="1">
      <c r="M4" s="70">
        <v>0</v>
      </c>
    </row>
    <row customHeight="1" ht="14.25" hidden="1">
      <c r="M5" s="70">
        <v>0</v>
      </c>
    </row>
    <row customHeight="1" ht="3">
      <c r="C6" s="93"/>
      <c r="D6" s="71"/>
      <c r="E6" s="71"/>
      <c r="M6" s="70">
        <v>3</v>
      </c>
    </row>
    <row customHeight="1" ht="23.25">
      <c r="C7" s="93"/>
      <c r="D7" s="2101" t="s">
        <v>2033</v>
      </c>
      <c r="E7" s="2101"/>
      <c r="F7" s="268"/>
      <c r="M7" s="70">
        <v>22</v>
      </c>
    </row>
    <row customHeight="1" ht="3">
      <c r="C8" s="93"/>
      <c r="D8" s="71"/>
      <c r="E8" s="71"/>
      <c r="M8" s="70">
        <v>3</v>
      </c>
    </row>
    <row customHeight="1" ht="16.8">
      <c r="C9" s="93"/>
      <c r="D9" s="106" t="s">
        <v>92</v>
      </c>
      <c r="E9" s="109" t="s">
        <v>417</v>
      </c>
      <c r="M9" s="70">
        <v>16</v>
      </c>
    </row>
    <row customHeight="1" ht="12.75">
      <c r="C10" s="93"/>
      <c r="D10" s="88" t="s">
        <v>123</v>
      </c>
      <c r="E10" s="88" t="s">
        <v>107</v>
      </c>
      <c r="M10" s="70">
        <v>12</v>
      </c>
    </row>
    <row customHeight="1" ht="15" hidden="1">
      <c r="C11" s="93"/>
      <c r="D11" s="114">
        <v>0</v>
      </c>
      <c r="E11" s="150"/>
      <c r="M11" s="70">
        <v>0</v>
      </c>
    </row>
    <row customHeight="1" ht="14.699999999999998">
      <c r="C12" s="93"/>
      <c r="D12" s="110"/>
      <c r="E12" s="108" t="s">
        <v>2031</v>
      </c>
      <c r="M12" s="70">
        <v>14</v>
      </c>
    </row>
    <row customHeight="1" ht="14.25" hidden="1">
      <c r="A13" s="70" t="s">
        <v>86</v>
      </c>
      <c r="B13" s="70">
        <v>0</v>
      </c>
      <c r="C13" s="92">
        <v>3</v>
      </c>
      <c r="D13" s="70">
        <v>6</v>
      </c>
      <c r="E13" s="70">
        <v>94</v>
      </c>
      <c r="F13" s="70">
        <v>8</v>
      </c>
      <c r="G13" s="70">
        <v>8</v>
      </c>
      <c r="H13" s="70">
        <v>8</v>
      </c>
      <c r="I13" s="70">
        <v>8</v>
      </c>
      <c r="J13" s="70">
        <v>8</v>
      </c>
      <c r="K13" s="70">
        <v>8</v>
      </c>
      <c r="L13" s="70">
        <v>8</v>
      </c>
      <c r="M13" s="70">
        <v>14</v>
      </c>
    </row>
  </sheetData>
  <sheetProtection formatColumns="0" formatRows="0" autoFilter="0" sort="0" insertRows="0" insertColumns="1" deleteRows="0" deleteColumns="0"/>
  <mergeCells count="1">
    <mergeCell ref="D7:E7"/>
  </mergeCells>
  <dataValidations count="1">
    <dataValidation type="textLength" operator="lessThanOrEqual" allowBlank="1" showInputMessage="1" showErrorMessage="1" errorTitle="Ошибка" error="Допускается ввод не более 900 символов!" sqref="E11">
      <formula1>900</formula1>
    </dataValidation>
  </dataValidations>
  <pageMargins left="0.75" right="0.75" top="1.00" bottom="1.00" header="0.50" footer="0.50"/>
  <pageSetup paperSize="9" scale="94" pageOrder="downThenOver" orientation="portrait"/>
  <headerFooter>
    <oddHeader>&amp;L&amp;C&amp;R</oddHeader>
    <oddFooter>&amp;L&amp;C&amp;R</oddFooter>
    <evenHeader>&amp;L&amp;C&amp;R</evenHeader>
    <evenFooter>&amp;L&amp;C&amp;R</evenFooter>
  </headerFooter>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C8820F8-E8F8-E972-A854-FDD829521CAD}" mc:Ignorable="x14ac xr xr2 xr3">
  <sheetPr>
    <tabColor rgb="FFCCCCFF"/>
  </sheetPr>
  <dimension ref="A1:BM50"/>
  <sheetViews>
    <sheetView showGridLines="0" zoomScale="90" workbookViewId="0">
      <pane xSplit="10" ySplit="10" topLeftCell="K11" activePane="bottomRight" state="frozen"/>
      <selection pane="bottomLeft" activeCell="A11" sqref="A11"/>
      <selection pane="topRight" activeCell="K1" sqref="K1"/>
      <selection pane="bottomRight" activeCell="A1" sqref="A1"/>
    </sheetView>
  </sheetViews>
  <sheetFormatPr defaultColWidth="9.140625" customHeight="1" defaultRowHeight="11.25"/>
  <cols>
    <col min="1" max="2" style="1851" width="9.140625" hidden="1"/>
    <col min="3" max="4" style="1851" width="3.00390625" customWidth="1"/>
    <col min="5" max="6" style="1851" width="15.00390625" customWidth="1"/>
    <col min="7" max="7" style="1851" width="11.57421875" customWidth="1"/>
    <col min="8" max="9" style="1851" width="3.00390625" customWidth="1"/>
    <col min="10" max="10" style="1851" width="12.00390625" customWidth="1"/>
    <col min="11" max="11" style="1851" width="0.28125" customWidth="1"/>
    <col min="12" max="13" style="1851" width="10.00390625" customWidth="1"/>
    <col min="14" max="15" style="1851" width="3.00390625" customWidth="1"/>
    <col min="16" max="16" style="1851" width="19.00390625" customWidth="1"/>
    <col min="17" max="17" style="1851" width="0.28125" customWidth="1"/>
    <col min="18" max="19" style="1851" width="10.00390625" customWidth="1"/>
    <col min="20" max="21" style="1851" width="3.00390625" customWidth="1"/>
    <col min="22" max="22" style="1851" width="25.00390625" customWidth="1"/>
    <col min="23" max="23" style="1851" width="0.28125" customWidth="1"/>
    <col min="24" max="25" style="1851" width="10.00390625" customWidth="1"/>
    <col min="26" max="27" style="1851" width="3.00390625" customWidth="1"/>
    <col min="28" max="28" style="1851" width="16.00390625" customWidth="1"/>
    <col min="29" max="29" style="1851" width="0.28125" customWidth="1"/>
    <col min="30" max="31" style="1851" width="10.00390625" customWidth="1"/>
    <col min="32" max="33" style="1851" width="3.00390625" customWidth="1"/>
    <col min="34" max="34" style="1851" width="8.00390625" customWidth="1"/>
    <col min="35" max="35" style="1851" width="21.00390625" customWidth="1"/>
    <col min="36" max="36" style="1851" width="8.00390625" customWidth="1"/>
    <col min="37" max="37" style="359" width="8.00390625" customWidth="1"/>
    <col min="38" max="64" style="1851" width="8.00390625" customWidth="1"/>
    <col min="65" max="65" style="1851" width="9.140625" hidden="1"/>
  </cols>
  <sheetData>
    <row s="1317" customFormat="1" customHeight="1" ht="11.25" hidden="1">
      <c r="AJ1" s="423"/>
      <c r="AK1" s="423"/>
      <c r="AL1" s="423"/>
      <c r="AM1" s="423"/>
      <c r="AN1" s="423"/>
      <c r="AO1" s="423"/>
      <c r="AP1" s="423"/>
      <c r="AQ1" s="423"/>
      <c r="AR1" s="423"/>
      <c r="AS1" s="423"/>
      <c r="AT1" s="423"/>
      <c r="AU1" s="423"/>
      <c r="AV1" s="423"/>
      <c r="AW1" s="423"/>
      <c r="AX1" s="423"/>
      <c r="AY1" s="423"/>
      <c r="AZ1" s="423"/>
      <c r="BA1" s="423"/>
      <c r="BB1" s="423"/>
      <c r="BC1" s="423"/>
      <c r="BD1" s="423"/>
      <c r="BE1" s="423"/>
      <c r="BF1" s="423"/>
      <c r="BG1" s="423"/>
      <c r="BH1" s="423"/>
      <c r="BI1" s="423"/>
      <c r="BJ1" s="423"/>
      <c r="BK1" s="423"/>
      <c r="BL1" s="423"/>
      <c r="BM1" s="420" t="s">
        <v>14</v>
      </c>
    </row>
    <row s="1554" customFormat="1" customHeight="1" ht="11.25" hidden="1">
      <c r="L2" s="1554" t="s">
        <v>409</v>
      </c>
      <c r="M2" s="1554" t="s">
        <v>410</v>
      </c>
      <c r="R2" s="1554" t="s">
        <v>411</v>
      </c>
      <c r="S2" s="1554" t="s">
        <v>410</v>
      </c>
      <c r="X2" s="1554" t="s">
        <v>409</v>
      </c>
      <c r="Y2" s="1554" t="s">
        <v>410</v>
      </c>
      <c r="AD2" s="1554" t="s">
        <v>409</v>
      </c>
      <c r="AE2" s="1554" t="s">
        <v>410</v>
      </c>
      <c r="AJ2" s="1576"/>
      <c r="AK2" s="1576"/>
      <c r="AL2" s="1576"/>
      <c r="AM2" s="1576"/>
      <c r="AN2" s="1576"/>
      <c r="AO2" s="1576"/>
      <c r="AP2" s="1576"/>
      <c r="AQ2" s="1576"/>
      <c r="AR2" s="1576"/>
      <c r="AS2" s="1576"/>
      <c r="AT2" s="1576"/>
      <c r="AU2" s="1576"/>
      <c r="AV2" s="1576"/>
      <c r="AW2" s="1576"/>
      <c r="AX2" s="1576"/>
      <c r="AY2" s="1576"/>
      <c r="AZ2" s="1576"/>
      <c r="BA2" s="1576"/>
      <c r="BB2" s="1576"/>
      <c r="BC2" s="1576"/>
      <c r="BD2" s="1576"/>
      <c r="BE2" s="1576"/>
      <c r="BF2" s="1576"/>
      <c r="BG2" s="1576"/>
      <c r="BH2" s="1576"/>
      <c r="BI2" s="1576"/>
      <c r="BJ2" s="1576"/>
      <c r="BK2" s="1576"/>
      <c r="BL2" s="1576"/>
      <c r="BM2" s="1554">
        <v>0</v>
      </c>
    </row>
    <row s="1555" customFormat="1" customHeight="1" ht="11.549999999999999">
      <c r="AJ3" s="1575"/>
      <c r="AK3" s="307"/>
      <c r="AL3" s="1575"/>
      <c r="AM3" s="1575"/>
      <c r="AN3" s="1575"/>
      <c r="AO3" s="1575"/>
      <c r="AP3" s="1575"/>
      <c r="AQ3" s="1575"/>
      <c r="AR3" s="1575"/>
      <c r="AS3" s="1575"/>
      <c r="AT3" s="1575"/>
      <c r="AU3" s="1575"/>
      <c r="AV3" s="1575"/>
      <c r="AW3" s="1575"/>
      <c r="AX3" s="1575"/>
      <c r="AY3" s="1575"/>
      <c r="AZ3" s="1575"/>
      <c r="BA3" s="1575"/>
      <c r="BB3" s="1575"/>
      <c r="BC3" s="1575"/>
      <c r="BD3" s="1575"/>
      <c r="BE3" s="1575"/>
      <c r="BF3" s="1575"/>
      <c r="BG3" s="1575"/>
      <c r="BH3" s="1575"/>
      <c r="BI3" s="1575"/>
      <c r="BJ3" s="1575"/>
      <c r="BK3" s="1575"/>
      <c r="BL3" s="1575"/>
      <c r="BM3" s="1555">
        <v>11</v>
      </c>
    </row>
    <row s="1820" customFormat="1" customHeight="1" ht="34.5">
      <c r="A4" s="1157"/>
      <c r="B4" s="1156"/>
      <c r="C4" s="1516"/>
      <c r="D4" s="2192" t="s">
        <v>412</v>
      </c>
      <c r="E4" s="2192"/>
      <c r="F4" s="2192"/>
      <c r="G4" s="2192"/>
      <c r="H4" s="2192"/>
      <c r="I4" s="2192"/>
      <c r="J4" s="2192"/>
      <c r="K4" s="700"/>
      <c r="T4" s="1556"/>
      <c r="AJ4" s="1577"/>
      <c r="AK4" s="1578"/>
      <c r="AL4" s="1577"/>
      <c r="AM4" s="1577"/>
      <c r="AN4" s="1577"/>
      <c r="AO4" s="1577"/>
      <c r="AP4" s="1577"/>
      <c r="AQ4" s="1577"/>
      <c r="AR4" s="1577"/>
      <c r="AS4" s="1577"/>
      <c r="AT4" s="1577"/>
      <c r="AU4" s="1577"/>
      <c r="AV4" s="1577"/>
      <c r="AW4" s="1577"/>
      <c r="AX4" s="1577"/>
      <c r="AY4" s="1577"/>
      <c r="AZ4" s="1577"/>
      <c r="BA4" s="1577"/>
      <c r="BB4" s="1577"/>
      <c r="BC4" s="1577"/>
      <c r="BD4" s="1577"/>
      <c r="BE4" s="1577"/>
      <c r="BF4" s="1577"/>
      <c r="BG4" s="1577"/>
      <c r="BH4" s="1577"/>
      <c r="BI4" s="1577"/>
      <c r="BJ4" s="1577"/>
      <c r="BK4" s="1577"/>
      <c r="BL4" s="1577"/>
      <c r="BM4" s="508">
        <v>33</v>
      </c>
    </row>
    <row s="1820" customFormat="1" customHeight="1" ht="14.699999999999998">
      <c r="A5" s="1633"/>
      <c r="B5" s="1632"/>
      <c r="C5" s="1516"/>
      <c r="D5" s="2177" t="str">
        <f>IF(org=0,"Не определено",org)</f>
        <v>ПАО "ТГК-1" (филиал "Кольский")</v>
      </c>
      <c r="E5" s="2177"/>
      <c r="F5" s="2177"/>
      <c r="G5" s="2177"/>
      <c r="H5" s="2177"/>
      <c r="I5" s="2177"/>
      <c r="J5" s="2177"/>
      <c r="K5" s="700"/>
      <c r="T5" s="1556"/>
      <c r="AJ5" s="1577"/>
      <c r="AK5" s="1578"/>
      <c r="AL5" s="1577"/>
      <c r="AM5" s="1577"/>
      <c r="AN5" s="1577"/>
      <c r="AO5" s="1577"/>
      <c r="AP5" s="1577"/>
      <c r="AQ5" s="1577"/>
      <c r="AR5" s="1577"/>
      <c r="AS5" s="1577"/>
      <c r="AT5" s="1577"/>
      <c r="AU5" s="1577"/>
      <c r="AV5" s="1577"/>
      <c r="AW5" s="1577"/>
      <c r="AX5" s="1577"/>
      <c r="AY5" s="1577"/>
      <c r="AZ5" s="1577"/>
      <c r="BA5" s="1577"/>
      <c r="BB5" s="1577"/>
      <c r="BC5" s="1577"/>
      <c r="BD5" s="1577"/>
      <c r="BE5" s="1577"/>
      <c r="BF5" s="1577"/>
      <c r="BG5" s="1577"/>
      <c r="BH5" s="1577"/>
      <c r="BI5" s="1577"/>
      <c r="BJ5" s="1577"/>
      <c r="BK5" s="1577"/>
      <c r="BL5" s="1577"/>
      <c r="BM5" s="1610">
        <v>14</v>
      </c>
    </row>
    <row s="1820" customFormat="1" customHeight="1" ht="14.699999999999998">
      <c r="A6" s="1157"/>
      <c r="B6" s="1156"/>
      <c r="C6" s="1516"/>
      <c r="D6" s="700"/>
      <c r="E6" s="700"/>
      <c r="F6" s="700"/>
      <c r="G6" s="700"/>
      <c r="H6" s="700"/>
      <c r="I6" s="700"/>
      <c r="J6" s="700"/>
      <c r="K6" s="700"/>
      <c r="T6" s="1556"/>
      <c r="AJ6" s="1577"/>
      <c r="AK6" s="1578"/>
      <c r="AL6" s="1577"/>
      <c r="AM6" s="1577"/>
      <c r="AN6" s="1577"/>
      <c r="AO6" s="1577"/>
      <c r="AP6" s="1577"/>
      <c r="AQ6" s="1577"/>
      <c r="AR6" s="1577"/>
      <c r="AS6" s="1577"/>
      <c r="AT6" s="1577"/>
      <c r="AU6" s="1577"/>
      <c r="AV6" s="1577"/>
      <c r="AW6" s="1577"/>
      <c r="AX6" s="1577"/>
      <c r="AY6" s="1577"/>
      <c r="AZ6" s="1577"/>
      <c r="BA6" s="1577"/>
      <c r="BB6" s="1577"/>
      <c r="BC6" s="1577"/>
      <c r="BD6" s="1577"/>
      <c r="BE6" s="1577"/>
      <c r="BF6" s="1577"/>
      <c r="BG6" s="1577"/>
      <c r="BH6" s="1577"/>
      <c r="BI6" s="1577"/>
      <c r="BJ6" s="1577"/>
      <c r="BK6" s="1577"/>
      <c r="BL6" s="1577"/>
      <c r="BM6" s="508">
        <v>14</v>
      </c>
    </row>
    <row s="1317" customFormat="1" customHeight="1" ht="1.05">
      <c r="AJ7" s="423"/>
      <c r="AK7" s="423"/>
      <c r="AL7" s="423"/>
      <c r="AM7" s="423"/>
      <c r="AN7" s="423"/>
      <c r="AO7" s="423"/>
      <c r="AP7" s="423"/>
      <c r="AQ7" s="423"/>
      <c r="AR7" s="423"/>
      <c r="AS7" s="423"/>
      <c r="AT7" s="423"/>
      <c r="AU7" s="423"/>
      <c r="AV7" s="423"/>
      <c r="AW7" s="423"/>
      <c r="AX7" s="423"/>
      <c r="AY7" s="423"/>
      <c r="AZ7" s="423"/>
      <c r="BA7" s="423"/>
      <c r="BB7" s="423"/>
      <c r="BC7" s="423"/>
      <c r="BD7" s="423"/>
      <c r="BE7" s="423"/>
      <c r="BF7" s="423"/>
      <c r="BG7" s="423"/>
      <c r="BH7" s="423"/>
      <c r="BI7" s="423"/>
      <c r="BJ7" s="423"/>
      <c r="BK7" s="423"/>
      <c r="BL7" s="423"/>
      <c r="BM7" s="420">
        <v>1</v>
      </c>
    </row>
    <row customHeight="1" ht="33.75">
      <c r="D8" s="2128" t="s">
        <v>92</v>
      </c>
      <c r="E8" s="2128" t="s">
        <v>119</v>
      </c>
      <c r="F8" s="2193" t="s">
        <v>135</v>
      </c>
      <c r="G8" s="2194"/>
      <c r="H8" s="2193" t="s">
        <v>92</v>
      </c>
      <c r="I8" s="2194"/>
      <c r="J8" s="2128" t="s">
        <v>136</v>
      </c>
      <c r="K8" s="1557"/>
      <c r="L8" s="2197" t="s">
        <v>413</v>
      </c>
      <c r="M8" s="2197"/>
      <c r="N8" s="2197"/>
      <c r="O8" s="2197"/>
      <c r="P8" s="2197"/>
      <c r="Q8" s="1558"/>
      <c r="R8" s="2097" t="s">
        <v>414</v>
      </c>
      <c r="S8" s="2198"/>
      <c r="T8" s="2198"/>
      <c r="U8" s="2198"/>
      <c r="V8" s="2198"/>
      <c r="W8" s="1558"/>
      <c r="X8" s="2199" t="s">
        <v>415</v>
      </c>
      <c r="Y8" s="2199"/>
      <c r="Z8" s="2199"/>
      <c r="AA8" s="2199"/>
      <c r="AB8" s="2199"/>
      <c r="AC8" s="1559"/>
      <c r="AD8" s="2128" t="s">
        <v>416</v>
      </c>
      <c r="AE8" s="2128"/>
      <c r="AF8" s="2128"/>
      <c r="AG8" s="2128"/>
      <c r="AH8" s="2102"/>
      <c r="AI8" s="2128" t="s">
        <v>417</v>
      </c>
      <c r="AJ8" s="1575"/>
      <c r="BM8" s="294">
        <v>32</v>
      </c>
    </row>
    <row customHeight="1" ht="23.25">
      <c r="D9" s="2128"/>
      <c r="E9" s="2128"/>
      <c r="F9" s="2176" t="s">
        <v>93</v>
      </c>
      <c r="G9" s="2176" t="s">
        <v>141</v>
      </c>
      <c r="H9" s="2195"/>
      <c r="I9" s="2196"/>
      <c r="J9" s="2102"/>
      <c r="K9" s="1560"/>
      <c r="L9" s="2128" t="s">
        <v>418</v>
      </c>
      <c r="M9" s="2102"/>
      <c r="N9" s="2193" t="s">
        <v>92</v>
      </c>
      <c r="O9" s="2194"/>
      <c r="P9" s="2128" t="s">
        <v>142</v>
      </c>
      <c r="Q9" s="1557"/>
      <c r="R9" s="2128" t="s">
        <v>418</v>
      </c>
      <c r="S9" s="2102"/>
      <c r="T9" s="2193" t="s">
        <v>92</v>
      </c>
      <c r="U9" s="2194"/>
      <c r="V9" s="2128" t="s">
        <v>142</v>
      </c>
      <c r="W9" s="1557"/>
      <c r="X9" s="2128" t="s">
        <v>418</v>
      </c>
      <c r="Y9" s="2102"/>
      <c r="Z9" s="2193" t="s">
        <v>92</v>
      </c>
      <c r="AA9" s="2194"/>
      <c r="AB9" s="2128" t="s">
        <v>419</v>
      </c>
      <c r="AC9" s="1557"/>
      <c r="AD9" s="2128" t="s">
        <v>418</v>
      </c>
      <c r="AE9" s="2102"/>
      <c r="AF9" s="2193" t="s">
        <v>92</v>
      </c>
      <c r="AG9" s="2194"/>
      <c r="AH9" s="2102" t="s">
        <v>419</v>
      </c>
      <c r="AI9" s="2128"/>
      <c r="AJ9" s="1575"/>
      <c r="BM9" s="294">
        <v>22</v>
      </c>
    </row>
    <row customHeight="1" ht="24">
      <c r="D10" s="2176"/>
      <c r="E10" s="2176"/>
      <c r="F10" s="2200"/>
      <c r="G10" s="2200"/>
      <c r="H10" s="2201"/>
      <c r="I10" s="2202"/>
      <c r="J10" s="2193"/>
      <c r="K10" s="1560"/>
      <c r="L10" s="1579" t="s">
        <v>420</v>
      </c>
      <c r="M10" s="1574" t="s">
        <v>421</v>
      </c>
      <c r="N10" s="2195"/>
      <c r="O10" s="2196"/>
      <c r="P10" s="2176"/>
      <c r="Q10" s="1557"/>
      <c r="R10" s="1579" t="s">
        <v>420</v>
      </c>
      <c r="S10" s="1574" t="s">
        <v>421</v>
      </c>
      <c r="T10" s="2195"/>
      <c r="U10" s="2196"/>
      <c r="V10" s="2176"/>
      <c r="W10" s="1557"/>
      <c r="X10" s="1579" t="s">
        <v>420</v>
      </c>
      <c r="Y10" s="1574" t="s">
        <v>421</v>
      </c>
      <c r="Z10" s="2195"/>
      <c r="AA10" s="2196"/>
      <c r="AB10" s="2176"/>
      <c r="AC10" s="1557"/>
      <c r="AD10" s="1579" t="s">
        <v>420</v>
      </c>
      <c r="AE10" s="1574" t="s">
        <v>421</v>
      </c>
      <c r="AF10" s="2195"/>
      <c r="AG10" s="2196"/>
      <c r="AH10" s="2193"/>
      <c r="AI10" s="2176"/>
      <c r="AJ10" s="1575"/>
      <c r="AK10" s="255" t="s">
        <v>422</v>
      </c>
      <c r="AL10" s="255" t="s">
        <v>143</v>
      </c>
      <c r="BM10" s="294">
        <v>23</v>
      </c>
    </row>
    <row customHeight="1" ht="15">
      <c r="D11" s="2184" t="s">
        <v>123</v>
      </c>
      <c r="E11" s="2180" t="s">
        <v>423</v>
      </c>
      <c r="F11" s="2180" t="s">
        <v>424</v>
      </c>
      <c r="G11" s="2186" t="s">
        <v>19</v>
      </c>
      <c r="H11" s="1600"/>
      <c r="I11" s="2182"/>
      <c r="J11" s="2153"/>
      <c r="K11" s="1515"/>
      <c r="L11" s="2138"/>
      <c r="M11" s="2138"/>
      <c r="N11" s="1585"/>
      <c r="O11" s="2138"/>
      <c r="P11" s="2153"/>
      <c r="Q11" s="1586"/>
      <c r="R11" s="2138"/>
      <c r="S11" s="2138"/>
      <c r="T11" s="1587"/>
      <c r="U11" s="2138"/>
      <c r="V11" s="2153"/>
      <c r="W11" s="1588"/>
      <c r="X11" s="2138"/>
      <c r="Y11" s="2138"/>
      <c r="Z11" s="1585"/>
      <c r="AA11" s="2138"/>
      <c r="AB11" s="2153"/>
      <c r="AC11" s="1589"/>
      <c r="AD11" s="2138"/>
      <c r="AE11" s="2138"/>
      <c r="AF11" s="1514"/>
      <c r="AG11" s="1514"/>
      <c r="AH11" s="1590"/>
      <c r="AI11" s="1297"/>
      <c r="AJ11" s="1575"/>
      <c r="BM11" s="294">
        <v>14</v>
      </c>
    </row>
    <row customHeight="1" ht="14.699999999999998">
      <c r="D12" s="2184"/>
      <c r="E12" s="2180"/>
      <c r="F12" s="2180"/>
      <c r="G12" s="2187"/>
      <c r="H12" s="1601"/>
      <c r="I12" s="2183"/>
      <c r="J12" s="2154"/>
      <c r="K12" s="1611"/>
      <c r="L12" s="2139"/>
      <c r="M12" s="2139"/>
      <c r="N12" s="1591"/>
      <c r="O12" s="2139"/>
      <c r="P12" s="2154"/>
      <c r="Q12" s="1592"/>
      <c r="R12" s="2139"/>
      <c r="S12" s="2139"/>
      <c r="T12" s="1593"/>
      <c r="U12" s="2139"/>
      <c r="V12" s="2154"/>
      <c r="W12" s="1594"/>
      <c r="X12" s="2139"/>
      <c r="Y12" s="2139"/>
      <c r="Z12" s="1591"/>
      <c r="AA12" s="2139"/>
      <c r="AB12" s="2154"/>
      <c r="AC12" s="1595"/>
      <c r="AD12" s="2139"/>
      <c r="AE12" s="2139"/>
      <c r="AF12" s="1596"/>
      <c r="AG12" s="1596"/>
      <c r="AH12" s="2178"/>
      <c r="AI12" s="2179"/>
      <c r="AJ12" s="1575"/>
      <c r="BM12" s="294">
        <v>14</v>
      </c>
    </row>
    <row customHeight="1" ht="14.699999999999998">
      <c r="D13" s="2184"/>
      <c r="E13" s="2180"/>
      <c r="F13" s="2180"/>
      <c r="G13" s="2187"/>
      <c r="H13" s="1601"/>
      <c r="I13" s="2183"/>
      <c r="J13" s="2154"/>
      <c r="K13" s="1611"/>
      <c r="L13" s="2139"/>
      <c r="M13" s="2139"/>
      <c r="N13" s="1591"/>
      <c r="O13" s="2139"/>
      <c r="P13" s="2154"/>
      <c r="Q13" s="1592"/>
      <c r="R13" s="2139"/>
      <c r="S13" s="2139"/>
      <c r="T13" s="1593"/>
      <c r="U13" s="2139"/>
      <c r="V13" s="2154"/>
      <c r="W13" s="1594"/>
      <c r="X13" s="2139"/>
      <c r="Y13" s="2139"/>
      <c r="Z13" s="1513"/>
      <c r="AA13" s="1596"/>
      <c r="AB13" s="2178"/>
      <c r="AC13" s="2178"/>
      <c r="AD13" s="2178"/>
      <c r="AE13" s="2178"/>
      <c r="AF13" s="2178"/>
      <c r="AG13" s="2178"/>
      <c r="AH13" s="2178"/>
      <c r="AI13" s="2179"/>
      <c r="AJ13" s="1575"/>
      <c r="BM13" s="294">
        <v>14</v>
      </c>
    </row>
    <row customHeight="1" ht="14.699999999999998">
      <c r="D14" s="2184"/>
      <c r="E14" s="2180"/>
      <c r="F14" s="2180"/>
      <c r="G14" s="2187"/>
      <c r="H14" s="1601"/>
      <c r="I14" s="2183"/>
      <c r="J14" s="2154"/>
      <c r="K14" s="1611"/>
      <c r="L14" s="2139"/>
      <c r="M14" s="2139"/>
      <c r="N14" s="1591"/>
      <c r="O14" s="2139"/>
      <c r="P14" s="2154"/>
      <c r="Q14" s="1592"/>
      <c r="R14" s="2139"/>
      <c r="S14" s="2139"/>
      <c r="T14" s="1597"/>
      <c r="U14" s="1598"/>
      <c r="V14" s="2178"/>
      <c r="W14" s="2178"/>
      <c r="X14" s="2178"/>
      <c r="Y14" s="2178"/>
      <c r="Z14" s="2178"/>
      <c r="AA14" s="2178"/>
      <c r="AB14" s="2178"/>
      <c r="AC14" s="2178"/>
      <c r="AD14" s="2178"/>
      <c r="AE14" s="2178"/>
      <c r="AF14" s="2178"/>
      <c r="AG14" s="2178"/>
      <c r="AH14" s="2178"/>
      <c r="AI14" s="2179"/>
      <c r="AJ14" s="1575"/>
      <c r="BM14" s="294">
        <v>14</v>
      </c>
    </row>
    <row customHeight="1" ht="11.549999999999999">
      <c r="D15" s="2184"/>
      <c r="E15" s="2180"/>
      <c r="F15" s="2180"/>
      <c r="G15" s="2187"/>
      <c r="H15" s="1602"/>
      <c r="I15" s="2183"/>
      <c r="J15" s="2154"/>
      <c r="K15" s="1611"/>
      <c r="L15" s="2139"/>
      <c r="M15" s="2139"/>
      <c r="N15" s="1596"/>
      <c r="O15" s="1596"/>
      <c r="P15" s="2178"/>
      <c r="Q15" s="2178"/>
      <c r="R15" s="2178"/>
      <c r="S15" s="2178"/>
      <c r="T15" s="2178"/>
      <c r="U15" s="2178"/>
      <c r="V15" s="2178"/>
      <c r="W15" s="2178"/>
      <c r="X15" s="2178"/>
      <c r="Y15" s="2178"/>
      <c r="Z15" s="2178"/>
      <c r="AA15" s="2178"/>
      <c r="AB15" s="2178"/>
      <c r="AC15" s="2178"/>
      <c r="AD15" s="2178"/>
      <c r="AE15" s="2178"/>
      <c r="AF15" s="2178"/>
      <c r="AG15" s="2178"/>
      <c r="AH15" s="2178"/>
      <c r="AI15" s="2179"/>
      <c r="AJ15" s="1575"/>
      <c r="BM15" s="294">
        <v>11</v>
      </c>
    </row>
    <row s="1555" customFormat="1" customHeight="1" ht="11.549999999999999">
      <c r="D16" s="2190"/>
      <c r="E16" s="2191"/>
      <c r="F16" s="2181"/>
      <c r="G16" s="2113"/>
      <c r="H16" s="1599"/>
      <c r="I16" s="1603"/>
      <c r="J16" s="2188"/>
      <c r="K16" s="2188"/>
      <c r="L16" s="2188"/>
      <c r="M16" s="2188"/>
      <c r="N16" s="2188"/>
      <c r="O16" s="2188"/>
      <c r="P16" s="2188"/>
      <c r="Q16" s="2188"/>
      <c r="R16" s="2188"/>
      <c r="S16" s="2188"/>
      <c r="T16" s="2188"/>
      <c r="U16" s="2188"/>
      <c r="V16" s="2188"/>
      <c r="W16" s="2188"/>
      <c r="X16" s="2188"/>
      <c r="Y16" s="2188"/>
      <c r="Z16" s="2188"/>
      <c r="AA16" s="2188"/>
      <c r="AB16" s="2188"/>
      <c r="AC16" s="2188"/>
      <c r="AD16" s="2188"/>
      <c r="AE16" s="2188"/>
      <c r="AF16" s="2188"/>
      <c r="AG16" s="2188"/>
      <c r="AH16" s="2188"/>
      <c r="AI16" s="2189"/>
      <c r="AJ16" s="1575"/>
      <c r="AK16" s="307"/>
      <c r="AL16" s="1575"/>
      <c r="AM16" s="1575"/>
      <c r="AN16" s="1575"/>
      <c r="AO16" s="1575"/>
      <c r="AP16" s="1575"/>
      <c r="AQ16" s="1575"/>
      <c r="AR16" s="1575"/>
      <c r="AS16" s="1575"/>
      <c r="AT16" s="1575"/>
      <c r="AU16" s="1575"/>
      <c r="AV16" s="1575"/>
      <c r="AW16" s="1575"/>
      <c r="AX16" s="1575"/>
      <c r="AY16" s="1575"/>
      <c r="AZ16" s="1575"/>
      <c r="BA16" s="1575"/>
      <c r="BB16" s="1575"/>
      <c r="BC16" s="1575"/>
      <c r="BD16" s="1575"/>
      <c r="BE16" s="1575"/>
      <c r="BF16" s="1575"/>
      <c r="BG16" s="1575"/>
      <c r="BH16" s="1575"/>
      <c r="BI16" s="1575"/>
      <c r="BJ16" s="1575"/>
      <c r="BK16" s="1575"/>
      <c r="BL16" s="1575"/>
      <c r="BM16" s="1555">
        <v>11</v>
      </c>
    </row>
    <row customHeight="1" ht="15">
      <c r="D17" s="2184" t="s">
        <v>107</v>
      </c>
      <c r="E17" s="2180" t="s">
        <v>423</v>
      </c>
      <c r="F17" s="2180" t="s">
        <v>425</v>
      </c>
      <c r="G17" s="2186" t="s">
        <v>19</v>
      </c>
      <c r="H17" s="1600"/>
      <c r="I17" s="2182"/>
      <c r="J17" s="2153"/>
      <c r="K17" s="1515"/>
      <c r="L17" s="2138"/>
      <c r="M17" s="2138"/>
      <c r="N17" s="1585"/>
      <c r="O17" s="2138"/>
      <c r="P17" s="2153"/>
      <c r="Q17" s="1586"/>
      <c r="R17" s="2138"/>
      <c r="S17" s="2138"/>
      <c r="T17" s="1587"/>
      <c r="U17" s="2138"/>
      <c r="V17" s="2153"/>
      <c r="W17" s="1588"/>
      <c r="X17" s="2138"/>
      <c r="Y17" s="2138"/>
      <c r="Z17" s="1585"/>
      <c r="AA17" s="2138"/>
      <c r="AB17" s="2153"/>
      <c r="AC17" s="1589"/>
      <c r="AD17" s="2138"/>
      <c r="AE17" s="2138"/>
      <c r="AF17" s="1514"/>
      <c r="AG17" s="1514"/>
      <c r="AH17" s="1590"/>
      <c r="AI17" s="1297"/>
      <c r="AJ17" s="1575"/>
      <c r="BM17" s="294">
        <v>14</v>
      </c>
    </row>
    <row customHeight="1" ht="14.699999999999998">
      <c r="D18" s="2184"/>
      <c r="E18" s="2180"/>
      <c r="F18" s="2180"/>
      <c r="G18" s="2187"/>
      <c r="H18" s="1601"/>
      <c r="I18" s="2183"/>
      <c r="J18" s="2154"/>
      <c r="K18" s="1584"/>
      <c r="L18" s="2139"/>
      <c r="M18" s="2139"/>
      <c r="N18" s="1591"/>
      <c r="O18" s="2139"/>
      <c r="P18" s="2154"/>
      <c r="Q18" s="1592"/>
      <c r="R18" s="2139"/>
      <c r="S18" s="2139"/>
      <c r="T18" s="1593"/>
      <c r="U18" s="2139"/>
      <c r="V18" s="2154"/>
      <c r="W18" s="1594"/>
      <c r="X18" s="2139"/>
      <c r="Y18" s="2139"/>
      <c r="Z18" s="1591"/>
      <c r="AA18" s="2139"/>
      <c r="AB18" s="2154"/>
      <c r="AC18" s="1595"/>
      <c r="AD18" s="2139"/>
      <c r="AE18" s="2139"/>
      <c r="AF18" s="1596"/>
      <c r="AG18" s="1596"/>
      <c r="AH18" s="2178"/>
      <c r="AI18" s="2179"/>
      <c r="AJ18" s="1575"/>
      <c r="BM18" s="294">
        <v>14</v>
      </c>
    </row>
    <row customHeight="1" ht="14.699999999999998">
      <c r="D19" s="2184"/>
      <c r="E19" s="2180"/>
      <c r="F19" s="2180"/>
      <c r="G19" s="2187"/>
      <c r="H19" s="1601"/>
      <c r="I19" s="2183"/>
      <c r="J19" s="2154"/>
      <c r="K19" s="1584"/>
      <c r="L19" s="2139"/>
      <c r="M19" s="2139"/>
      <c r="N19" s="1591"/>
      <c r="O19" s="2139"/>
      <c r="P19" s="2154"/>
      <c r="Q19" s="1592"/>
      <c r="R19" s="2139"/>
      <c r="S19" s="2139"/>
      <c r="T19" s="1593"/>
      <c r="U19" s="2139"/>
      <c r="V19" s="2154"/>
      <c r="W19" s="1594"/>
      <c r="X19" s="2139"/>
      <c r="Y19" s="2139"/>
      <c r="Z19" s="1513"/>
      <c r="AA19" s="1596"/>
      <c r="AB19" s="2178"/>
      <c r="AC19" s="2178"/>
      <c r="AD19" s="2178"/>
      <c r="AE19" s="2178"/>
      <c r="AF19" s="2178"/>
      <c r="AG19" s="2178"/>
      <c r="AH19" s="2178"/>
      <c r="AI19" s="2179"/>
      <c r="AJ19" s="1575"/>
      <c r="BM19" s="294">
        <v>14</v>
      </c>
    </row>
    <row customHeight="1" ht="14.699999999999998">
      <c r="D20" s="2184"/>
      <c r="E20" s="2180"/>
      <c r="F20" s="2180"/>
      <c r="G20" s="2187"/>
      <c r="H20" s="1601"/>
      <c r="I20" s="2183"/>
      <c r="J20" s="2154"/>
      <c r="K20" s="1584"/>
      <c r="L20" s="2139"/>
      <c r="M20" s="2139"/>
      <c r="N20" s="1591"/>
      <c r="O20" s="2139"/>
      <c r="P20" s="2154"/>
      <c r="Q20" s="1592"/>
      <c r="R20" s="2139"/>
      <c r="S20" s="2139"/>
      <c r="T20" s="1597"/>
      <c r="U20" s="1598"/>
      <c r="V20" s="2178"/>
      <c r="W20" s="2178"/>
      <c r="X20" s="2178"/>
      <c r="Y20" s="2178"/>
      <c r="Z20" s="2178"/>
      <c r="AA20" s="2178"/>
      <c r="AB20" s="2178"/>
      <c r="AC20" s="2178"/>
      <c r="AD20" s="2178"/>
      <c r="AE20" s="2178"/>
      <c r="AF20" s="2178"/>
      <c r="AG20" s="2178"/>
      <c r="AH20" s="2178"/>
      <c r="AI20" s="2179"/>
      <c r="AJ20" s="1575"/>
      <c r="BM20" s="294">
        <v>14</v>
      </c>
    </row>
    <row customHeight="1" ht="11.549999999999999">
      <c r="D21" s="2184"/>
      <c r="E21" s="2180"/>
      <c r="F21" s="2180"/>
      <c r="G21" s="2187"/>
      <c r="H21" s="1602"/>
      <c r="I21" s="2183"/>
      <c r="J21" s="2154"/>
      <c r="K21" s="1584"/>
      <c r="L21" s="2139"/>
      <c r="M21" s="2139"/>
      <c r="N21" s="1596"/>
      <c r="O21" s="1596"/>
      <c r="P21" s="2178"/>
      <c r="Q21" s="2178"/>
      <c r="R21" s="2178"/>
      <c r="S21" s="2178"/>
      <c r="T21" s="2178"/>
      <c r="U21" s="2178"/>
      <c r="V21" s="2178"/>
      <c r="W21" s="2178"/>
      <c r="X21" s="2178"/>
      <c r="Y21" s="2178"/>
      <c r="Z21" s="2178"/>
      <c r="AA21" s="2178"/>
      <c r="AB21" s="2178"/>
      <c r="AC21" s="2178"/>
      <c r="AD21" s="2178"/>
      <c r="AE21" s="2178"/>
      <c r="AF21" s="2178"/>
      <c r="AG21" s="2178"/>
      <c r="AH21" s="2178"/>
      <c r="AI21" s="2179"/>
      <c r="AJ21" s="1575"/>
      <c r="BM21" s="294">
        <v>11</v>
      </c>
    </row>
    <row s="1555" customFormat="1" customHeight="1" ht="11.549999999999999">
      <c r="D22" s="2190"/>
      <c r="E22" s="2191"/>
      <c r="F22" s="2181"/>
      <c r="G22" s="2113"/>
      <c r="H22" s="1599"/>
      <c r="I22" s="1603"/>
      <c r="J22" s="2188"/>
      <c r="K22" s="2188"/>
      <c r="L22" s="2188"/>
      <c r="M22" s="2188"/>
      <c r="N22" s="2188"/>
      <c r="O22" s="2188"/>
      <c r="P22" s="2188"/>
      <c r="Q22" s="2188"/>
      <c r="R22" s="2188"/>
      <c r="S22" s="2188"/>
      <c r="T22" s="2188"/>
      <c r="U22" s="2188"/>
      <c r="V22" s="2188"/>
      <c r="W22" s="2188"/>
      <c r="X22" s="2188"/>
      <c r="Y22" s="2188"/>
      <c r="Z22" s="2188"/>
      <c r="AA22" s="2188"/>
      <c r="AB22" s="2188"/>
      <c r="AC22" s="2188"/>
      <c r="AD22" s="2188"/>
      <c r="AE22" s="2188"/>
      <c r="AF22" s="2188"/>
      <c r="AG22" s="2188"/>
      <c r="AH22" s="2188"/>
      <c r="AI22" s="2189"/>
      <c r="AJ22" s="1575"/>
      <c r="AK22" s="307"/>
      <c r="AL22" s="1575"/>
      <c r="AM22" s="1575"/>
      <c r="AN22" s="1575"/>
      <c r="AO22" s="1575"/>
      <c r="AP22" s="1575"/>
      <c r="AQ22" s="1575"/>
      <c r="AR22" s="1575"/>
      <c r="AS22" s="1575"/>
      <c r="AT22" s="1575"/>
      <c r="AU22" s="1575"/>
      <c r="AV22" s="1575"/>
      <c r="AW22" s="1575"/>
      <c r="AX22" s="1575"/>
      <c r="AY22" s="1575"/>
      <c r="AZ22" s="1575"/>
      <c r="BA22" s="1575"/>
      <c r="BB22" s="1575"/>
      <c r="BC22" s="1575"/>
      <c r="BD22" s="1575"/>
      <c r="BE22" s="1575"/>
      <c r="BF22" s="1575"/>
      <c r="BG22" s="1575"/>
      <c r="BH22" s="1575"/>
      <c r="BI22" s="1575"/>
      <c r="BJ22" s="1575"/>
      <c r="BK22" s="1575"/>
      <c r="BL22" s="1575"/>
      <c r="BM22" s="1555">
        <v>11</v>
      </c>
    </row>
    <row customHeight="1" ht="15">
      <c r="D23" s="2184" t="s">
        <v>94</v>
      </c>
      <c r="E23" s="2180" t="s">
        <v>423</v>
      </c>
      <c r="F23" s="2180" t="s">
        <v>426</v>
      </c>
      <c r="G23" s="2186" t="s">
        <v>19</v>
      </c>
      <c r="H23" s="1600"/>
      <c r="I23" s="2182"/>
      <c r="J23" s="2153"/>
      <c r="K23" s="1515"/>
      <c r="L23" s="2138"/>
      <c r="M23" s="2138"/>
      <c r="N23" s="1585"/>
      <c r="O23" s="2138"/>
      <c r="P23" s="2153"/>
      <c r="Q23" s="1586"/>
      <c r="R23" s="2138"/>
      <c r="S23" s="2138"/>
      <c r="T23" s="1587"/>
      <c r="U23" s="2138"/>
      <c r="V23" s="2153"/>
      <c r="W23" s="1588"/>
      <c r="X23" s="2138"/>
      <c r="Y23" s="2138"/>
      <c r="Z23" s="1585"/>
      <c r="AA23" s="2138"/>
      <c r="AB23" s="2153"/>
      <c r="AC23" s="1589"/>
      <c r="AD23" s="2138"/>
      <c r="AE23" s="2138"/>
      <c r="AF23" s="1514"/>
      <c r="AG23" s="1514"/>
      <c r="AH23" s="1590"/>
      <c r="AI23" s="1297"/>
      <c r="AJ23" s="1575"/>
      <c r="AK23" s="307" t="s">
        <v>102</v>
      </c>
      <c r="BM23" s="294">
        <v>14</v>
      </c>
    </row>
    <row customHeight="1" ht="14.699999999999998">
      <c r="D24" s="2184"/>
      <c r="E24" s="2180"/>
      <c r="F24" s="2180"/>
      <c r="G24" s="2187"/>
      <c r="H24" s="1601"/>
      <c r="I24" s="2183"/>
      <c r="J24" s="2154"/>
      <c r="K24" s="1611"/>
      <c r="L24" s="2139"/>
      <c r="M24" s="2139"/>
      <c r="N24" s="1591"/>
      <c r="O24" s="2139"/>
      <c r="P24" s="2154"/>
      <c r="Q24" s="1592"/>
      <c r="R24" s="2139"/>
      <c r="S24" s="2139"/>
      <c r="T24" s="1593"/>
      <c r="U24" s="2139"/>
      <c r="V24" s="2154"/>
      <c r="W24" s="1594"/>
      <c r="X24" s="2139"/>
      <c r="Y24" s="2139"/>
      <c r="Z24" s="1591"/>
      <c r="AA24" s="2139"/>
      <c r="AB24" s="2154"/>
      <c r="AC24" s="1595"/>
      <c r="AD24" s="2139"/>
      <c r="AE24" s="2139"/>
      <c r="AF24" s="1596"/>
      <c r="AG24" s="1596"/>
      <c r="AH24" s="2178"/>
      <c r="AI24" s="2179"/>
      <c r="AJ24" s="1575"/>
      <c r="BM24" s="294">
        <v>14</v>
      </c>
    </row>
    <row customHeight="1" ht="14.699999999999998">
      <c r="D25" s="2184"/>
      <c r="E25" s="2180"/>
      <c r="F25" s="2180"/>
      <c r="G25" s="2187"/>
      <c r="H25" s="1601"/>
      <c r="I25" s="2183"/>
      <c r="J25" s="2154"/>
      <c r="K25" s="1611"/>
      <c r="L25" s="2139"/>
      <c r="M25" s="2139"/>
      <c r="N25" s="1591"/>
      <c r="O25" s="2139"/>
      <c r="P25" s="2154"/>
      <c r="Q25" s="1592"/>
      <c r="R25" s="2139"/>
      <c r="S25" s="2139"/>
      <c r="T25" s="1593"/>
      <c r="U25" s="2139"/>
      <c r="V25" s="2154"/>
      <c r="W25" s="1594"/>
      <c r="X25" s="2139"/>
      <c r="Y25" s="2139"/>
      <c r="Z25" s="1513"/>
      <c r="AA25" s="1596"/>
      <c r="AB25" s="2178"/>
      <c r="AC25" s="2178"/>
      <c r="AD25" s="2178"/>
      <c r="AE25" s="2178"/>
      <c r="AF25" s="2178"/>
      <c r="AG25" s="2178"/>
      <c r="AH25" s="2178"/>
      <c r="AI25" s="2179"/>
      <c r="AJ25" s="1575"/>
      <c r="BM25" s="294">
        <v>14</v>
      </c>
    </row>
    <row customHeight="1" ht="14.699999999999998">
      <c r="D26" s="2184"/>
      <c r="E26" s="2180"/>
      <c r="F26" s="2180"/>
      <c r="G26" s="2187"/>
      <c r="H26" s="1601"/>
      <c r="I26" s="2183"/>
      <c r="J26" s="2154"/>
      <c r="K26" s="1611"/>
      <c r="L26" s="2139"/>
      <c r="M26" s="2139"/>
      <c r="N26" s="1591"/>
      <c r="O26" s="2139"/>
      <c r="P26" s="2154"/>
      <c r="Q26" s="1592"/>
      <c r="R26" s="2139"/>
      <c r="S26" s="2139"/>
      <c r="T26" s="1597"/>
      <c r="U26" s="1598"/>
      <c r="V26" s="2178"/>
      <c r="W26" s="2178"/>
      <c r="X26" s="2178"/>
      <c r="Y26" s="2178"/>
      <c r="Z26" s="2178"/>
      <c r="AA26" s="2178"/>
      <c r="AB26" s="2178"/>
      <c r="AC26" s="2178"/>
      <c r="AD26" s="2178"/>
      <c r="AE26" s="2178"/>
      <c r="AF26" s="2178"/>
      <c r="AG26" s="2178"/>
      <c r="AH26" s="2178"/>
      <c r="AI26" s="2179"/>
      <c r="AJ26" s="1575"/>
      <c r="BM26" s="294">
        <v>14</v>
      </c>
    </row>
    <row customHeight="1" ht="11.549999999999999">
      <c r="D27" s="2184"/>
      <c r="E27" s="2180"/>
      <c r="F27" s="2180"/>
      <c r="G27" s="2187"/>
      <c r="H27" s="1602"/>
      <c r="I27" s="2183"/>
      <c r="J27" s="2154"/>
      <c r="K27" s="1611"/>
      <c r="L27" s="2139"/>
      <c r="M27" s="2139"/>
      <c r="N27" s="1596"/>
      <c r="O27" s="1596"/>
      <c r="P27" s="2178"/>
      <c r="Q27" s="2178"/>
      <c r="R27" s="2178"/>
      <c r="S27" s="2178"/>
      <c r="T27" s="2178"/>
      <c r="U27" s="2178"/>
      <c r="V27" s="2178"/>
      <c r="W27" s="2178"/>
      <c r="X27" s="2178"/>
      <c r="Y27" s="2178"/>
      <c r="Z27" s="2178"/>
      <c r="AA27" s="2178"/>
      <c r="AB27" s="2178"/>
      <c r="AC27" s="2178"/>
      <c r="AD27" s="2178"/>
      <c r="AE27" s="2178"/>
      <c r="AF27" s="2178"/>
      <c r="AG27" s="2178"/>
      <c r="AH27" s="2178"/>
      <c r="AI27" s="2179"/>
      <c r="AJ27" s="1575"/>
      <c r="BM27" s="294">
        <v>11</v>
      </c>
    </row>
    <row s="1555" customFormat="1" customHeight="1" ht="11.549999999999999">
      <c r="D28" s="2190"/>
      <c r="E28" s="2191"/>
      <c r="F28" s="2181"/>
      <c r="G28" s="2113"/>
      <c r="H28" s="1599"/>
      <c r="I28" s="1603"/>
      <c r="J28" s="2188"/>
      <c r="K28" s="2188"/>
      <c r="L28" s="2188"/>
      <c r="M28" s="2188"/>
      <c r="N28" s="2188"/>
      <c r="O28" s="2188"/>
      <c r="P28" s="2188"/>
      <c r="Q28" s="2188"/>
      <c r="R28" s="2188"/>
      <c r="S28" s="2188"/>
      <c r="T28" s="2188"/>
      <c r="U28" s="2188"/>
      <c r="V28" s="2188"/>
      <c r="W28" s="2188"/>
      <c r="X28" s="2188"/>
      <c r="Y28" s="2188"/>
      <c r="Z28" s="2188"/>
      <c r="AA28" s="2188"/>
      <c r="AB28" s="2188"/>
      <c r="AC28" s="2188"/>
      <c r="AD28" s="2188"/>
      <c r="AE28" s="2188"/>
      <c r="AF28" s="2188"/>
      <c r="AG28" s="2188"/>
      <c r="AH28" s="2188"/>
      <c r="AI28" s="2189"/>
      <c r="AJ28" s="1575"/>
      <c r="AK28" s="307"/>
      <c r="AL28" s="1575"/>
      <c r="AM28" s="1575"/>
      <c r="AN28" s="1575"/>
      <c r="AO28" s="1575"/>
      <c r="AP28" s="1575"/>
      <c r="AQ28" s="1575"/>
      <c r="AR28" s="1575"/>
      <c r="AS28" s="1575"/>
      <c r="AT28" s="1575"/>
      <c r="AU28" s="1575"/>
      <c r="AV28" s="1575"/>
      <c r="AW28" s="1575"/>
      <c r="AX28" s="1575"/>
      <c r="AY28" s="1575"/>
      <c r="AZ28" s="1575"/>
      <c r="BA28" s="1575"/>
      <c r="BB28" s="1575"/>
      <c r="BC28" s="1575"/>
      <c r="BD28" s="1575"/>
      <c r="BE28" s="1575"/>
      <c r="BF28" s="1575"/>
      <c r="BG28" s="1575"/>
      <c r="BH28" s="1575"/>
      <c r="BI28" s="1575"/>
      <c r="BJ28" s="1575"/>
      <c r="BK28" s="1575"/>
      <c r="BL28" s="1575"/>
      <c r="BM28" s="1555">
        <v>11</v>
      </c>
    </row>
    <row customHeight="1" ht="15">
      <c r="D29" s="2184" t="s">
        <v>95</v>
      </c>
      <c r="E29" s="2180" t="s">
        <v>423</v>
      </c>
      <c r="F29" s="2180" t="s">
        <v>427</v>
      </c>
      <c r="G29" s="2186" t="s">
        <v>19</v>
      </c>
      <c r="H29" s="1600"/>
      <c r="I29" s="2182"/>
      <c r="J29" s="2153"/>
      <c r="K29" s="1515"/>
      <c r="L29" s="2138"/>
      <c r="M29" s="2138"/>
      <c r="N29" s="1585"/>
      <c r="O29" s="2138"/>
      <c r="P29" s="2153"/>
      <c r="Q29" s="1586"/>
      <c r="R29" s="2138"/>
      <c r="S29" s="2138"/>
      <c r="T29" s="1587"/>
      <c r="U29" s="2138"/>
      <c r="V29" s="2153"/>
      <c r="W29" s="1588"/>
      <c r="X29" s="2138"/>
      <c r="Y29" s="2138"/>
      <c r="Z29" s="1585"/>
      <c r="AA29" s="2138"/>
      <c r="AB29" s="2153"/>
      <c r="AC29" s="1589"/>
      <c r="AD29" s="2138"/>
      <c r="AE29" s="2138"/>
      <c r="AF29" s="1514"/>
      <c r="AG29" s="1514"/>
      <c r="AH29" s="1590"/>
      <c r="AI29" s="1297"/>
      <c r="AJ29" s="1575"/>
      <c r="BM29" s="294">
        <v>14</v>
      </c>
    </row>
    <row customHeight="1" ht="14.699999999999998">
      <c r="D30" s="2184"/>
      <c r="E30" s="2180"/>
      <c r="F30" s="2180"/>
      <c r="G30" s="2187"/>
      <c r="H30" s="1601"/>
      <c r="I30" s="2183"/>
      <c r="J30" s="2154"/>
      <c r="K30" s="1584"/>
      <c r="L30" s="2139"/>
      <c r="M30" s="2139"/>
      <c r="N30" s="1591"/>
      <c r="O30" s="2139"/>
      <c r="P30" s="2154"/>
      <c r="Q30" s="1592"/>
      <c r="R30" s="2139"/>
      <c r="S30" s="2139"/>
      <c r="T30" s="1593"/>
      <c r="U30" s="2139"/>
      <c r="V30" s="2154"/>
      <c r="W30" s="1594"/>
      <c r="X30" s="2139"/>
      <c r="Y30" s="2139"/>
      <c r="Z30" s="1591"/>
      <c r="AA30" s="2139"/>
      <c r="AB30" s="2154"/>
      <c r="AC30" s="1595"/>
      <c r="AD30" s="2139"/>
      <c r="AE30" s="2139"/>
      <c r="AF30" s="1596"/>
      <c r="AG30" s="1596"/>
      <c r="AH30" s="2178"/>
      <c r="AI30" s="2179"/>
      <c r="AJ30" s="1575"/>
      <c r="BM30" s="294">
        <v>14</v>
      </c>
    </row>
    <row customHeight="1" ht="14.699999999999998">
      <c r="D31" s="2184"/>
      <c r="E31" s="2180"/>
      <c r="F31" s="2180"/>
      <c r="G31" s="2187"/>
      <c r="H31" s="1601"/>
      <c r="I31" s="2183"/>
      <c r="J31" s="2154"/>
      <c r="K31" s="1584"/>
      <c r="L31" s="2139"/>
      <c r="M31" s="2139"/>
      <c r="N31" s="1591"/>
      <c r="O31" s="2139"/>
      <c r="P31" s="2154"/>
      <c r="Q31" s="1592"/>
      <c r="R31" s="2139"/>
      <c r="S31" s="2139"/>
      <c r="T31" s="1593"/>
      <c r="U31" s="2139"/>
      <c r="V31" s="2154"/>
      <c r="W31" s="1594"/>
      <c r="X31" s="2139"/>
      <c r="Y31" s="2139"/>
      <c r="Z31" s="1513"/>
      <c r="AA31" s="1596"/>
      <c r="AB31" s="2178"/>
      <c r="AC31" s="2178"/>
      <c r="AD31" s="2178"/>
      <c r="AE31" s="2178"/>
      <c r="AF31" s="2178"/>
      <c r="AG31" s="2178"/>
      <c r="AH31" s="2178"/>
      <c r="AI31" s="2179"/>
      <c r="AJ31" s="1575"/>
      <c r="BM31" s="294">
        <v>14</v>
      </c>
    </row>
    <row customHeight="1" ht="14.699999999999998">
      <c r="D32" s="2184"/>
      <c r="E32" s="2180"/>
      <c r="F32" s="2180"/>
      <c r="G32" s="2187"/>
      <c r="H32" s="1601"/>
      <c r="I32" s="2183"/>
      <c r="J32" s="2154"/>
      <c r="K32" s="1584"/>
      <c r="L32" s="2139"/>
      <c r="M32" s="2139"/>
      <c r="N32" s="1591"/>
      <c r="O32" s="2139"/>
      <c r="P32" s="2154"/>
      <c r="Q32" s="1592"/>
      <c r="R32" s="2139"/>
      <c r="S32" s="2139"/>
      <c r="T32" s="1597"/>
      <c r="U32" s="1598"/>
      <c r="V32" s="2178"/>
      <c r="W32" s="2178"/>
      <c r="X32" s="2178"/>
      <c r="Y32" s="2178"/>
      <c r="Z32" s="2178"/>
      <c r="AA32" s="2178"/>
      <c r="AB32" s="2178"/>
      <c r="AC32" s="2178"/>
      <c r="AD32" s="2178"/>
      <c r="AE32" s="2178"/>
      <c r="AF32" s="2178"/>
      <c r="AG32" s="2178"/>
      <c r="AH32" s="2178"/>
      <c r="AI32" s="2179"/>
      <c r="AJ32" s="1575"/>
      <c r="BM32" s="294">
        <v>14</v>
      </c>
    </row>
    <row customHeight="1" ht="11.549999999999999">
      <c r="D33" s="2184"/>
      <c r="E33" s="2180"/>
      <c r="F33" s="2180"/>
      <c r="G33" s="2187"/>
      <c r="H33" s="1602"/>
      <c r="I33" s="2183"/>
      <c r="J33" s="2154"/>
      <c r="K33" s="1584"/>
      <c r="L33" s="2139"/>
      <c r="M33" s="2139"/>
      <c r="N33" s="1596"/>
      <c r="O33" s="1596"/>
      <c r="P33" s="2178"/>
      <c r="Q33" s="2178"/>
      <c r="R33" s="2178"/>
      <c r="S33" s="2178"/>
      <c r="T33" s="2178"/>
      <c r="U33" s="2178"/>
      <c r="V33" s="2178"/>
      <c r="W33" s="2178"/>
      <c r="X33" s="2178"/>
      <c r="Y33" s="2178"/>
      <c r="Z33" s="2178"/>
      <c r="AA33" s="2178"/>
      <c r="AB33" s="2178"/>
      <c r="AC33" s="2178"/>
      <c r="AD33" s="2178"/>
      <c r="AE33" s="2178"/>
      <c r="AF33" s="2178"/>
      <c r="AG33" s="2178"/>
      <c r="AH33" s="2178"/>
      <c r="AI33" s="2179"/>
      <c r="AJ33" s="1575"/>
      <c r="BM33" s="294">
        <v>11</v>
      </c>
    </row>
    <row s="1555" customFormat="1" customHeight="1" ht="11.549999999999999">
      <c r="D34" s="2190"/>
      <c r="E34" s="2191"/>
      <c r="F34" s="2181"/>
      <c r="G34" s="2113"/>
      <c r="H34" s="1599"/>
      <c r="I34" s="1603"/>
      <c r="J34" s="2188"/>
      <c r="K34" s="2188"/>
      <c r="L34" s="2188"/>
      <c r="M34" s="2188"/>
      <c r="N34" s="2188"/>
      <c r="O34" s="2188"/>
      <c r="P34" s="2188"/>
      <c r="Q34" s="2188"/>
      <c r="R34" s="2188"/>
      <c r="S34" s="2188"/>
      <c r="T34" s="2188"/>
      <c r="U34" s="2188"/>
      <c r="V34" s="2188"/>
      <c r="W34" s="2188"/>
      <c r="X34" s="2188"/>
      <c r="Y34" s="2188"/>
      <c r="Z34" s="2188"/>
      <c r="AA34" s="2188"/>
      <c r="AB34" s="2188"/>
      <c r="AC34" s="2188"/>
      <c r="AD34" s="2188"/>
      <c r="AE34" s="2188"/>
      <c r="AF34" s="2188"/>
      <c r="AG34" s="2188"/>
      <c r="AH34" s="2188"/>
      <c r="AI34" s="2189"/>
      <c r="AJ34" s="1575"/>
      <c r="AK34" s="307"/>
      <c r="AL34" s="1575"/>
      <c r="AM34" s="1575"/>
      <c r="AN34" s="1575"/>
      <c r="AO34" s="1575"/>
      <c r="AP34" s="1575"/>
      <c r="AQ34" s="1575"/>
      <c r="AR34" s="1575"/>
      <c r="AS34" s="1575"/>
      <c r="AT34" s="1575"/>
      <c r="AU34" s="1575"/>
      <c r="AV34" s="1575"/>
      <c r="AW34" s="1575"/>
      <c r="AX34" s="1575"/>
      <c r="AY34" s="1575"/>
      <c r="AZ34" s="1575"/>
      <c r="BA34" s="1575"/>
      <c r="BB34" s="1575"/>
      <c r="BC34" s="1575"/>
      <c r="BD34" s="1575"/>
      <c r="BE34" s="1575"/>
      <c r="BF34" s="1575"/>
      <c r="BG34" s="1575"/>
      <c r="BH34" s="1575"/>
      <c r="BI34" s="1575"/>
      <c r="BJ34" s="1575"/>
      <c r="BK34" s="1575"/>
      <c r="BL34" s="1575"/>
      <c r="BM34" s="1555">
        <v>11</v>
      </c>
    </row>
    <row customHeight="1" ht="15">
      <c r="D35" s="2184" t="s">
        <v>124</v>
      </c>
      <c r="E35" s="2180" t="s">
        <v>423</v>
      </c>
      <c r="F35" s="2180" t="s">
        <v>428</v>
      </c>
      <c r="G35" s="2186" t="s">
        <v>19</v>
      </c>
      <c r="H35" s="1600"/>
      <c r="I35" s="2182"/>
      <c r="J35" s="2153"/>
      <c r="K35" s="1515"/>
      <c r="L35" s="2138"/>
      <c r="M35" s="2138"/>
      <c r="N35" s="1585"/>
      <c r="O35" s="2138"/>
      <c r="P35" s="2153"/>
      <c r="Q35" s="1586"/>
      <c r="R35" s="2138"/>
      <c r="S35" s="2138"/>
      <c r="T35" s="1587"/>
      <c r="U35" s="2138"/>
      <c r="V35" s="2153"/>
      <c r="W35" s="1588"/>
      <c r="X35" s="2138"/>
      <c r="Y35" s="2138"/>
      <c r="Z35" s="1585"/>
      <c r="AA35" s="2138"/>
      <c r="AB35" s="2153"/>
      <c r="AC35" s="1589"/>
      <c r="AD35" s="2138"/>
      <c r="AE35" s="2138"/>
      <c r="AF35" s="1514"/>
      <c r="AG35" s="1514"/>
      <c r="AH35" s="1590"/>
      <c r="AI35" s="1297"/>
      <c r="AJ35" s="1575"/>
      <c r="BM35" s="294">
        <v>14</v>
      </c>
    </row>
    <row customHeight="1" ht="14.699999999999998">
      <c r="D36" s="2184"/>
      <c r="E36" s="2180"/>
      <c r="F36" s="2180"/>
      <c r="G36" s="2187"/>
      <c r="H36" s="1601"/>
      <c r="I36" s="2183"/>
      <c r="J36" s="2154"/>
      <c r="K36" s="1584"/>
      <c r="L36" s="2139"/>
      <c r="M36" s="2139"/>
      <c r="N36" s="1591"/>
      <c r="O36" s="2139"/>
      <c r="P36" s="2154"/>
      <c r="Q36" s="1592"/>
      <c r="R36" s="2139"/>
      <c r="S36" s="2139"/>
      <c r="T36" s="1593"/>
      <c r="U36" s="2139"/>
      <c r="V36" s="2154"/>
      <c r="W36" s="1594"/>
      <c r="X36" s="2139"/>
      <c r="Y36" s="2139"/>
      <c r="Z36" s="1591"/>
      <c r="AA36" s="2139"/>
      <c r="AB36" s="2154"/>
      <c r="AC36" s="1595"/>
      <c r="AD36" s="2139"/>
      <c r="AE36" s="2139"/>
      <c r="AF36" s="1596"/>
      <c r="AG36" s="1596"/>
      <c r="AH36" s="2178"/>
      <c r="AI36" s="2179"/>
      <c r="AJ36" s="1575"/>
      <c r="BM36" s="294">
        <v>14</v>
      </c>
    </row>
    <row customHeight="1" ht="14.699999999999998">
      <c r="D37" s="2184"/>
      <c r="E37" s="2180"/>
      <c r="F37" s="2180"/>
      <c r="G37" s="2187"/>
      <c r="H37" s="1601"/>
      <c r="I37" s="2183"/>
      <c r="J37" s="2154"/>
      <c r="K37" s="1584"/>
      <c r="L37" s="2139"/>
      <c r="M37" s="2139"/>
      <c r="N37" s="1591"/>
      <c r="O37" s="2139"/>
      <c r="P37" s="2154"/>
      <c r="Q37" s="1592"/>
      <c r="R37" s="2139"/>
      <c r="S37" s="2139"/>
      <c r="T37" s="1593"/>
      <c r="U37" s="2139"/>
      <c r="V37" s="2154"/>
      <c r="W37" s="1594"/>
      <c r="X37" s="2139"/>
      <c r="Y37" s="2139"/>
      <c r="Z37" s="1513"/>
      <c r="AA37" s="1596"/>
      <c r="AB37" s="2178"/>
      <c r="AC37" s="2178"/>
      <c r="AD37" s="2178"/>
      <c r="AE37" s="2178"/>
      <c r="AF37" s="2178"/>
      <c r="AG37" s="2178"/>
      <c r="AH37" s="2178"/>
      <c r="AI37" s="2179"/>
      <c r="AJ37" s="1575"/>
      <c r="BM37" s="294">
        <v>14</v>
      </c>
    </row>
    <row customHeight="1" ht="14.699999999999998">
      <c r="D38" s="2184"/>
      <c r="E38" s="2180"/>
      <c r="F38" s="2180"/>
      <c r="G38" s="2187"/>
      <c r="H38" s="1601"/>
      <c r="I38" s="2183"/>
      <c r="J38" s="2154"/>
      <c r="K38" s="1584"/>
      <c r="L38" s="2139"/>
      <c r="M38" s="2139"/>
      <c r="N38" s="1591"/>
      <c r="O38" s="2139"/>
      <c r="P38" s="2154"/>
      <c r="Q38" s="1592"/>
      <c r="R38" s="2139"/>
      <c r="S38" s="2139"/>
      <c r="T38" s="1597"/>
      <c r="U38" s="1598"/>
      <c r="V38" s="2178"/>
      <c r="W38" s="2178"/>
      <c r="X38" s="2178"/>
      <c r="Y38" s="2178"/>
      <c r="Z38" s="2178"/>
      <c r="AA38" s="2178"/>
      <c r="AB38" s="2178"/>
      <c r="AC38" s="2178"/>
      <c r="AD38" s="2178"/>
      <c r="AE38" s="2178"/>
      <c r="AF38" s="2178"/>
      <c r="AG38" s="2178"/>
      <c r="AH38" s="2178"/>
      <c r="AI38" s="2179"/>
      <c r="AJ38" s="1575"/>
      <c r="BM38" s="294">
        <v>14</v>
      </c>
    </row>
    <row customHeight="1" ht="11.549999999999999">
      <c r="D39" s="2184"/>
      <c r="E39" s="2180"/>
      <c r="F39" s="2180"/>
      <c r="G39" s="2187"/>
      <c r="H39" s="1602"/>
      <c r="I39" s="2183"/>
      <c r="J39" s="2154"/>
      <c r="K39" s="1584"/>
      <c r="L39" s="2139"/>
      <c r="M39" s="2139"/>
      <c r="N39" s="1596"/>
      <c r="O39" s="1596"/>
      <c r="P39" s="2178"/>
      <c r="Q39" s="2178"/>
      <c r="R39" s="2178"/>
      <c r="S39" s="2178"/>
      <c r="T39" s="2178"/>
      <c r="U39" s="2178"/>
      <c r="V39" s="2178"/>
      <c r="W39" s="2178"/>
      <c r="X39" s="2178"/>
      <c r="Y39" s="2178"/>
      <c r="Z39" s="2178"/>
      <c r="AA39" s="2178"/>
      <c r="AB39" s="2178"/>
      <c r="AC39" s="2178"/>
      <c r="AD39" s="2178"/>
      <c r="AE39" s="2178"/>
      <c r="AF39" s="2178"/>
      <c r="AG39" s="2178"/>
      <c r="AH39" s="2178"/>
      <c r="AI39" s="2179"/>
      <c r="AJ39" s="1575"/>
      <c r="BM39" s="294">
        <v>11</v>
      </c>
    </row>
    <row s="1555" customFormat="1" customHeight="1" ht="11.549999999999999">
      <c r="D40" s="2184"/>
      <c r="E40" s="2180"/>
      <c r="F40" s="2185"/>
      <c r="G40" s="2113"/>
      <c r="H40" s="1599"/>
      <c r="I40" s="1603"/>
      <c r="J40" s="2188"/>
      <c r="K40" s="2188"/>
      <c r="L40" s="2188"/>
      <c r="M40" s="2188"/>
      <c r="N40" s="2188"/>
      <c r="O40" s="2188"/>
      <c r="P40" s="2188"/>
      <c r="Q40" s="2188"/>
      <c r="R40" s="2188"/>
      <c r="S40" s="2188"/>
      <c r="T40" s="2188"/>
      <c r="U40" s="2188"/>
      <c r="V40" s="2188"/>
      <c r="W40" s="2188"/>
      <c r="X40" s="2188"/>
      <c r="Y40" s="2188"/>
      <c r="Z40" s="2188"/>
      <c r="AA40" s="2188"/>
      <c r="AB40" s="2188"/>
      <c r="AC40" s="2188"/>
      <c r="AD40" s="2188"/>
      <c r="AE40" s="2188"/>
      <c r="AF40" s="2188"/>
      <c r="AG40" s="2188"/>
      <c r="AH40" s="2188"/>
      <c r="AI40" s="2189"/>
      <c r="AJ40" s="1575"/>
      <c r="AK40" s="307"/>
      <c r="AL40" s="1575"/>
      <c r="AM40" s="1575"/>
      <c r="AN40" s="1575"/>
      <c r="AO40" s="1575"/>
      <c r="AP40" s="1575"/>
      <c r="AQ40" s="1575"/>
      <c r="AR40" s="1575"/>
      <c r="AS40" s="1575"/>
      <c r="AT40" s="1575"/>
      <c r="AU40" s="1575"/>
      <c r="AV40" s="1575"/>
      <c r="AW40" s="1575"/>
      <c r="AX40" s="1575"/>
      <c r="AY40" s="1575"/>
      <c r="AZ40" s="1575"/>
      <c r="BA40" s="1575"/>
      <c r="BB40" s="1575"/>
      <c r="BC40" s="1575"/>
      <c r="BD40" s="1575"/>
      <c r="BE40" s="1575"/>
      <c r="BF40" s="1575"/>
      <c r="BG40" s="1575"/>
      <c r="BH40" s="1575"/>
      <c r="BI40" s="1575"/>
      <c r="BJ40" s="1575"/>
      <c r="BK40" s="1575"/>
      <c r="BL40" s="1575"/>
      <c r="BM40" s="1555">
        <v>11</v>
      </c>
    </row>
    <row customHeight="1" ht="11.549999999999999">
      <c r="AK41" s="424"/>
      <c r="BM41" s="294">
        <v>11</v>
      </c>
    </row>
    <row customHeight="1" ht="11.549999999999999">
      <c r="AK42" s="424"/>
      <c r="BM42" s="294">
        <v>11</v>
      </c>
    </row>
    <row customHeight="1" ht="11.549999999999999">
      <c r="AK43" s="424"/>
      <c r="BM43" s="294">
        <v>11</v>
      </c>
    </row>
    <row customHeight="1" ht="11.549999999999999">
      <c r="AK44" s="424"/>
      <c r="BM44" s="294">
        <v>11</v>
      </c>
    </row>
    <row customHeight="1" ht="11.549999999999999">
      <c r="AK45" s="424"/>
      <c r="BM45" s="294">
        <v>11</v>
      </c>
    </row>
    <row customHeight="1" ht="11.549999999999999">
      <c r="AK46" s="424"/>
      <c r="BM46" s="294">
        <v>11</v>
      </c>
    </row>
    <row customHeight="1" ht="11.549999999999999">
      <c r="AK47" s="424"/>
      <c r="BM47" s="294">
        <v>11</v>
      </c>
    </row>
    <row customHeight="1" ht="11.549999999999999">
      <c r="AK48" s="424"/>
      <c r="BM48" s="294">
        <v>11</v>
      </c>
    </row>
    <row customHeight="1" ht="11.549999999999999">
      <c r="AK49" s="424"/>
      <c r="BM49" s="294">
        <v>11</v>
      </c>
    </row>
    <row customHeight="1" ht="11.25" hidden="1">
      <c r="A50" s="294" t="s">
        <v>86</v>
      </c>
      <c r="B50" s="294">
        <v>0</v>
      </c>
      <c r="C50" s="294">
        <v>3</v>
      </c>
      <c r="D50" s="294">
        <v>3</v>
      </c>
      <c r="E50" s="294">
        <v>15</v>
      </c>
      <c r="F50" s="294">
        <v>15</v>
      </c>
      <c r="G50" s="294">
        <v>11</v>
      </c>
      <c r="H50" s="294">
        <v>3</v>
      </c>
      <c r="I50" s="294">
        <v>3</v>
      </c>
      <c r="J50" s="294">
        <v>12</v>
      </c>
      <c r="K50" s="294">
        <v>0</v>
      </c>
      <c r="L50" s="294">
        <v>10</v>
      </c>
      <c r="M50" s="294">
        <v>10</v>
      </c>
      <c r="N50" s="294">
        <v>3</v>
      </c>
      <c r="O50" s="294">
        <v>3</v>
      </c>
      <c r="P50" s="294">
        <v>19</v>
      </c>
      <c r="Q50" s="294">
        <v>0</v>
      </c>
      <c r="R50" s="294">
        <v>10</v>
      </c>
      <c r="S50" s="294">
        <v>10</v>
      </c>
      <c r="T50" s="294">
        <v>3</v>
      </c>
      <c r="U50" s="294">
        <v>3</v>
      </c>
      <c r="V50" s="294">
        <v>25</v>
      </c>
      <c r="W50" s="294">
        <v>0</v>
      </c>
      <c r="X50" s="294">
        <v>10</v>
      </c>
      <c r="Y50" s="294">
        <v>10</v>
      </c>
      <c r="Z50" s="294">
        <v>3</v>
      </c>
      <c r="AA50" s="294">
        <v>3</v>
      </c>
      <c r="AB50" s="294">
        <v>16</v>
      </c>
      <c r="AC50" s="294">
        <v>0</v>
      </c>
      <c r="AD50" s="294">
        <v>10</v>
      </c>
      <c r="AE50" s="294">
        <v>10</v>
      </c>
      <c r="AF50" s="294">
        <v>3</v>
      </c>
      <c r="AG50" s="294">
        <v>3</v>
      </c>
      <c r="AH50" s="294">
        <v>8</v>
      </c>
      <c r="AI50" s="294">
        <v>21</v>
      </c>
      <c r="AJ50" s="424">
        <v>8</v>
      </c>
      <c r="AK50" s="307">
        <v>8</v>
      </c>
      <c r="AL50" s="424">
        <v>8</v>
      </c>
      <c r="AM50" s="424">
        <v>8</v>
      </c>
      <c r="AN50" s="424">
        <v>8</v>
      </c>
      <c r="AO50" s="424">
        <v>8</v>
      </c>
      <c r="AP50" s="424">
        <v>8</v>
      </c>
      <c r="AQ50" s="424">
        <v>8</v>
      </c>
      <c r="AR50" s="424">
        <v>8</v>
      </c>
      <c r="AS50" s="424">
        <v>8</v>
      </c>
      <c r="AT50" s="424">
        <v>8</v>
      </c>
      <c r="AU50" s="424">
        <v>8</v>
      </c>
      <c r="AV50" s="424">
        <v>8</v>
      </c>
      <c r="AW50" s="424">
        <v>8</v>
      </c>
      <c r="AX50" s="424">
        <v>8</v>
      </c>
      <c r="AY50" s="424">
        <v>8</v>
      </c>
      <c r="AZ50" s="424">
        <v>8</v>
      </c>
      <c r="BA50" s="424">
        <v>8</v>
      </c>
      <c r="BB50" s="424">
        <v>8</v>
      </c>
      <c r="BC50" s="424">
        <v>8</v>
      </c>
      <c r="BD50" s="424">
        <v>8</v>
      </c>
      <c r="BE50" s="424">
        <v>8</v>
      </c>
      <c r="BF50" s="424">
        <v>8</v>
      </c>
      <c r="BG50" s="424">
        <v>8</v>
      </c>
      <c r="BH50" s="424">
        <v>8</v>
      </c>
      <c r="BI50" s="424">
        <v>8</v>
      </c>
      <c r="BJ50" s="424">
        <v>8</v>
      </c>
      <c r="BK50" s="424">
        <v>8</v>
      </c>
      <c r="BL50" s="424">
        <v>8</v>
      </c>
      <c r="BM50" s="294">
        <v>11</v>
      </c>
    </row>
  </sheetData>
  <sheetProtection formatColumns="0" formatRows="0" autoFilter="0" sort="0" insertRows="0" insertColumns="1" deleteRows="0" deleteColumns="0"/>
  <mergeCells count="151">
    <mergeCell ref="D4:J4"/>
    <mergeCell ref="D8:D10"/>
    <mergeCell ref="E8:E10"/>
    <mergeCell ref="J8:J10"/>
    <mergeCell ref="AH9:AH10"/>
    <mergeCell ref="Z9:AA10"/>
    <mergeCell ref="AF9:AG10"/>
    <mergeCell ref="X9:Y9"/>
    <mergeCell ref="V9:V10"/>
    <mergeCell ref="T9:U10"/>
    <mergeCell ref="L8:P8"/>
    <mergeCell ref="R8:V8"/>
    <mergeCell ref="X8:AB8"/>
    <mergeCell ref="AD8:AH8"/>
    <mergeCell ref="F8:G8"/>
    <mergeCell ref="F9:F10"/>
    <mergeCell ref="G9:G10"/>
    <mergeCell ref="N9:O10"/>
    <mergeCell ref="H8:I10"/>
    <mergeCell ref="AB9:AB10"/>
    <mergeCell ref="AD9:AE9"/>
    <mergeCell ref="D17:D22"/>
    <mergeCell ref="E17:E22"/>
    <mergeCell ref="F17:F22"/>
    <mergeCell ref="G17:G22"/>
    <mergeCell ref="I17:I21"/>
    <mergeCell ref="J17:J21"/>
    <mergeCell ref="J22:AI22"/>
    <mergeCell ref="P15:AI15"/>
    <mergeCell ref="J16:AI16"/>
    <mergeCell ref="G11:G16"/>
    <mergeCell ref="D11:D16"/>
    <mergeCell ref="E11:E16"/>
    <mergeCell ref="S17:S20"/>
    <mergeCell ref="AB11:AB12"/>
    <mergeCell ref="AD11:AD12"/>
    <mergeCell ref="AE11:AE12"/>
    <mergeCell ref="AH12:AI12"/>
    <mergeCell ref="D23:D28"/>
    <mergeCell ref="E23:E28"/>
    <mergeCell ref="F23:F28"/>
    <mergeCell ref="G23:G28"/>
    <mergeCell ref="I23:I27"/>
    <mergeCell ref="J23:J27"/>
    <mergeCell ref="J28:AI28"/>
    <mergeCell ref="AD17:AD18"/>
    <mergeCell ref="AE17:AE18"/>
    <mergeCell ref="AH18:AI18"/>
    <mergeCell ref="AB19:AI19"/>
    <mergeCell ref="V20:AI20"/>
    <mergeCell ref="P21:AI21"/>
    <mergeCell ref="U17:U19"/>
    <mergeCell ref="V17:V19"/>
    <mergeCell ref="X17:X19"/>
    <mergeCell ref="Y17:Y19"/>
    <mergeCell ref="AA17:AA18"/>
    <mergeCell ref="AB17:AB18"/>
    <mergeCell ref="L17:L21"/>
    <mergeCell ref="M17:M21"/>
    <mergeCell ref="O17:O20"/>
    <mergeCell ref="P17:P20"/>
    <mergeCell ref="R17:R20"/>
    <mergeCell ref="AH24:AI24"/>
    <mergeCell ref="AB25:AI25"/>
    <mergeCell ref="V26:AI26"/>
    <mergeCell ref="P27:AI27"/>
    <mergeCell ref="U23:U25"/>
    <mergeCell ref="V23:V25"/>
    <mergeCell ref="X23:X25"/>
    <mergeCell ref="Y23:Y25"/>
    <mergeCell ref="L23:L27"/>
    <mergeCell ref="M23:M27"/>
    <mergeCell ref="L29:L33"/>
    <mergeCell ref="M29:M33"/>
    <mergeCell ref="O29:O32"/>
    <mergeCell ref="P29:P32"/>
    <mergeCell ref="R29:R32"/>
    <mergeCell ref="S29:S32"/>
    <mergeCell ref="D29:D34"/>
    <mergeCell ref="E29:E34"/>
    <mergeCell ref="F29:F34"/>
    <mergeCell ref="G29:G34"/>
    <mergeCell ref="I29:I33"/>
    <mergeCell ref="J29:J33"/>
    <mergeCell ref="J34:AI34"/>
    <mergeCell ref="AD29:AD30"/>
    <mergeCell ref="AE29:AE30"/>
    <mergeCell ref="AH30:AI30"/>
    <mergeCell ref="AB31:AI31"/>
    <mergeCell ref="V32:AI32"/>
    <mergeCell ref="P33:AI33"/>
    <mergeCell ref="U29:U31"/>
    <mergeCell ref="V29:V31"/>
    <mergeCell ref="X29:X31"/>
    <mergeCell ref="Y29:Y31"/>
    <mergeCell ref="AA29:AA30"/>
    <mergeCell ref="L35:L39"/>
    <mergeCell ref="M35:M39"/>
    <mergeCell ref="O35:O38"/>
    <mergeCell ref="P35:P38"/>
    <mergeCell ref="R35:R38"/>
    <mergeCell ref="S35:S38"/>
    <mergeCell ref="D35:D40"/>
    <mergeCell ref="E35:E40"/>
    <mergeCell ref="F35:F40"/>
    <mergeCell ref="G35:G40"/>
    <mergeCell ref="I35:I39"/>
    <mergeCell ref="J35:J39"/>
    <mergeCell ref="J40:AI40"/>
    <mergeCell ref="AD35:AD36"/>
    <mergeCell ref="AE35:AE36"/>
    <mergeCell ref="AH36:AI36"/>
    <mergeCell ref="AB37:AI37"/>
    <mergeCell ref="V38:AI38"/>
    <mergeCell ref="P39:AI39"/>
    <mergeCell ref="U35:U37"/>
    <mergeCell ref="V35:V37"/>
    <mergeCell ref="X35:X37"/>
    <mergeCell ref="Y35:Y37"/>
    <mergeCell ref="AA35:AA36"/>
    <mergeCell ref="AB35:AB36"/>
    <mergeCell ref="O23:O26"/>
    <mergeCell ref="P23:P26"/>
    <mergeCell ref="R23:R26"/>
    <mergeCell ref="S23:S26"/>
    <mergeCell ref="AB23:AB24"/>
    <mergeCell ref="AD23:AD24"/>
    <mergeCell ref="AE23:AE24"/>
    <mergeCell ref="AA23:AA24"/>
    <mergeCell ref="AB29:AB30"/>
    <mergeCell ref="AI8:AI10"/>
    <mergeCell ref="D5:J5"/>
    <mergeCell ref="AB13:AI13"/>
    <mergeCell ref="Y11:Y13"/>
    <mergeCell ref="X11:X13"/>
    <mergeCell ref="AA11:AA12"/>
    <mergeCell ref="R11:R14"/>
    <mergeCell ref="S11:S14"/>
    <mergeCell ref="U11:U13"/>
    <mergeCell ref="V11:V13"/>
    <mergeCell ref="V14:AI14"/>
    <mergeCell ref="F11:F16"/>
    <mergeCell ref="I11:I15"/>
    <mergeCell ref="J11:J15"/>
    <mergeCell ref="L11:L15"/>
    <mergeCell ref="M11:M15"/>
    <mergeCell ref="O11:O14"/>
    <mergeCell ref="P11:P14"/>
    <mergeCell ref="L9:M9"/>
    <mergeCell ref="P9:P10"/>
    <mergeCell ref="R9:S9"/>
  </mergeCells>
  <dataValidations count="2">
    <dataValidation type="list" errorStyle="warning" allowBlank="1" showInputMessage="1" errorTitle="Ошибка" error="Выберите значение из списка" prompt="Выберите значение из списка или укажите свой вид твердых коммунальных отходов" sqref="AC17 AC23 AC35 AC29 AC11">
      <formula1>list_typeTKO</formula1>
    </dataValidation>
    <dataValidation type="textLength" operator="lessThanOrEqual" allowBlank="1" showInputMessage="1" showErrorMessage="1" errorTitle="Ошибка" error="Допускается ввод не более 900 символов!" sqref="AI29 AI23 P17:P20 J23:J27 J29:J33 AI35 J35:J39 P35:P38 P29:P32 AI17 J17:J21 P23:P26 AI11 J11:J15 P11:P14">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6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AA94A48-6668-5DFD-8C25-A19B1F743109}" mc:Ignorable="x14ac xr xr2 xr3">
  <sheetPr>
    <tabColor rgb="FFCCCCFF"/>
  </sheetPr>
  <dimension ref="A1:F5"/>
  <sheetViews>
    <sheetView topLeftCell="A1" showGridLines="0" zoomScale="90" workbookViewId="0">
      <selection activeCell="A1" sqref="A1"/>
    </sheetView>
  </sheetViews>
  <sheetFormatPr defaultColWidth="9.140625" customHeight="1" defaultRowHeight="11.25"/>
  <cols>
    <col min="1" max="1" style="1851" width="1.7109375" customWidth="1"/>
    <col min="2" max="2" style="1851" width="34.57421875" customWidth="1"/>
    <col min="3" max="3" style="1851" width="85.00390625" customWidth="1"/>
    <col min="4" max="4" style="1851" width="17.00390625" customWidth="1"/>
    <col min="5" max="5" style="1851" width="8.00390625" customWidth="1"/>
    <col min="6" max="6" style="1851" width="9.140625" hidden="1"/>
  </cols>
  <sheetData>
    <row customHeight="1" ht="3">
      <c r="F1" s="90" t="s">
        <v>14</v>
      </c>
    </row>
    <row customHeight="1" ht="22.5">
      <c r="B2" s="2614" t="s">
        <v>2034</v>
      </c>
      <c r="C2" s="2501"/>
      <c r="D2" s="2501"/>
      <c r="E2" s="269"/>
      <c r="F2" s="90">
        <v>22</v>
      </c>
    </row>
    <row customHeight="1" ht="3">
      <c r="F3" s="90">
        <v>3</v>
      </c>
    </row>
    <row customHeight="1" ht="23.25">
      <c r="B4" s="2615" t="s">
        <v>2035</v>
      </c>
      <c r="C4" s="384" t="s">
        <v>2036</v>
      </c>
      <c r="D4" s="384" t="s">
        <v>2037</v>
      </c>
      <c r="F4" s="90">
        <v>22</v>
      </c>
    </row>
    <row customHeight="1" ht="11.25" hidden="1">
      <c r="A5" s="90" t="s">
        <v>86</v>
      </c>
      <c r="B5" s="90">
        <v>34</v>
      </c>
      <c r="C5" s="90">
        <v>85</v>
      </c>
      <c r="D5" s="90">
        <v>17</v>
      </c>
      <c r="E5" s="90">
        <v>8</v>
      </c>
      <c r="F5" s="90">
        <v>11</v>
      </c>
    </row>
  </sheetData>
  <sheetProtection formatColumns="0" formatRows="0" autoFilter="0" sort="0" insertRows="0" insertColumns="1" deleteRows="0" deleteColumns="0"/>
  <autoFilter ref="B4:D4"/>
  <mergeCells count="1">
    <mergeCell ref="B2:D2"/>
  </mergeCell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90824D8-0468-F6EC-A58F-74112DBD1A1F}" mc:Ignorable="x14ac xr xr2 xr3">
  <sheetPr>
    <tabColor rgb="FFFFCC99"/>
  </sheetPr>
  <dimension ref="A1:GB215"/>
  <sheetViews>
    <sheetView topLeftCell="A1" showGridLines="0" zoomScale="85" workbookViewId="0">
      <selection activeCell="A1" sqref="A1"/>
    </sheetView>
  </sheetViews>
  <sheetFormatPr defaultColWidth="9.140625" customHeight="1" defaultRowHeight="17.1"/>
  <cols>
    <col min="1" max="1" style="1851" width="26.57421875" customWidth="1"/>
    <col min="2" max="2" style="1851" width="10.00390625" customWidth="1"/>
    <col min="3" max="3" style="1851" width="9.140625"/>
    <col min="4" max="4" style="1851" width="11.140625" customWidth="1"/>
    <col min="5" max="5" style="1851" width="16.57421875" customWidth="1"/>
    <col min="6" max="6" style="1851" width="16.28125" customWidth="1"/>
    <col min="7" max="7" style="1851" width="19.140625" customWidth="1"/>
    <col min="8" max="11" style="1851" width="10.00390625" customWidth="1"/>
    <col min="12" max="12" style="1851" width="12.7109375" customWidth="1"/>
    <col min="13" max="13" style="1851" width="61.28125" customWidth="1"/>
    <col min="14" max="14" style="1851" width="10.00390625" customWidth="1"/>
    <col min="15" max="17" style="1851" width="23.7109375" customWidth="1"/>
    <col min="18" max="18" style="1851" width="11.7109375" customWidth="1"/>
    <col min="19" max="19" style="1851" width="8.57421875" customWidth="1"/>
    <col min="20" max="20" style="1851" width="11.7109375" customWidth="1"/>
    <col min="21" max="21" style="1851" width="8.57421875" customWidth="1"/>
    <col min="22" max="22" style="1851" width="4.7109375" customWidth="1"/>
    <col min="23" max="23" style="1851" width="115.7109375" customWidth="1"/>
    <col min="24" max="24" style="1851" width="115.28125" customWidth="1"/>
    <col min="25" max="27" style="1851" width="9.140625"/>
    <col min="28" max="28" style="1851" width="115.7109375" customWidth="1"/>
    <col min="29" max="29" style="1851" width="9.140625"/>
    <col min="30" max="90" style="1851" width="115.7109375" customWidth="1"/>
    <col min="91" max="184" style="1851" width="9.140625"/>
  </cols>
  <sheetData>
    <row r="2" s="1816" customFormat="1" customHeight="1" ht="17.25">
      <c r="A2" s="1816" t="s">
        <v>2038</v>
      </c>
    </row>
    <row r="4" s="265" customFormat="1" customHeight="1" ht="15">
      <c r="C4" s="1817"/>
      <c r="D4" s="114"/>
      <c r="E4" s="378"/>
    </row>
    <row r="6" s="1816" customFormat="1" customHeight="1" ht="17.25">
      <c r="A6" s="1816" t="s">
        <v>2039</v>
      </c>
    </row>
    <row r="8" s="265" customFormat="1" customHeight="1" ht="17.25">
      <c r="C8" s="1818"/>
      <c r="D8" s="114"/>
      <c r="E8" s="115"/>
    </row>
    <row r="11" s="1816" customFormat="1" customHeight="1" ht="17.25">
      <c r="A11" s="1816" t="s">
        <v>2040</v>
      </c>
    </row>
    <row r="13" s="1820" customFormat="1" customHeight="1" ht="15">
      <c r="A13" s="2218">
        <v>1</v>
      </c>
      <c r="B13" s="1161"/>
      <c r="C13" s="802" t="s">
        <v>108</v>
      </c>
      <c r="D13" s="1819"/>
      <c r="E13" s="1806">
        <f>A13</f>
        <v>1</v>
      </c>
      <c r="F13" s="805"/>
      <c r="G13" s="541" t="str">
        <f>"Территория "&amp;E13</f>
        <v>Территория 1</v>
      </c>
      <c r="H13" s="793"/>
      <c r="I13" s="793"/>
      <c r="J13" s="790"/>
      <c r="K13" s="1625"/>
      <c r="L13" s="1625"/>
      <c r="M13" s="1625"/>
      <c r="N13" s="227"/>
      <c r="O13" s="1625"/>
      <c r="P13" s="226"/>
      <c r="Q13" s="226"/>
      <c r="R13" s="226"/>
      <c r="S13" s="226"/>
    </row>
    <row s="1851" customFormat="1" customHeight="1" ht="15">
      <c r="A14" s="2218"/>
      <c r="B14" s="1161">
        <v>1</v>
      </c>
      <c r="C14" s="1161"/>
      <c r="D14" s="801"/>
      <c r="E14" s="1814" t="str">
        <f>A13&amp;"."&amp;B14</f>
        <v>1.1</v>
      </c>
      <c r="F14" s="804">
        <f>$F$20</f>
        <v>0</v>
      </c>
      <c r="G14" s="794"/>
      <c r="H14" s="794"/>
      <c r="I14" s="792"/>
      <c r="J14" s="1625"/>
      <c r="K14" s="1637"/>
      <c r="L14" s="1637"/>
      <c r="M14" s="1625" t="str">
        <f t="array" ref="M14:M14">IF(ISERROR(MATCH(MID(N14,1,250),MID(note_ter,1,250),0)),"n","y")</f>
        <v>n</v>
      </c>
      <c r="N14" s="1637"/>
      <c r="O14" s="1625" t="str">
        <f>H14&amp;"("&amp;I14&amp;")"</f>
        <v>()</v>
      </c>
      <c r="P14" s="1161"/>
      <c r="Q14" s="1161"/>
      <c r="R14" s="421"/>
      <c r="S14" s="1161"/>
      <c r="T14" s="1161"/>
      <c r="U14" s="1161"/>
      <c r="V14" s="423"/>
      <c r="W14" s="423"/>
      <c r="X14" s="420"/>
      <c r="Y14" s="420"/>
      <c r="Z14" s="420"/>
      <c r="AA14" s="420"/>
      <c r="AB14" s="420"/>
      <c r="AC14" s="420"/>
      <c r="AD14" s="420"/>
      <c r="AE14" s="420"/>
      <c r="AF14" s="420"/>
      <c r="AG14" s="420"/>
      <c r="AH14" s="420"/>
      <c r="AI14" s="420"/>
      <c r="AJ14" s="420"/>
      <c r="AK14" s="420"/>
      <c r="AL14" s="420"/>
      <c r="AM14" s="420"/>
      <c r="AN14" s="420"/>
      <c r="AO14" s="420"/>
      <c r="AP14" s="420"/>
      <c r="AQ14" s="420"/>
      <c r="AR14" s="420"/>
      <c r="AS14" s="420"/>
      <c r="AT14" s="420"/>
      <c r="AU14" s="420"/>
      <c r="AV14" s="420"/>
      <c r="AW14" s="420"/>
      <c r="AX14" s="420"/>
      <c r="AY14" s="420"/>
      <c r="AZ14" s="420"/>
      <c r="BA14" s="420"/>
      <c r="BB14" s="420"/>
      <c r="BC14" s="420"/>
      <c r="BD14" s="420"/>
      <c r="BE14" s="420"/>
      <c r="BF14" s="420"/>
      <c r="BG14" s="420"/>
      <c r="BH14" s="420"/>
      <c r="BI14" s="420"/>
      <c r="BJ14" s="420"/>
      <c r="BK14" s="420"/>
      <c r="BL14" s="420"/>
      <c r="BM14" s="420"/>
      <c r="BN14" s="420"/>
      <c r="BO14" s="420"/>
      <c r="BP14" s="420"/>
      <c r="BQ14" s="420"/>
      <c r="BR14" s="420"/>
      <c r="BS14" s="423"/>
      <c r="BT14" s="423"/>
      <c r="BU14" s="423"/>
      <c r="BV14" s="423"/>
      <c r="BW14" s="423"/>
      <c r="BX14" s="423"/>
      <c r="BY14" s="423"/>
      <c r="BZ14" s="423"/>
      <c r="CA14" s="423"/>
      <c r="CB14" s="423"/>
    </row>
    <row s="1851" customFormat="1" customHeight="1" ht="15">
      <c r="A15" s="2218"/>
      <c r="B15" s="1161"/>
      <c r="C15" s="413"/>
      <c r="D15" s="802"/>
      <c r="E15" s="422"/>
      <c r="F15" s="178"/>
      <c r="G15" s="416" t="s">
        <v>106</v>
      </c>
      <c r="H15" s="188"/>
      <c r="I15" s="425"/>
      <c r="J15" s="1637"/>
      <c r="K15" s="1637"/>
      <c r="L15" s="1637"/>
      <c r="M15" s="1637"/>
      <c r="N15" s="1625"/>
      <c r="O15" s="1637"/>
      <c r="P15" s="1161"/>
      <c r="Q15" s="1161"/>
      <c r="R15" s="421"/>
      <c r="S15" s="1161"/>
      <c r="T15" s="1161"/>
      <c r="U15" s="1161"/>
      <c r="V15" s="423"/>
      <c r="W15" s="423"/>
      <c r="X15" s="420"/>
      <c r="Y15" s="420"/>
      <c r="Z15" s="420"/>
      <c r="AA15" s="420"/>
      <c r="AB15" s="420"/>
      <c r="AC15" s="420"/>
      <c r="AD15" s="420"/>
      <c r="AE15" s="420"/>
      <c r="AF15" s="420"/>
      <c r="AG15" s="420"/>
      <c r="AH15" s="420"/>
      <c r="AI15" s="420"/>
      <c r="AJ15" s="420"/>
      <c r="AK15" s="420"/>
      <c r="AL15" s="420"/>
      <c r="AM15" s="420"/>
      <c r="AN15" s="420"/>
      <c r="AO15" s="420"/>
      <c r="AP15" s="420"/>
      <c r="AQ15" s="420"/>
      <c r="AR15" s="420"/>
      <c r="AS15" s="420"/>
      <c r="AT15" s="420"/>
      <c r="AU15" s="420"/>
      <c r="AV15" s="420"/>
      <c r="AW15" s="420"/>
      <c r="AX15" s="420"/>
      <c r="AY15" s="420"/>
      <c r="AZ15" s="420"/>
      <c r="BA15" s="420"/>
      <c r="BB15" s="420"/>
      <c r="BC15" s="420"/>
      <c r="BD15" s="420"/>
      <c r="BE15" s="420"/>
      <c r="BF15" s="420"/>
      <c r="BG15" s="420"/>
      <c r="BH15" s="420"/>
      <c r="BI15" s="420"/>
      <c r="BJ15" s="420"/>
      <c r="BK15" s="420"/>
      <c r="BL15" s="420"/>
      <c r="BM15" s="420"/>
      <c r="BN15" s="420"/>
      <c r="BO15" s="420"/>
      <c r="BP15" s="420"/>
      <c r="BQ15" s="420"/>
      <c r="BR15" s="420"/>
      <c r="BS15" s="423"/>
      <c r="BT15" s="423"/>
      <c r="BU15" s="423"/>
      <c r="BV15" s="423"/>
      <c r="BW15" s="423"/>
      <c r="BX15" s="423"/>
      <c r="BY15" s="423"/>
      <c r="BZ15" s="423"/>
      <c r="CA15" s="423"/>
      <c r="CB15" s="423"/>
    </row>
    <row r="17" s="1816" customFormat="1" customHeight="1" ht="17.25">
      <c r="A17" s="1816" t="s">
        <v>2041</v>
      </c>
    </row>
    <row r="19" s="1851" customFormat="1" customHeight="1" ht="15">
      <c r="A19" s="1883"/>
      <c r="B19" s="1367">
        <v>1</v>
      </c>
      <c r="C19" s="1367"/>
      <c r="D19" s="801" t="s">
        <v>108</v>
      </c>
      <c r="E19" s="1879"/>
      <c r="F19" s="1884">
        <f>$F$20</f>
        <v>0</v>
      </c>
      <c r="G19" s="1888"/>
      <c r="H19" s="1888"/>
      <c r="I19" s="1886"/>
      <c r="J19" s="1625"/>
      <c r="K19" s="1637"/>
      <c r="L19" s="1637"/>
      <c r="M19" s="1625" t="str">
        <f t="array" ref="M19:M19">IF(ISERROR(MATCH(MID(N19,1,250),MID(note_ter,1,250),0)),"n","y")</f>
        <v>n</v>
      </c>
      <c r="N19" s="1637"/>
      <c r="O19" s="1625" t="str">
        <f>H19&amp;"("&amp;I19&amp;")"</f>
        <v>()</v>
      </c>
      <c r="P19" s="1367"/>
      <c r="Q19" s="1367"/>
      <c r="R19" s="421"/>
      <c r="S19" s="1367"/>
      <c r="T19" s="1367"/>
      <c r="U19" s="1367"/>
      <c r="V19" s="834"/>
      <c r="W19" s="834"/>
      <c r="X19" s="628"/>
      <c r="Y19" s="628"/>
      <c r="Z19" s="628"/>
      <c r="AA19" s="628"/>
      <c r="AB19" s="628"/>
      <c r="AC19" s="628"/>
      <c r="AD19" s="628"/>
      <c r="AE19" s="628"/>
      <c r="AF19" s="628"/>
      <c r="AG19" s="628"/>
      <c r="AH19" s="628"/>
      <c r="AI19" s="628"/>
      <c r="AJ19" s="628"/>
      <c r="AK19" s="628"/>
      <c r="AL19" s="628"/>
      <c r="AM19" s="628"/>
      <c r="AN19" s="628"/>
      <c r="AO19" s="628"/>
      <c r="AP19" s="628"/>
      <c r="AQ19" s="628"/>
      <c r="AR19" s="628"/>
      <c r="AS19" s="628"/>
      <c r="AT19" s="628"/>
      <c r="AU19" s="628"/>
      <c r="AV19" s="628"/>
      <c r="AW19" s="628"/>
      <c r="AX19" s="628"/>
      <c r="AY19" s="628"/>
      <c r="AZ19" s="628"/>
      <c r="BA19" s="628"/>
      <c r="BB19" s="628"/>
      <c r="BC19" s="628"/>
      <c r="BD19" s="628"/>
      <c r="BE19" s="628"/>
      <c r="BF19" s="628"/>
      <c r="BG19" s="628"/>
      <c r="BH19" s="628"/>
      <c r="BI19" s="628"/>
      <c r="BJ19" s="628"/>
      <c r="BK19" s="628"/>
      <c r="BL19" s="628"/>
      <c r="BM19" s="628"/>
      <c r="BN19" s="628"/>
      <c r="BO19" s="628"/>
      <c r="BP19" s="628"/>
      <c r="BQ19" s="628"/>
      <c r="BR19" s="628"/>
      <c r="BS19" s="834"/>
      <c r="BT19" s="834"/>
      <c r="BU19" s="834"/>
      <c r="BV19" s="834"/>
      <c r="BW19" s="834"/>
      <c r="BX19" s="834"/>
      <c r="BY19" s="834"/>
      <c r="BZ19" s="834"/>
      <c r="CA19" s="834"/>
      <c r="CB19" s="834"/>
    </row>
    <row r="21" s="1851" customFormat="1" customHeight="1" ht="15">
      <c r="A21" s="1816" t="s">
        <v>2042</v>
      </c>
      <c r="B21" s="1816"/>
      <c r="C21" s="1816"/>
      <c r="D21" s="1816"/>
      <c r="E21" s="1816"/>
      <c r="F21" s="1816"/>
      <c r="G21" s="1816"/>
      <c r="H21" s="1816"/>
      <c r="I21" s="1816"/>
      <c r="J21" s="1816"/>
      <c r="K21" s="1816"/>
      <c r="L21" s="1816"/>
      <c r="M21" s="1816"/>
      <c r="N21" s="1816"/>
      <c r="O21" s="1816"/>
      <c r="P21" s="1816"/>
      <c r="Q21" s="1816"/>
      <c r="R21" s="1816"/>
      <c r="S21" s="1816"/>
      <c r="T21" s="1816"/>
      <c r="U21" s="185"/>
      <c r="V21" s="1816"/>
      <c r="W21" s="1816"/>
    </row>
    <row s="1851" customFormat="1" customHeight="1" ht="15">
      <c r="U22" s="186"/>
    </row>
    <row s="1854" customFormat="1" customHeight="1" ht="15">
      <c r="A23" s="424"/>
      <c r="B23" s="424"/>
      <c r="C23" s="1729" t="s">
        <v>108</v>
      </c>
      <c r="D23" s="2109" t="s">
        <v>123</v>
      </c>
      <c r="E23" s="2110"/>
      <c r="F23" s="2108" t="s">
        <v>19</v>
      </c>
      <c r="G23" s="2558"/>
      <c r="H23" s="2128">
        <v>1</v>
      </c>
      <c r="I23" s="2560" t="str">
        <f>IF(U23="","",INDEX(TERRITORY_MR_LIST,MATCH(U23,TERRITORY_LIST_ID,0)))</f>
        <v/>
      </c>
      <c r="J23" s="2108" t="s">
        <v>19</v>
      </c>
      <c r="K23" s="833"/>
      <c r="L23" s="1783" t="s">
        <v>123</v>
      </c>
      <c r="M23" s="604"/>
      <c r="N23" s="605"/>
      <c r="O23" s="605"/>
      <c r="P23" s="605"/>
      <c r="Q23" s="605"/>
      <c r="R23" s="605"/>
      <c r="S23" s="605"/>
      <c r="T23" s="605"/>
      <c r="U23" s="606"/>
      <c r="V23" s="605"/>
      <c r="W23" s="605"/>
      <c r="X23" s="596"/>
      <c r="Y23" s="596" t="s">
        <v>131</v>
      </c>
      <c r="Z23" s="596">
        <v>1705000</v>
      </c>
      <c r="AA23" s="596"/>
      <c r="AB23" s="596"/>
      <c r="AC23" s="596"/>
      <c r="AD23" s="596"/>
      <c r="AE23" s="596"/>
      <c r="AF23" s="596"/>
      <c r="AG23" s="596"/>
      <c r="AH23" s="596"/>
      <c r="AI23" s="596"/>
      <c r="AJ23" s="596"/>
      <c r="AK23" s="596"/>
      <c r="AL23" s="596"/>
    </row>
    <row s="1854" customFormat="1" customHeight="1" ht="15">
      <c r="A24" s="424"/>
      <c r="B24" s="424"/>
      <c r="C24" s="177"/>
      <c r="D24" s="2109"/>
      <c r="E24" s="2111"/>
      <c r="F24" s="2108"/>
      <c r="G24" s="2559"/>
      <c r="H24" s="2128"/>
      <c r="I24" s="2561"/>
      <c r="J24" s="2108"/>
      <c r="K24" s="422"/>
      <c r="L24" s="178"/>
      <c r="M24" s="608" t="s">
        <v>132</v>
      </c>
      <c r="N24" s="605"/>
      <c r="O24" s="605"/>
      <c r="P24" s="605"/>
      <c r="Q24" s="605"/>
      <c r="R24" s="605"/>
      <c r="S24" s="605"/>
      <c r="T24" s="605"/>
      <c r="U24" s="606"/>
      <c r="V24" s="605"/>
      <c r="W24" s="605"/>
      <c r="X24" s="596"/>
      <c r="Y24" s="596"/>
      <c r="Z24" s="596"/>
      <c r="AA24" s="596"/>
      <c r="AB24" s="596"/>
      <c r="AC24" s="596"/>
      <c r="AD24" s="596"/>
      <c r="AE24" s="596"/>
      <c r="AF24" s="596"/>
      <c r="AG24" s="596"/>
      <c r="AH24" s="596"/>
      <c r="AI24" s="596"/>
      <c r="AJ24" s="596"/>
      <c r="AK24" s="596"/>
      <c r="AL24" s="596"/>
    </row>
    <row s="1854" customFormat="1" customHeight="1" ht="15">
      <c r="A25" s="424"/>
      <c r="B25" s="424"/>
      <c r="C25" s="177"/>
      <c r="D25" s="2109"/>
      <c r="E25" s="2112"/>
      <c r="F25" s="2108"/>
      <c r="G25" s="422"/>
      <c r="H25" s="178"/>
      <c r="I25" s="581" t="s">
        <v>133</v>
      </c>
      <c r="J25" s="178"/>
      <c r="K25" s="178"/>
      <c r="L25" s="178"/>
      <c r="M25" s="609"/>
      <c r="N25" s="605"/>
      <c r="O25" s="605"/>
      <c r="P25" s="605"/>
      <c r="Q25" s="605"/>
      <c r="R25" s="605"/>
      <c r="S25" s="605"/>
      <c r="T25" s="605"/>
      <c r="U25" s="606"/>
      <c r="V25" s="605"/>
      <c r="W25" s="605"/>
      <c r="X25" s="596"/>
      <c r="Y25" s="596"/>
      <c r="Z25" s="596"/>
      <c r="AA25" s="596"/>
      <c r="AB25" s="596"/>
      <c r="AC25" s="596"/>
      <c r="AD25" s="596"/>
      <c r="AE25" s="596"/>
      <c r="AF25" s="596"/>
      <c r="AG25" s="596"/>
      <c r="AH25" s="596"/>
      <c r="AI25" s="596"/>
      <c r="AJ25" s="596"/>
      <c r="AK25" s="596"/>
      <c r="AL25" s="596"/>
    </row>
    <row s="1851" customFormat="1" customHeight="1" ht="15">
      <c r="U26" s="186"/>
    </row>
    <row s="1851" customFormat="1" customHeight="1" ht="15">
      <c r="A27" s="1816" t="s">
        <v>2043</v>
      </c>
      <c r="B27" s="1816"/>
      <c r="C27" s="1816"/>
      <c r="D27" s="1816"/>
      <c r="E27" s="1816"/>
      <c r="F27" s="1816"/>
      <c r="G27" s="1816"/>
      <c r="H27" s="1816"/>
      <c r="I27" s="1816"/>
      <c r="J27" s="1816"/>
      <c r="K27" s="1816"/>
      <c r="L27" s="1816"/>
      <c r="M27" s="1816"/>
      <c r="N27" s="1816"/>
      <c r="O27" s="1816"/>
      <c r="P27" s="1816"/>
      <c r="Q27" s="1816"/>
      <c r="R27" s="1816"/>
      <c r="S27" s="1816"/>
      <c r="T27" s="1816"/>
      <c r="U27" s="185"/>
      <c r="V27" s="1816"/>
      <c r="W27" s="1816"/>
    </row>
    <row s="1851" customFormat="1" customHeight="1" ht="15">
      <c r="U28" s="186"/>
    </row>
    <row s="1854" customFormat="1" customHeight="1" ht="15">
      <c r="A29" s="424"/>
      <c r="B29" s="424"/>
      <c r="C29" s="177"/>
      <c r="D29" s="1822"/>
      <c r="E29" s="1822"/>
      <c r="F29" s="1822"/>
      <c r="G29" s="2562" t="s">
        <v>108</v>
      </c>
      <c r="H29" s="2104">
        <v>1</v>
      </c>
      <c r="I29" s="2563" t="str">
        <f>IF(U29="","",INDEX(TERRITORY_MR_LIST,MATCH(U29,TERRITORY_LIST_ID,0)))</f>
        <v/>
      </c>
      <c r="J29" s="2108" t="s">
        <v>19</v>
      </c>
      <c r="K29" s="833"/>
      <c r="L29" s="1783" t="s">
        <v>123</v>
      </c>
      <c r="M29" s="604"/>
      <c r="N29" s="605"/>
      <c r="O29" s="605"/>
      <c r="P29" s="605"/>
      <c r="Q29" s="605"/>
      <c r="R29" s="605"/>
      <c r="S29" s="605"/>
      <c r="T29" s="605"/>
      <c r="U29" s="606"/>
      <c r="V29" s="605"/>
      <c r="W29" s="605"/>
      <c r="X29" s="596"/>
      <c r="Y29" s="596" t="s">
        <v>131</v>
      </c>
      <c r="Z29" s="596">
        <v>1705000</v>
      </c>
      <c r="AA29" s="596"/>
      <c r="AB29" s="596"/>
      <c r="AC29" s="596"/>
      <c r="AD29" s="596"/>
      <c r="AE29" s="596"/>
      <c r="AF29" s="596"/>
      <c r="AG29" s="596"/>
      <c r="AH29" s="596"/>
      <c r="AI29" s="596"/>
      <c r="AJ29" s="596"/>
      <c r="AK29" s="596"/>
      <c r="AL29" s="596"/>
    </row>
    <row s="1854" customFormat="1" customHeight="1" ht="15">
      <c r="A30" s="424"/>
      <c r="B30" s="424"/>
      <c r="C30" s="177"/>
      <c r="D30" s="1822"/>
      <c r="E30" s="1822"/>
      <c r="F30" s="1822"/>
      <c r="G30" s="2562"/>
      <c r="H30" s="2104"/>
      <c r="I30" s="2563"/>
      <c r="J30" s="2108"/>
      <c r="K30" s="422"/>
      <c r="L30" s="178"/>
      <c r="M30" s="608" t="s">
        <v>132</v>
      </c>
      <c r="N30" s="605"/>
      <c r="O30" s="605"/>
      <c r="P30" s="605"/>
      <c r="Q30" s="605"/>
      <c r="R30" s="605"/>
      <c r="S30" s="605"/>
      <c r="T30" s="605"/>
      <c r="U30" s="606"/>
      <c r="V30" s="605"/>
      <c r="W30" s="605"/>
      <c r="X30" s="596"/>
      <c r="Y30" s="596"/>
      <c r="Z30" s="596"/>
      <c r="AA30" s="596"/>
      <c r="AB30" s="596"/>
      <c r="AC30" s="596"/>
      <c r="AD30" s="596"/>
      <c r="AE30" s="596"/>
      <c r="AF30" s="596"/>
      <c r="AG30" s="596"/>
      <c r="AH30" s="596"/>
      <c r="AI30" s="596"/>
      <c r="AJ30" s="596"/>
      <c r="AK30" s="596"/>
      <c r="AL30" s="596"/>
    </row>
    <row s="1851" customFormat="1" customHeight="1" ht="15">
      <c r="U31" s="186"/>
    </row>
    <row s="1851" customFormat="1" customHeight="1" ht="15">
      <c r="A32" s="1816" t="s">
        <v>2044</v>
      </c>
      <c r="B32" s="1816"/>
      <c r="C32" s="1816"/>
      <c r="D32" s="1816"/>
      <c r="E32" s="1816"/>
      <c r="F32" s="1816"/>
      <c r="G32" s="1816"/>
      <c r="H32" s="1816"/>
      <c r="I32" s="1816"/>
      <c r="J32" s="1816"/>
      <c r="K32" s="1816"/>
      <c r="L32" s="1816"/>
      <c r="M32" s="1816"/>
      <c r="N32" s="1816"/>
      <c r="O32" s="1816"/>
      <c r="P32" s="1816"/>
      <c r="Q32" s="1816"/>
      <c r="R32" s="1816"/>
      <c r="S32" s="1816"/>
      <c r="T32" s="1816"/>
      <c r="U32" s="185"/>
      <c r="V32" s="1816"/>
      <c r="W32" s="1816"/>
    </row>
    <row s="1851" customFormat="1" customHeight="1" ht="15">
      <c r="U33" s="186"/>
    </row>
    <row s="1854" customFormat="1" customHeight="1" ht="15">
      <c r="A34" s="424"/>
      <c r="B34" s="424"/>
      <c r="C34" s="177"/>
      <c r="D34" s="1822"/>
      <c r="E34" s="1822"/>
      <c r="F34" s="1822"/>
      <c r="G34" s="1822"/>
      <c r="H34" s="1822"/>
      <c r="I34" s="1822"/>
      <c r="J34" s="1822"/>
      <c r="K34" s="1800" t="s">
        <v>108</v>
      </c>
      <c r="L34" s="1730" t="s">
        <v>123</v>
      </c>
      <c r="M34" s="812"/>
      <c r="N34" s="813"/>
      <c r="O34" s="605"/>
      <c r="P34" s="605"/>
      <c r="Q34" s="605"/>
      <c r="R34" s="605"/>
      <c r="S34" s="605"/>
      <c r="T34" s="605"/>
      <c r="U34" s="606"/>
      <c r="V34" s="605"/>
      <c r="W34" s="605"/>
      <c r="X34" s="596"/>
      <c r="Y34" s="596" t="s">
        <v>131</v>
      </c>
      <c r="Z34" s="596">
        <v>1705000</v>
      </c>
      <c r="AA34" s="596"/>
      <c r="AB34" s="596"/>
      <c r="AC34" s="596"/>
      <c r="AD34" s="596"/>
      <c r="AE34" s="596"/>
      <c r="AF34" s="596"/>
      <c r="AG34" s="596"/>
      <c r="AH34" s="596"/>
      <c r="AI34" s="596"/>
      <c r="AJ34" s="596"/>
      <c r="AK34" s="596"/>
      <c r="AL34" s="596"/>
    </row>
    <row s="1851" customFormat="1" customHeight="1" ht="15">
      <c r="U35" s="186"/>
    </row>
    <row s="1851" customFormat="1" customHeight="1" ht="15">
      <c r="U36" s="186"/>
    </row>
    <row s="1816" customFormat="1" customHeight="1" ht="11.25">
      <c r="A37" s="1816" t="s">
        <v>2045</v>
      </c>
    </row>
    <row customHeight="1" ht="11.25"/>
    <row s="456" customFormat="1" customHeight="1" ht="22.5">
      <c r="A39" s="1792"/>
      <c r="B39" s="458"/>
      <c r="C39" s="860"/>
      <c r="D39" s="441"/>
      <c r="E39" s="861"/>
      <c r="F39" s="1813"/>
      <c r="G39" s="1823"/>
      <c r="H39" s="476"/>
    </row>
    <row customHeight="1" ht="11.25"/>
    <row s="1816" customFormat="1" customHeight="1" ht="11.25">
      <c r="A41" s="1816" t="s">
        <v>2046</v>
      </c>
    </row>
    <row customHeight="1" ht="11.25"/>
    <row s="456" customFormat="1" customHeight="1" ht="22.5">
      <c r="A43" s="458"/>
      <c r="B43" s="458"/>
      <c r="C43" s="458"/>
      <c r="D43" s="441"/>
      <c r="E43" s="861"/>
      <c r="F43" s="862"/>
      <c r="G43" s="1823"/>
      <c r="H43" s="476"/>
    </row>
    <row customHeight="1" ht="11.25"/>
    <row s="1816" customFormat="1" customHeight="1" ht="11.25">
      <c r="A45" s="1816" t="s">
        <v>2047</v>
      </c>
    </row>
    <row customHeight="1" ht="11.25"/>
    <row s="456" customFormat="1" customHeight="1" ht="24">
      <c r="A47" s="2203" t="s">
        <v>443</v>
      </c>
      <c r="B47" s="503"/>
      <c r="C47" s="2214"/>
      <c r="D47" s="446" t="str">
        <f>A47</f>
        <v>5.1</v>
      </c>
      <c r="E47" s="443" t="s">
        <v>444</v>
      </c>
      <c r="F47" s="1977" t="s">
        <v>436</v>
      </c>
      <c r="G47" s="445" t="s">
        <v>445</v>
      </c>
      <c r="H47" s="476"/>
      <c r="I47" s="853"/>
    </row>
    <row s="456" customFormat="1" customHeight="1" ht="22.5">
      <c r="A48" s="2203"/>
      <c r="B48" s="503"/>
      <c r="C48" s="2214"/>
      <c r="D48" s="441" t="str">
        <f>D47&amp;".1"</f>
        <v>5.1.1</v>
      </c>
      <c r="E48" s="440" t="s">
        <v>446</v>
      </c>
      <c r="F48" s="1978" t="s">
        <v>28</v>
      </c>
      <c r="G48" s="475"/>
      <c r="H48" s="476"/>
      <c r="I48" s="853"/>
    </row>
    <row s="456" customFormat="1" customHeight="1" ht="22.5">
      <c r="A49" s="2203"/>
      <c r="B49" s="503"/>
      <c r="C49" s="2214"/>
      <c r="D49" s="441" t="str">
        <f>D47&amp;".2"</f>
        <v>5.1.2</v>
      </c>
      <c r="E49" s="440" t="s">
        <v>447</v>
      </c>
      <c r="F49" s="1733" t="s">
        <v>28</v>
      </c>
      <c r="G49" s="445" t="s">
        <v>448</v>
      </c>
      <c r="H49" s="476"/>
      <c r="I49" s="853"/>
    </row>
    <row s="456" customFormat="1" customHeight="1" ht="22.5">
      <c r="A50" s="2203"/>
      <c r="B50" s="503"/>
      <c r="C50" s="2214"/>
      <c r="D50" s="441" t="str">
        <f>D47&amp;".3"</f>
        <v>5.1.3</v>
      </c>
      <c r="E50" s="440" t="s">
        <v>449</v>
      </c>
      <c r="F50" s="1978" t="s">
        <v>28</v>
      </c>
      <c r="G50" s="475"/>
      <c r="H50" s="476"/>
      <c r="I50" s="853"/>
    </row>
    <row s="456" customFormat="1" customHeight="1" ht="22.5">
      <c r="A51" s="2203"/>
      <c r="B51" s="503"/>
      <c r="C51" s="2214"/>
      <c r="D51" s="441" t="str">
        <f>D47&amp;".4"</f>
        <v>5.1.4</v>
      </c>
      <c r="E51" s="440" t="s">
        <v>450</v>
      </c>
      <c r="F51" s="1978" t="s">
        <v>28</v>
      </c>
      <c r="G51" s="445" t="s">
        <v>451</v>
      </c>
      <c r="H51" s="476"/>
      <c r="I51" s="853"/>
    </row>
    <row r="54" s="1816" customFormat="1" customHeight="1" ht="17.25">
      <c r="A54" s="1816" t="s">
        <v>2048</v>
      </c>
    </row>
    <row r="56" s="1613" customFormat="1" customHeight="1" ht="18.75">
      <c r="A56" s="90"/>
      <c r="B56" s="1824"/>
      <c r="C56" s="1824"/>
      <c r="D56" s="1825"/>
      <c r="E56" s="1810"/>
      <c r="F56" s="869">
        <v>13</v>
      </c>
      <c r="G56" s="868"/>
      <c r="H56" s="794"/>
      <c r="I56" s="792"/>
      <c r="J56" s="521" t="s">
        <v>65</v>
      </c>
      <c r="K56" s="1826" t="s">
        <v>28</v>
      </c>
      <c r="L56" s="90"/>
      <c r="M56" s="1637"/>
      <c r="N56" s="1637"/>
      <c r="O56" s="1637"/>
      <c r="P56" s="517" t="s">
        <v>522</v>
      </c>
      <c r="Q56" s="517" t="s">
        <v>523</v>
      </c>
      <c r="R56" s="518" t="s">
        <v>524</v>
      </c>
      <c r="S56" s="1637" t="s">
        <v>525</v>
      </c>
      <c r="T56" s="1637"/>
      <c r="U56" s="1637"/>
      <c r="V56" s="1637"/>
    </row>
    <row r="58" s="1816" customFormat="1" customHeight="1" ht="11.25">
      <c r="A58" s="1816" t="s">
        <v>2049</v>
      </c>
    </row>
    <row r="60" s="1636" customFormat="1" customHeight="1" ht="14.25">
      <c r="C60" s="1689"/>
      <c r="D60" s="1870"/>
      <c r="E60" s="1778" t="s">
        <v>28</v>
      </c>
      <c r="F60" s="1869"/>
      <c r="G60" s="857"/>
      <c r="H60" s="1779"/>
      <c r="I60" s="1779"/>
      <c r="J60" s="434"/>
      <c r="K60" s="1864"/>
      <c r="L60" s="433"/>
      <c r="M60" s="1864"/>
      <c r="N60" s="434"/>
      <c r="O60" s="1864"/>
      <c r="P60" s="434"/>
      <c r="Q60" s="1864"/>
      <c r="R60" s="434"/>
      <c r="S60" s="855"/>
      <c r="T60" s="1779"/>
      <c r="U60" s="434"/>
      <c r="V60" s="434"/>
      <c r="W60" s="1868"/>
      <c r="X60" s="1779"/>
      <c r="Y60" s="434"/>
      <c r="Z60" s="434"/>
      <c r="AA60" s="1868"/>
      <c r="AB60" s="1779"/>
      <c r="AC60" s="434"/>
      <c r="AD60" s="1868"/>
      <c r="AE60" s="90"/>
      <c r="AF60" s="90"/>
      <c r="AG60" s="90"/>
      <c r="AH60" s="90"/>
      <c r="AJ60" s="1637"/>
      <c r="AK60" s="1637"/>
      <c r="AL60" s="1637"/>
      <c r="AM60" s="1637"/>
      <c r="AN60" s="1637"/>
      <c r="AO60" s="1637"/>
      <c r="AP60" s="1625" t="s">
        <v>511</v>
      </c>
      <c r="AQ60" s="1625" t="s">
        <v>511</v>
      </c>
      <c r="AR60" s="1637"/>
      <c r="AS60" s="1637"/>
    </row>
    <row r="62" s="1816" customFormat="1" customHeight="1" ht="11.25">
      <c r="A62" s="1816" t="s">
        <v>2050</v>
      </c>
    </row>
    <row r="64" s="1824" customFormat="1" customHeight="1" ht="15">
      <c r="A64" s="146" t="s">
        <v>94</v>
      </c>
      <c r="B64" s="126" t="s">
        <v>28</v>
      </c>
      <c r="C64" s="1827"/>
      <c r="D64" s="129"/>
      <c r="E64" s="382"/>
      <c r="F64" s="382"/>
      <c r="G64" s="1804"/>
      <c r="H64" s="1826"/>
      <c r="I64" s="1805"/>
      <c r="K64" s="273"/>
      <c r="L64" s="274"/>
    </row>
    <row r="66" s="1816" customFormat="1" customHeight="1" ht="11.25">
      <c r="A66" s="1816" t="s">
        <v>2051</v>
      </c>
    </row>
    <row r="68" s="1636" customFormat="1" customHeight="1" ht="14.25">
      <c r="A68" s="344"/>
      <c r="B68" s="1161"/>
      <c r="C68" s="377"/>
      <c r="D68" s="1811"/>
      <c r="E68" s="887"/>
      <c r="F68" s="1826"/>
      <c r="G68" s="90"/>
      <c r="I68" s="1625"/>
      <c r="J68" s="1625"/>
    </row>
    <row r="70" s="1816" customFormat="1" customHeight="1" ht="11.25">
      <c r="A70" s="1816" t="s">
        <v>2052</v>
      </c>
    </row>
    <row r="72" s="1636" customFormat="1" customHeight="1" ht="27">
      <c r="A72" s="1167"/>
      <c r="B72" s="1167"/>
      <c r="C72" s="1167"/>
      <c r="D72" s="1161"/>
      <c r="E72" s="1828"/>
      <c r="F72" s="2582"/>
      <c r="G72" s="2583"/>
      <c r="H72" s="2584" t="s">
        <v>65</v>
      </c>
      <c r="I72" s="2586"/>
      <c r="J72" s="2549"/>
      <c r="K72" s="2588"/>
      <c r="L72" s="2551"/>
      <c r="M72" s="2551"/>
      <c r="N72" s="2552"/>
      <c r="O72" s="2552"/>
      <c r="P72" s="2553">
        <f>DATEDIF(DATEVALUE(N72),DATEVALUE(O72),"y")&amp;"г. "&amp;DATEDIF(DATEVALUE(N72),DATEVALUE(O72),"ym")&amp;"мес. "&amp;DATEVALUE(O72)-DATE(YEAR(DATEVALUE(O72)),MONTH(DATEVALUE(O72)),1)&amp;"дн. "</f>
      </c>
      <c r="Q72" s="2548"/>
      <c r="R72" s="2548"/>
      <c r="S72" s="2548"/>
      <c r="T72" s="2549"/>
      <c r="U72" s="2548"/>
      <c r="V72" s="2548"/>
      <c r="W72" s="2548"/>
      <c r="X72" s="2549"/>
      <c r="Y72" s="2546" t="s">
        <v>65</v>
      </c>
      <c r="Z72" s="1809"/>
      <c r="AA72" s="1793">
        <v>1</v>
      </c>
      <c r="AB72" s="1243"/>
      <c r="AD72" s="1637" t="s">
        <v>2053</v>
      </c>
    </row>
    <row s="1636" customFormat="1" customHeight="1" ht="10.5">
      <c r="A73" s="1167"/>
      <c r="B73" s="1167"/>
      <c r="C73" s="1167"/>
      <c r="D73" s="1161"/>
      <c r="E73" s="948"/>
      <c r="F73" s="2582"/>
      <c r="G73" s="2583"/>
      <c r="H73" s="2585"/>
      <c r="I73" s="2587"/>
      <c r="J73" s="2550"/>
      <c r="K73" s="2588"/>
      <c r="L73" s="2551"/>
      <c r="M73" s="2551"/>
      <c r="N73" s="2552"/>
      <c r="O73" s="2552"/>
      <c r="P73" s="2553"/>
      <c r="Q73" s="2548"/>
      <c r="R73" s="2548"/>
      <c r="S73" s="2548"/>
      <c r="T73" s="2550"/>
      <c r="U73" s="2548"/>
      <c r="V73" s="2548"/>
      <c r="W73" s="2548"/>
      <c r="X73" s="2550"/>
      <c r="Y73" s="2547"/>
      <c r="Z73" s="348"/>
      <c r="AA73" s="573"/>
      <c r="AB73" s="653" t="s">
        <v>2054</v>
      </c>
    </row>
    <row r="75" s="1816" customFormat="1" customHeight="1" ht="11.25">
      <c r="A75" s="1816" t="s">
        <v>2055</v>
      </c>
    </row>
    <row r="77" s="1636" customFormat="1" customHeight="1" ht="27">
      <c r="A77" s="1167"/>
      <c r="B77" s="1167"/>
      <c r="C77" s="1167"/>
      <c r="D77" s="1161"/>
      <c r="E77" s="1828"/>
      <c r="F77" s="1798"/>
      <c r="G77" s="1748"/>
      <c r="H77" s="1749"/>
      <c r="I77" s="1750"/>
      <c r="J77" s="1751"/>
      <c r="K77" s="1752"/>
      <c r="L77" s="1753"/>
      <c r="M77" s="1753"/>
      <c r="N77" s="1754"/>
      <c r="O77" s="1754"/>
      <c r="P77" s="1755"/>
      <c r="Q77" s="1756"/>
      <c r="R77" s="1756"/>
      <c r="S77" s="1756"/>
      <c r="T77" s="1751"/>
      <c r="U77" s="1756"/>
      <c r="V77" s="1756"/>
      <c r="W77" s="1756"/>
      <c r="X77" s="1751"/>
      <c r="Y77" s="1749"/>
      <c r="Z77" s="1809"/>
      <c r="AA77" s="1793">
        <v>1</v>
      </c>
      <c r="AB77" s="1243"/>
      <c r="AD77" s="1637" t="s">
        <v>2053</v>
      </c>
    </row>
    <row r="79" s="1816" customFormat="1" customHeight="1" ht="11.25">
      <c r="A79" s="1816" t="s">
        <v>2056</v>
      </c>
    </row>
    <row customHeight="1" ht="17.25"/>
    <row s="1636" customFormat="1" customHeight="1" ht="21">
      <c r="A81" s="1168"/>
      <c r="B81" s="1167"/>
      <c r="C81" s="1167"/>
      <c r="D81" s="1161"/>
      <c r="E81" s="1171"/>
      <c r="F81" s="1123">
        <f>INDEX(IP_MAIN_LIST_NAME_IP,MATCH(A81,IP_MAIN_LIST_IP_ID,0))&amp;" ("&amp;INDEX(IP_MAIN_START_DATE,MATCH(A81,IP_MAIN_LIST_IP_ID,0))&amp;"-"&amp;INDEX(IP_MAIN_END_DATE,MATCH(A81,IP_MAIN_LIST_IP_ID,0))&amp;")"</f>
      </c>
      <c r="G81" s="1124"/>
      <c r="H81" s="1124"/>
      <c r="I81" s="1186"/>
      <c r="J81" s="1186"/>
      <c r="K81" s="1187"/>
      <c r="L81" s="1187"/>
      <c r="M81" s="1187"/>
      <c r="N81" s="1188"/>
      <c r="O81" s="1188"/>
      <c r="P81" s="1188"/>
      <c r="Q81" s="1188"/>
      <c r="R81" s="1188"/>
      <c r="S81" s="1188"/>
      <c r="T81" s="1188"/>
      <c r="U81" s="1188"/>
      <c r="V81" s="1188"/>
      <c r="W81" s="1188"/>
      <c r="X81" s="1188"/>
      <c r="Y81" s="1188"/>
      <c r="Z81" s="1188"/>
      <c r="AA81" s="1188"/>
      <c r="AB81" s="1188"/>
      <c r="AC81" s="1188"/>
      <c r="AD81" s="1188"/>
      <c r="AE81" s="1189"/>
      <c r="AF81" s="1187"/>
      <c r="AG81" s="1187"/>
      <c r="AH81" s="1187"/>
      <c r="AI81" s="1187"/>
      <c r="AJ81" s="1187"/>
      <c r="AK81" s="1187"/>
      <c r="AL81" s="1989"/>
      <c r="AM81" s="1824"/>
      <c r="AN81" s="1824"/>
      <c r="AO81" s="1824"/>
      <c r="AP81" s="1824"/>
      <c r="AQ81" s="1824"/>
      <c r="AR81" s="1824"/>
      <c r="AS81" s="1824"/>
      <c r="AT81" s="1824"/>
      <c r="AU81" s="1824"/>
      <c r="AV81" s="1824"/>
      <c r="AW81" s="1824"/>
      <c r="AX81" s="1824"/>
      <c r="AY81" s="1824"/>
      <c r="AZ81" s="1824"/>
      <c r="BA81" s="1824"/>
      <c r="BB81" s="1824"/>
      <c r="BC81" s="1824"/>
      <c r="BD81" s="1824"/>
      <c r="BE81" s="1824"/>
      <c r="BF81" s="1824"/>
    </row>
    <row s="1636" customFormat="1" customHeight="1" ht="0.75">
      <c r="A82" s="1167"/>
      <c r="B82" s="1167"/>
      <c r="C82" s="1167"/>
      <c r="D82" s="1161"/>
      <c r="E82" s="1171"/>
      <c r="F82" s="2537"/>
      <c r="G82" s="2516"/>
      <c r="H82" s="2541" t="s">
        <v>506</v>
      </c>
      <c r="I82" s="2542"/>
      <c r="J82" s="2543"/>
      <c r="K82" s="2543"/>
      <c r="L82" s="2535"/>
      <c r="M82" s="2269"/>
      <c r="N82" s="2037"/>
      <c r="O82" s="2036"/>
      <c r="P82" s="2037"/>
      <c r="Q82" s="2037"/>
      <c r="R82" s="2037"/>
      <c r="S82" s="2037"/>
      <c r="T82" s="2037"/>
      <c r="U82" s="2037"/>
      <c r="V82" s="2037"/>
      <c r="W82" s="2037"/>
      <c r="X82" s="2037"/>
      <c r="Y82" s="2037"/>
      <c r="Z82" s="2037"/>
      <c r="AA82" s="2037"/>
      <c r="AB82" s="2037"/>
      <c r="AC82" s="2037"/>
      <c r="AD82" s="2037"/>
      <c r="AE82" s="2037"/>
      <c r="AF82" s="2539"/>
      <c r="AG82" s="2535"/>
      <c r="AH82" s="2535"/>
      <c r="AI82" s="2539"/>
      <c r="AJ82" s="2535"/>
      <c r="AK82" s="2535"/>
      <c r="AL82" s="1989"/>
      <c r="AM82" s="1824"/>
      <c r="AN82" s="1824"/>
      <c r="AO82" s="1824"/>
      <c r="AP82" s="1824"/>
      <c r="AQ82" s="1824"/>
      <c r="AR82" s="1824"/>
      <c r="AS82" s="1824"/>
      <c r="AT82" s="1824"/>
      <c r="AU82" s="1824"/>
      <c r="AV82" s="1824"/>
      <c r="AW82" s="1824"/>
      <c r="AX82" s="1824"/>
      <c r="AY82" s="1824"/>
      <c r="AZ82" s="1824"/>
      <c r="BA82" s="1824"/>
      <c r="BB82" s="1824"/>
      <c r="BC82" s="1824"/>
      <c r="BD82" s="1824"/>
      <c r="BE82" s="1824"/>
      <c r="BF82" s="1824"/>
    </row>
    <row s="1636" customFormat="1" customHeight="1" ht="0.75">
      <c r="A83" s="1167"/>
      <c r="B83" s="1167"/>
      <c r="C83" s="1167"/>
      <c r="D83" s="1161"/>
      <c r="E83" s="1171"/>
      <c r="F83" s="2537"/>
      <c r="G83" s="2516"/>
      <c r="H83" s="2541"/>
      <c r="I83" s="2542"/>
      <c r="J83" s="2543"/>
      <c r="K83" s="2543"/>
      <c r="L83" s="2535"/>
      <c r="M83" s="2269"/>
      <c r="N83" s="2544"/>
      <c r="O83" s="2545"/>
      <c r="P83" s="2589"/>
      <c r="Q83" s="2540"/>
      <c r="R83" s="2540"/>
      <c r="S83" s="2540"/>
      <c r="T83" s="2540"/>
      <c r="U83" s="2540"/>
      <c r="V83" s="2540"/>
      <c r="W83" s="2540"/>
      <c r="X83" s="2540"/>
      <c r="Y83" s="2540"/>
      <c r="Z83" s="2038"/>
      <c r="AA83" s="2039"/>
      <c r="AB83" s="2039"/>
      <c r="AC83" s="2040"/>
      <c r="AD83" s="2040"/>
      <c r="AE83" s="2041"/>
      <c r="AF83" s="2539"/>
      <c r="AG83" s="2535"/>
      <c r="AH83" s="2535"/>
      <c r="AI83" s="2539"/>
      <c r="AJ83" s="2535"/>
      <c r="AK83" s="2535"/>
      <c r="AL83" s="1989"/>
      <c r="AM83" s="1824"/>
      <c r="AN83" s="1824"/>
      <c r="AO83" s="1824"/>
      <c r="AP83" s="1824"/>
      <c r="AQ83" s="1824"/>
      <c r="AR83" s="1824"/>
      <c r="AS83" s="1824"/>
      <c r="AT83" s="1824"/>
      <c r="AU83" s="1824"/>
      <c r="AV83" s="1824"/>
      <c r="AW83" s="1824"/>
      <c r="AX83" s="1824"/>
      <c r="AY83" s="1824"/>
      <c r="AZ83" s="1824"/>
      <c r="BA83" s="1824"/>
      <c r="BB83" s="1824"/>
      <c r="BC83" s="1824"/>
      <c r="BD83" s="1824"/>
      <c r="BE83" s="1824"/>
      <c r="BF83" s="1824"/>
    </row>
    <row s="1636" customFormat="1" customHeight="1" ht="0.75">
      <c r="A84" s="1167"/>
      <c r="B84" s="1167"/>
      <c r="C84" s="1167"/>
      <c r="D84" s="1161"/>
      <c r="E84" s="1171"/>
      <c r="F84" s="2537"/>
      <c r="G84" s="2516"/>
      <c r="H84" s="2541"/>
      <c r="I84" s="2542"/>
      <c r="J84" s="2543"/>
      <c r="K84" s="2543"/>
      <c r="L84" s="2535"/>
      <c r="M84" s="2269"/>
      <c r="N84" s="2544"/>
      <c r="O84" s="2545"/>
      <c r="P84" s="2590"/>
      <c r="Q84" s="2540"/>
      <c r="R84" s="2540"/>
      <c r="S84" s="2540"/>
      <c r="T84" s="2540"/>
      <c r="U84" s="2540"/>
      <c r="V84" s="2540"/>
      <c r="W84" s="2540"/>
      <c r="X84" s="2540"/>
      <c r="Y84" s="2540"/>
      <c r="Z84" s="2042"/>
      <c r="AA84" s="2043"/>
      <c r="AB84" s="2044"/>
      <c r="AC84" s="2045"/>
      <c r="AD84" s="2044"/>
      <c r="AE84" s="2045"/>
      <c r="AF84" s="2539"/>
      <c r="AG84" s="2535"/>
      <c r="AH84" s="2535"/>
      <c r="AI84" s="2539"/>
      <c r="AJ84" s="2535"/>
      <c r="AK84" s="2535"/>
      <c r="AL84" s="1989"/>
      <c r="AM84" s="1824"/>
      <c r="AN84" s="1824"/>
      <c r="AO84" s="1824"/>
      <c r="AP84" s="1824"/>
      <c r="AQ84" s="1824"/>
      <c r="AR84" s="1824"/>
      <c r="AS84" s="1824"/>
      <c r="AT84" s="1824"/>
      <c r="AU84" s="1824"/>
      <c r="AV84" s="1824"/>
      <c r="AW84" s="1824"/>
      <c r="AX84" s="1824"/>
      <c r="AY84" s="1824"/>
      <c r="AZ84" s="1824"/>
      <c r="BA84" s="1824"/>
      <c r="BB84" s="1824"/>
      <c r="BC84" s="1824"/>
      <c r="BD84" s="1824"/>
      <c r="BE84" s="1824"/>
      <c r="BF84" s="1824"/>
    </row>
    <row s="1636" customFormat="1" customHeight="1" ht="0.75">
      <c r="A85" s="1167"/>
      <c r="B85" s="1167"/>
      <c r="C85" s="1167"/>
      <c r="D85" s="1161"/>
      <c r="E85" s="1171"/>
      <c r="F85" s="2537"/>
      <c r="G85" s="2516"/>
      <c r="H85" s="2541"/>
      <c r="I85" s="2542"/>
      <c r="J85" s="2543"/>
      <c r="K85" s="2543"/>
      <c r="L85" s="2535"/>
      <c r="M85" s="2269"/>
      <c r="N85" s="2544"/>
      <c r="O85" s="2545"/>
      <c r="P85" s="2591"/>
      <c r="Q85" s="2540"/>
      <c r="R85" s="2540"/>
      <c r="S85" s="2540"/>
      <c r="T85" s="2540"/>
      <c r="U85" s="2540"/>
      <c r="V85" s="2540"/>
      <c r="W85" s="2540"/>
      <c r="X85" s="2540"/>
      <c r="Y85" s="2540"/>
      <c r="Z85" s="2038"/>
      <c r="AA85" s="2039"/>
      <c r="AB85" s="2046"/>
      <c r="AC85" s="2040"/>
      <c r="AD85" s="2040"/>
      <c r="AE85" s="2047"/>
      <c r="AF85" s="2539"/>
      <c r="AG85" s="2535"/>
      <c r="AH85" s="2535"/>
      <c r="AI85" s="2539"/>
      <c r="AJ85" s="2535"/>
      <c r="AK85" s="2535"/>
      <c r="AL85" s="1989"/>
      <c r="AM85" s="1824"/>
      <c r="AN85" s="1824"/>
      <c r="AO85" s="1824"/>
      <c r="AP85" s="1824"/>
      <c r="AQ85" s="1824"/>
      <c r="AR85" s="1824"/>
      <c r="AS85" s="1824"/>
      <c r="AT85" s="1824"/>
      <c r="AU85" s="1824"/>
      <c r="AV85" s="1824"/>
      <c r="AW85" s="1824"/>
      <c r="AX85" s="1824"/>
      <c r="AY85" s="1824"/>
      <c r="AZ85" s="1824"/>
      <c r="BA85" s="1824"/>
      <c r="BB85" s="1824"/>
      <c r="BC85" s="1824"/>
      <c r="BD85" s="1824"/>
      <c r="BE85" s="1824"/>
      <c r="BF85" s="1824"/>
    </row>
    <row s="1636" customFormat="1" customHeight="1" ht="0.75">
      <c r="A86" s="1167"/>
      <c r="B86" s="1167"/>
      <c r="C86" s="1167"/>
      <c r="D86" s="1161"/>
      <c r="E86" s="1171"/>
      <c r="F86" s="2537"/>
      <c r="G86" s="2516"/>
      <c r="H86" s="2541"/>
      <c r="I86" s="2542"/>
      <c r="J86" s="2543"/>
      <c r="K86" s="2543"/>
      <c r="L86" s="2535"/>
      <c r="M86" s="2269"/>
      <c r="N86" s="2039"/>
      <c r="O86" s="2039"/>
      <c r="P86" s="2046"/>
      <c r="Q86" s="2039"/>
      <c r="R86" s="2039"/>
      <c r="S86" s="2039"/>
      <c r="T86" s="2039"/>
      <c r="U86" s="2039"/>
      <c r="V86" s="2039"/>
      <c r="W86" s="2039"/>
      <c r="X86" s="2039"/>
      <c r="Y86" s="2039"/>
      <c r="Z86" s="2039"/>
      <c r="AA86" s="2039"/>
      <c r="AB86" s="2039"/>
      <c r="AC86" s="2039"/>
      <c r="AD86" s="2039"/>
      <c r="AE86" s="2048"/>
      <c r="AF86" s="2539"/>
      <c r="AG86" s="2535"/>
      <c r="AH86" s="2535"/>
      <c r="AI86" s="2539"/>
      <c r="AJ86" s="2535"/>
      <c r="AK86" s="2535"/>
      <c r="AL86" s="1989"/>
      <c r="AM86" s="1824"/>
      <c r="AN86" s="1824"/>
      <c r="AO86" s="1824"/>
      <c r="AP86" s="1824"/>
      <c r="AQ86" s="1824"/>
      <c r="AR86" s="1824"/>
      <c r="AS86" s="1824"/>
      <c r="AT86" s="1824"/>
      <c r="AU86" s="1824"/>
      <c r="AV86" s="1824"/>
      <c r="AW86" s="1824"/>
      <c r="AX86" s="1824"/>
      <c r="AY86" s="1824"/>
      <c r="AZ86" s="1824"/>
      <c r="BA86" s="1824"/>
      <c r="BB86" s="1824"/>
      <c r="BC86" s="1824"/>
      <c r="BD86" s="1824"/>
      <c r="BE86" s="1824"/>
      <c r="BF86" s="1824"/>
    </row>
    <row s="1636" customFormat="1" customHeight="1" ht="12">
      <c r="A87" s="1167"/>
      <c r="B87" s="1167"/>
      <c r="C87" s="1167"/>
      <c r="D87" s="1161"/>
      <c r="E87" s="1171"/>
      <c r="F87" s="2538"/>
      <c r="G87" s="1191"/>
      <c r="H87" s="1191"/>
      <c r="I87" s="2536" t="s">
        <v>2057</v>
      </c>
      <c r="J87" s="2536"/>
      <c r="K87" s="2536"/>
      <c r="L87" s="1174"/>
      <c r="M87" s="1174"/>
      <c r="N87" s="1175"/>
      <c r="O87" s="1175"/>
      <c r="P87" s="1175"/>
      <c r="Q87" s="1175"/>
      <c r="R87" s="1175"/>
      <c r="S87" s="1175"/>
      <c r="T87" s="1175"/>
      <c r="U87" s="1175"/>
      <c r="V87" s="1175"/>
      <c r="W87" s="1175"/>
      <c r="X87" s="1175"/>
      <c r="Y87" s="1175"/>
      <c r="Z87" s="1175"/>
      <c r="AA87" s="1175"/>
      <c r="AB87" s="1175"/>
      <c r="AC87" s="1175"/>
      <c r="AD87" s="1175"/>
      <c r="AE87" s="1175"/>
      <c r="AF87" s="1175"/>
      <c r="AG87" s="1174"/>
      <c r="AH87" s="1174"/>
      <c r="AI87" s="1175"/>
      <c r="AJ87" s="1174"/>
      <c r="AK87" s="1175"/>
      <c r="AL87" s="1989"/>
      <c r="AM87" s="1824"/>
      <c r="AN87" s="1824"/>
      <c r="AO87" s="1824"/>
      <c r="AP87" s="1824"/>
      <c r="AQ87" s="1824"/>
      <c r="AR87" s="1824"/>
      <c r="AS87" s="1824"/>
      <c r="AT87" s="1824"/>
      <c r="AU87" s="1824"/>
      <c r="AV87" s="1824"/>
      <c r="AW87" s="1824"/>
      <c r="AX87" s="1824"/>
      <c r="AY87" s="1824"/>
      <c r="AZ87" s="1824"/>
      <c r="BA87" s="1824"/>
      <c r="BB87" s="1824"/>
      <c r="BC87" s="1824"/>
      <c r="BD87" s="1824"/>
      <c r="BE87" s="1824"/>
      <c r="BF87" s="1824"/>
    </row>
    <row r="89" s="1816" customFormat="1" customHeight="1" ht="11.25">
      <c r="A89" s="1816" t="s">
        <v>2058</v>
      </c>
    </row>
    <row r="91" s="1636" customFormat="1" customHeight="1" ht="11.25">
      <c r="A91" s="1167"/>
      <c r="B91" s="1167"/>
      <c r="C91" s="1167"/>
      <c r="D91" s="1161"/>
      <c r="E91" s="1171"/>
      <c r="F91" s="1830"/>
      <c r="G91" s="1831"/>
      <c r="H91" s="1831"/>
      <c r="I91" s="1765"/>
      <c r="J91" s="1765"/>
      <c r="K91" s="1832"/>
      <c r="L91" s="1765"/>
      <c r="M91" s="1831"/>
      <c r="N91" s="2509"/>
      <c r="O91" s="2592">
        <v>1</v>
      </c>
      <c r="P91" s="2511" t="s">
        <v>19</v>
      </c>
      <c r="Q91" s="2514" t="s">
        <v>28</v>
      </c>
      <c r="R91" s="2514" t="s">
        <v>28</v>
      </c>
      <c r="S91" s="2514" t="s">
        <v>28</v>
      </c>
      <c r="T91" s="2514" t="s">
        <v>28</v>
      </c>
      <c r="U91" s="2514" t="s">
        <v>28</v>
      </c>
      <c r="V91" s="2514" t="s">
        <v>28</v>
      </c>
      <c r="W91" s="2514" t="s">
        <v>28</v>
      </c>
      <c r="X91" s="2514" t="s">
        <v>28</v>
      </c>
      <c r="Y91" s="2514"/>
      <c r="Z91" s="1176"/>
      <c r="AA91" s="1177"/>
      <c r="AB91" s="1177"/>
      <c r="AC91" s="1181"/>
      <c r="AD91" s="1181"/>
      <c r="AE91" s="1181"/>
      <c r="AF91" s="1833"/>
      <c r="AG91" s="1760"/>
      <c r="AH91" s="1760"/>
      <c r="AI91" s="1833"/>
      <c r="AJ91" s="1760"/>
      <c r="AK91" s="1988"/>
      <c r="AL91" s="1989"/>
      <c r="AM91" s="1824"/>
      <c r="AN91" s="1824"/>
      <c r="AO91" s="1824"/>
      <c r="AP91" s="1824"/>
      <c r="AQ91" s="1824"/>
      <c r="AR91" s="1824"/>
      <c r="AS91" s="1824"/>
      <c r="AT91" s="1824"/>
      <c r="AU91" s="1824"/>
      <c r="AV91" s="1824"/>
      <c r="AW91" s="1824"/>
      <c r="AX91" s="1824"/>
      <c r="AY91" s="1824"/>
      <c r="AZ91" s="1824"/>
      <c r="BA91" s="1824"/>
      <c r="BB91" s="1824"/>
      <c r="BC91" s="1824"/>
      <c r="BD91" s="1824"/>
      <c r="BE91" s="1824"/>
      <c r="BF91" s="1824"/>
    </row>
    <row s="1636" customFormat="1" customHeight="1" ht="11.25">
      <c r="A92" s="1167"/>
      <c r="B92" s="1167"/>
      <c r="C92" s="1167"/>
      <c r="D92" s="1161"/>
      <c r="E92" s="1171"/>
      <c r="F92" s="1830"/>
      <c r="G92" s="1831"/>
      <c r="H92" s="1831"/>
      <c r="I92" s="1766"/>
      <c r="J92" s="1766"/>
      <c r="K92" s="1832"/>
      <c r="L92" s="1766"/>
      <c r="M92" s="1831"/>
      <c r="N92" s="2509"/>
      <c r="O92" s="2592"/>
      <c r="P92" s="2512"/>
      <c r="Q92" s="2514"/>
      <c r="R92" s="2514"/>
      <c r="S92" s="2515"/>
      <c r="T92" s="2514"/>
      <c r="U92" s="2514"/>
      <c r="V92" s="2514"/>
      <c r="W92" s="2514"/>
      <c r="X92" s="2514"/>
      <c r="Y92" s="2514"/>
      <c r="Z92" s="1829"/>
      <c r="AA92" s="1795">
        <v>1</v>
      </c>
      <c r="AB92" s="1180"/>
      <c r="AC92" s="1170"/>
      <c r="AD92" s="1180">
        <f>AB92</f>
        <v>0</v>
      </c>
      <c r="AE92" s="725"/>
      <c r="AF92" s="1832"/>
      <c r="AG92" s="1760"/>
      <c r="AH92" s="1760"/>
      <c r="AI92" s="1832"/>
      <c r="AJ92" s="1760"/>
      <c r="AK92" s="1988"/>
      <c r="AL92" s="1989"/>
      <c r="AM92" s="1824"/>
      <c r="AN92" s="1824"/>
      <c r="AO92" s="1824"/>
      <c r="AP92" s="1824"/>
      <c r="AQ92" s="1824"/>
      <c r="AR92" s="1824"/>
      <c r="AS92" s="1824"/>
      <c r="AT92" s="1824"/>
      <c r="AU92" s="1824"/>
      <c r="AV92" s="1824"/>
      <c r="AW92" s="1824"/>
      <c r="AX92" s="1824"/>
      <c r="AY92" s="1824"/>
      <c r="AZ92" s="1824"/>
      <c r="BA92" s="1824"/>
      <c r="BB92" s="1824"/>
      <c r="BC92" s="1824"/>
      <c r="BD92" s="1824"/>
      <c r="BE92" s="1824"/>
      <c r="BF92" s="1824"/>
    </row>
    <row s="1636" customFormat="1" customHeight="1" ht="11.25">
      <c r="A93" s="1167"/>
      <c r="B93" s="1167"/>
      <c r="C93" s="1167"/>
      <c r="D93" s="1161"/>
      <c r="E93" s="1171"/>
      <c r="F93" s="1830"/>
      <c r="G93" s="1831"/>
      <c r="H93" s="1831"/>
      <c r="I93" s="1767"/>
      <c r="J93" s="1767"/>
      <c r="K93" s="1832"/>
      <c r="L93" s="1767"/>
      <c r="M93" s="1831"/>
      <c r="N93" s="2509"/>
      <c r="O93" s="2592"/>
      <c r="P93" s="2513"/>
      <c r="Q93" s="2514"/>
      <c r="R93" s="2514"/>
      <c r="S93" s="2515"/>
      <c r="T93" s="2514"/>
      <c r="U93" s="2514"/>
      <c r="V93" s="2514"/>
      <c r="W93" s="2514"/>
      <c r="X93" s="2514"/>
      <c r="Y93" s="2514"/>
      <c r="Z93" s="1176"/>
      <c r="AA93" s="1177"/>
      <c r="AB93" s="1242" t="s">
        <v>2059</v>
      </c>
      <c r="AC93" s="1181"/>
      <c r="AD93" s="1181"/>
      <c r="AE93" s="1181"/>
      <c r="AF93" s="1834"/>
      <c r="AG93" s="1760"/>
      <c r="AH93" s="1760"/>
      <c r="AI93" s="1834"/>
      <c r="AJ93" s="1760"/>
      <c r="AK93" s="1988"/>
      <c r="AL93" s="1989"/>
      <c r="AM93" s="1824"/>
      <c r="AN93" s="1824"/>
      <c r="AO93" s="1824"/>
      <c r="AP93" s="1824"/>
      <c r="AQ93" s="1824"/>
      <c r="AR93" s="1824"/>
      <c r="AS93" s="1824"/>
      <c r="AT93" s="1824"/>
      <c r="AU93" s="1824"/>
      <c r="AV93" s="1824"/>
      <c r="AW93" s="1824"/>
      <c r="AX93" s="1824"/>
      <c r="AY93" s="1824"/>
      <c r="AZ93" s="1824"/>
      <c r="BA93" s="1824"/>
      <c r="BB93" s="1824"/>
      <c r="BC93" s="1824"/>
      <c r="BD93" s="1824"/>
      <c r="BE93" s="1824"/>
      <c r="BF93" s="1824"/>
    </row>
    <row r="95" s="1816" customFormat="1" customHeight="1" ht="11.25">
      <c r="A95" s="1816" t="s">
        <v>2060</v>
      </c>
    </row>
    <row r="97" s="1636" customFormat="1" customHeight="1" ht="11.25">
      <c r="A97" s="1167"/>
      <c r="B97" s="1167"/>
      <c r="C97" s="1167"/>
      <c r="D97" s="1161"/>
      <c r="E97" s="1171"/>
      <c r="F97" s="1831"/>
      <c r="G97" s="1831"/>
      <c r="H97" s="1831"/>
      <c r="I97" s="1831"/>
      <c r="J97" s="1831"/>
      <c r="K97" s="1831"/>
      <c r="L97" s="1831"/>
      <c r="M97" s="1831"/>
      <c r="N97" s="1831"/>
      <c r="O97" s="1831"/>
      <c r="P97" s="1831"/>
      <c r="Q97" s="1831"/>
      <c r="R97" s="1831"/>
      <c r="S97" s="1831"/>
      <c r="T97" s="1831"/>
      <c r="U97" s="1831"/>
      <c r="V97" s="1831"/>
      <c r="W97" s="1831"/>
      <c r="X97" s="1831"/>
      <c r="Y97" s="1831"/>
      <c r="Z97" s="1835"/>
      <c r="AA97" s="1815">
        <v>1</v>
      </c>
      <c r="AB97" s="1180"/>
      <c r="AC97" s="1170"/>
      <c r="AD97" s="1180">
        <f>AB97</f>
        <v>0</v>
      </c>
      <c r="AE97" s="1170"/>
      <c r="AF97" s="1832"/>
      <c r="AG97" s="1760"/>
      <c r="AH97" s="1760"/>
      <c r="AI97" s="1832"/>
      <c r="AJ97" s="1760"/>
      <c r="AK97" s="1988"/>
      <c r="AL97" s="1989"/>
      <c r="AM97" s="1824"/>
      <c r="AN97" s="1824"/>
      <c r="AO97" s="1824"/>
      <c r="AP97" s="1824"/>
      <c r="AQ97" s="1824"/>
      <c r="AR97" s="1824"/>
      <c r="AS97" s="1824"/>
      <c r="AT97" s="1824"/>
      <c r="AU97" s="1824"/>
      <c r="AV97" s="1824"/>
      <c r="AW97" s="1824"/>
      <c r="AX97" s="1824"/>
      <c r="AY97" s="1824"/>
      <c r="AZ97" s="1824"/>
      <c r="BA97" s="1824"/>
      <c r="BB97" s="1824"/>
      <c r="BC97" s="1824"/>
      <c r="BD97" s="1824"/>
      <c r="BE97" s="1824"/>
      <c r="BF97" s="1824"/>
    </row>
    <row r="99" s="1816" customFormat="1" customHeight="1" ht="11.25">
      <c r="A99" s="1816" t="s">
        <v>2061</v>
      </c>
    </row>
    <row r="101" s="1636" customFormat="1" customHeight="1" ht="11.25">
      <c r="A101" s="1167"/>
      <c r="B101" s="1167"/>
      <c r="C101" s="1167"/>
      <c r="D101" s="1161"/>
      <c r="E101" s="1171"/>
      <c r="F101" s="1830"/>
      <c r="G101" s="1831"/>
      <c r="H101" s="2516" t="s">
        <v>123</v>
      </c>
      <c r="I101" s="2517"/>
      <c r="J101" s="2486"/>
      <c r="K101" s="2518"/>
      <c r="L101" s="2108" t="s">
        <v>19</v>
      </c>
      <c r="M101" s="2109"/>
      <c r="N101" s="1987"/>
      <c r="O101" s="1178" t="s">
        <v>506</v>
      </c>
      <c r="P101" s="1179"/>
      <c r="Q101" s="1179"/>
      <c r="R101" s="1179"/>
      <c r="S101" s="1179"/>
      <c r="T101" s="1179"/>
      <c r="U101" s="1179"/>
      <c r="V101" s="1179"/>
      <c r="W101" s="1179"/>
      <c r="X101" s="1179"/>
      <c r="Y101" s="1179"/>
      <c r="Z101" s="1179"/>
      <c r="AA101" s="1179"/>
      <c r="AB101" s="1179"/>
      <c r="AC101" s="1179"/>
      <c r="AD101" s="1179"/>
      <c r="AE101" s="1179"/>
      <c r="AF101" s="2507"/>
      <c r="AG101" s="2508"/>
      <c r="AH101" s="2508"/>
      <c r="AI101" s="2507"/>
      <c r="AJ101" s="2508"/>
      <c r="AK101" s="2508"/>
      <c r="AL101" s="1989"/>
      <c r="AM101" s="1824"/>
      <c r="AN101" s="1824"/>
      <c r="AO101" s="1824"/>
      <c r="AP101" s="1824"/>
      <c r="AQ101" s="1824"/>
      <c r="AR101" s="1824"/>
      <c r="AS101" s="1824"/>
      <c r="AT101" s="1824"/>
      <c r="AU101" s="1824"/>
      <c r="AV101" s="1824"/>
      <c r="AW101" s="1824"/>
      <c r="AX101" s="1824"/>
      <c r="AY101" s="1824"/>
      <c r="AZ101" s="1824"/>
      <c r="BA101" s="1824"/>
      <c r="BB101" s="1824"/>
      <c r="BC101" s="1824"/>
      <c r="BD101" s="1824"/>
      <c r="BE101" s="1824"/>
      <c r="BF101" s="1824"/>
    </row>
    <row s="1636" customFormat="1" customHeight="1" ht="11.25">
      <c r="A102" s="1167"/>
      <c r="B102" s="1167"/>
      <c r="C102" s="1167"/>
      <c r="D102" s="1161"/>
      <c r="E102" s="1171"/>
      <c r="F102" s="1830"/>
      <c r="G102" s="1831"/>
      <c r="H102" s="2516"/>
      <c r="I102" s="2517"/>
      <c r="J102" s="2486"/>
      <c r="K102" s="2518"/>
      <c r="L102" s="2108"/>
      <c r="M102" s="2109"/>
      <c r="N102" s="2509"/>
      <c r="O102" s="2510">
        <v>1</v>
      </c>
      <c r="P102" s="2511" t="s">
        <v>19</v>
      </c>
      <c r="Q102" s="2514" t="s">
        <v>28</v>
      </c>
      <c r="R102" s="2514" t="s">
        <v>28</v>
      </c>
      <c r="S102" s="2514" t="s">
        <v>28</v>
      </c>
      <c r="T102" s="2514" t="s">
        <v>28</v>
      </c>
      <c r="U102" s="2514" t="s">
        <v>28</v>
      </c>
      <c r="V102" s="2514" t="s">
        <v>28</v>
      </c>
      <c r="W102" s="2514" t="s">
        <v>28</v>
      </c>
      <c r="X102" s="2514" t="s">
        <v>28</v>
      </c>
      <c r="Y102" s="2514"/>
      <c r="Z102" s="1176"/>
      <c r="AA102" s="1177"/>
      <c r="AB102" s="1177"/>
      <c r="AC102" s="1181"/>
      <c r="AD102" s="1181"/>
      <c r="AE102" s="1182"/>
      <c r="AF102" s="2507"/>
      <c r="AG102" s="2508"/>
      <c r="AH102" s="2508"/>
      <c r="AI102" s="2507"/>
      <c r="AJ102" s="2508"/>
      <c r="AK102" s="2508"/>
      <c r="AL102" s="1989"/>
      <c r="AM102" s="1824"/>
      <c r="AN102" s="1824"/>
      <c r="AO102" s="1824"/>
      <c r="AP102" s="1824"/>
      <c r="AQ102" s="1824"/>
      <c r="AR102" s="1824"/>
      <c r="AS102" s="1824"/>
      <c r="AT102" s="1824"/>
      <c r="AU102" s="1824"/>
      <c r="AV102" s="1824"/>
      <c r="AW102" s="1824"/>
      <c r="AX102" s="1824"/>
      <c r="AY102" s="1824"/>
      <c r="AZ102" s="1824"/>
      <c r="BA102" s="1824"/>
      <c r="BB102" s="1824"/>
      <c r="BC102" s="1824"/>
      <c r="BD102" s="1824"/>
      <c r="BE102" s="1824"/>
      <c r="BF102" s="1824"/>
    </row>
    <row s="1636" customFormat="1" customHeight="1" ht="11.25">
      <c r="A103" s="1167"/>
      <c r="B103" s="1167"/>
      <c r="C103" s="1167"/>
      <c r="D103" s="1161"/>
      <c r="E103" s="1171"/>
      <c r="F103" s="1830"/>
      <c r="G103" s="1831"/>
      <c r="H103" s="2516"/>
      <c r="I103" s="2517"/>
      <c r="J103" s="2486"/>
      <c r="K103" s="2518"/>
      <c r="L103" s="2108"/>
      <c r="M103" s="2109"/>
      <c r="N103" s="2509"/>
      <c r="O103" s="2510"/>
      <c r="P103" s="2512"/>
      <c r="Q103" s="2514"/>
      <c r="R103" s="2514"/>
      <c r="S103" s="2515"/>
      <c r="T103" s="2514"/>
      <c r="U103" s="2514"/>
      <c r="V103" s="2514"/>
      <c r="W103" s="2514"/>
      <c r="X103" s="2514"/>
      <c r="Y103" s="2514"/>
      <c r="Z103" s="1829"/>
      <c r="AA103" s="1795">
        <v>1</v>
      </c>
      <c r="AB103" s="1180"/>
      <c r="AC103" s="1170"/>
      <c r="AD103" s="1180">
        <f>AB103</f>
        <v>0</v>
      </c>
      <c r="AE103" s="1170"/>
      <c r="AF103" s="2507"/>
      <c r="AG103" s="2508"/>
      <c r="AH103" s="2508"/>
      <c r="AI103" s="2507"/>
      <c r="AJ103" s="2508"/>
      <c r="AK103" s="2508"/>
      <c r="AL103" s="1989"/>
      <c r="AM103" s="1824"/>
      <c r="AN103" s="1824"/>
      <c r="AO103" s="1824"/>
      <c r="AP103" s="1824"/>
      <c r="AQ103" s="1824"/>
      <c r="AR103" s="1824"/>
      <c r="AS103" s="1824"/>
      <c r="AT103" s="1824"/>
      <c r="AU103" s="1824"/>
      <c r="AV103" s="1824"/>
      <c r="AW103" s="1824"/>
      <c r="AX103" s="1824"/>
      <c r="AY103" s="1824"/>
      <c r="AZ103" s="1824"/>
      <c r="BA103" s="1824"/>
      <c r="BB103" s="1824"/>
      <c r="BC103" s="1824"/>
      <c r="BD103" s="1824"/>
      <c r="BE103" s="1824"/>
      <c r="BF103" s="1824"/>
    </row>
    <row s="1636" customFormat="1" customHeight="1" ht="11.25">
      <c r="A104" s="1167"/>
      <c r="B104" s="1167"/>
      <c r="C104" s="1167"/>
      <c r="D104" s="1161"/>
      <c r="E104" s="1171"/>
      <c r="F104" s="1830"/>
      <c r="G104" s="1831"/>
      <c r="H104" s="2516"/>
      <c r="I104" s="2517"/>
      <c r="J104" s="2486"/>
      <c r="K104" s="2518"/>
      <c r="L104" s="2108"/>
      <c r="M104" s="2109"/>
      <c r="N104" s="2509"/>
      <c r="O104" s="2510"/>
      <c r="P104" s="2513"/>
      <c r="Q104" s="2514"/>
      <c r="R104" s="2514"/>
      <c r="S104" s="2515"/>
      <c r="T104" s="2514"/>
      <c r="U104" s="2514"/>
      <c r="V104" s="2514"/>
      <c r="W104" s="2514"/>
      <c r="X104" s="2514"/>
      <c r="Y104" s="2514"/>
      <c r="Z104" s="1176"/>
      <c r="AA104" s="1177"/>
      <c r="AB104" s="1242" t="s">
        <v>2059</v>
      </c>
      <c r="AC104" s="1181"/>
      <c r="AD104" s="1181"/>
      <c r="AE104" s="1183"/>
      <c r="AF104" s="2507"/>
      <c r="AG104" s="2508"/>
      <c r="AH104" s="2508"/>
      <c r="AI104" s="2507"/>
      <c r="AJ104" s="2508"/>
      <c r="AK104" s="2508"/>
      <c r="AL104" s="1989"/>
      <c r="AM104" s="1824"/>
      <c r="AN104" s="1824"/>
      <c r="AO104" s="1824"/>
      <c r="AP104" s="1824"/>
      <c r="AQ104" s="1824"/>
      <c r="AR104" s="1824"/>
      <c r="AS104" s="1824"/>
      <c r="AT104" s="1824"/>
      <c r="AU104" s="1824"/>
      <c r="AV104" s="1824"/>
      <c r="AW104" s="1824"/>
      <c r="AX104" s="1824"/>
      <c r="AY104" s="1824"/>
      <c r="AZ104" s="1824"/>
      <c r="BA104" s="1824"/>
      <c r="BB104" s="1824"/>
      <c r="BC104" s="1824"/>
      <c r="BD104" s="1824"/>
      <c r="BE104" s="1824"/>
      <c r="BF104" s="1824"/>
    </row>
    <row s="1636" customFormat="1" customHeight="1" ht="11.25">
      <c r="A105" s="1167"/>
      <c r="B105" s="1167"/>
      <c r="C105" s="1167"/>
      <c r="D105" s="1161"/>
      <c r="E105" s="1171"/>
      <c r="F105" s="1830"/>
      <c r="G105" s="1831"/>
      <c r="H105" s="2516"/>
      <c r="I105" s="2517"/>
      <c r="J105" s="2486"/>
      <c r="K105" s="2518"/>
      <c r="L105" s="2108"/>
      <c r="M105" s="2109"/>
      <c r="N105" s="1176"/>
      <c r="O105" s="1177"/>
      <c r="P105" s="1169" t="s">
        <v>2062</v>
      </c>
      <c r="Q105" s="1177"/>
      <c r="R105" s="1177"/>
      <c r="S105" s="1177"/>
      <c r="T105" s="1177"/>
      <c r="U105" s="1177"/>
      <c r="V105" s="1177"/>
      <c r="W105" s="1177"/>
      <c r="X105" s="1177"/>
      <c r="Y105" s="1177"/>
      <c r="Z105" s="1177"/>
      <c r="AA105" s="1177"/>
      <c r="AB105" s="1177"/>
      <c r="AC105" s="1177"/>
      <c r="AD105" s="1177"/>
      <c r="AE105" s="1184"/>
      <c r="AF105" s="2507"/>
      <c r="AG105" s="2508"/>
      <c r="AH105" s="2508"/>
      <c r="AI105" s="2507"/>
      <c r="AJ105" s="2508"/>
      <c r="AK105" s="2508"/>
      <c r="AL105" s="1989"/>
      <c r="AM105" s="1824"/>
      <c r="AN105" s="1824"/>
      <c r="AO105" s="1824"/>
      <c r="AP105" s="1824"/>
      <c r="AQ105" s="1824"/>
      <c r="AR105" s="1824"/>
      <c r="AS105" s="1824"/>
      <c r="AT105" s="1824"/>
      <c r="AU105" s="1824"/>
      <c r="AV105" s="1824"/>
      <c r="AW105" s="1824"/>
      <c r="AX105" s="1824"/>
      <c r="AY105" s="1824"/>
      <c r="AZ105" s="1824"/>
      <c r="BA105" s="1824"/>
      <c r="BB105" s="1824"/>
      <c r="BC105" s="1824"/>
      <c r="BD105" s="1824"/>
      <c r="BE105" s="1824"/>
      <c r="BF105" s="1824"/>
    </row>
    <row r="107" s="1816" customFormat="1" customHeight="1" ht="11.25">
      <c r="A107" s="1816" t="s">
        <v>2063</v>
      </c>
    </row>
    <row customHeight="1" ht="17.25"/>
    <row s="926" customFormat="1" customHeight="1" ht="21">
      <c r="A109" s="1168"/>
      <c r="B109" s="941"/>
      <c r="D109" s="925"/>
      <c r="E109" s="940" t="s">
        <v>28</v>
      </c>
      <c r="F109" s="1122">
        <f>INDEX(IP_MAIN_LIST_NAME_IP,MATCH(A109,IP_MAIN_LIST_IP_ID,0))&amp;" ("&amp;INDEX(IP_MAIN_START_DATE,MATCH(A109,IP_MAIN_LIST_IP_ID,0))&amp;"-"&amp;INDEX(IP_MAIN_END_DATE,MATCH(A109,IP_MAIN_LIST_IP_ID,0))&amp;")"</f>
      </c>
      <c r="G109" s="1204"/>
      <c r="H109" s="1205"/>
      <c r="I109" s="1205"/>
      <c r="J109" s="1205"/>
      <c r="K109" s="1205"/>
      <c r="L109" s="1205"/>
      <c r="M109" s="1205"/>
      <c r="N109" s="1205"/>
      <c r="O109" s="1204"/>
      <c r="P109" s="1204"/>
      <c r="Q109" s="1204"/>
      <c r="R109" s="1204"/>
      <c r="S109" s="1204"/>
      <c r="T109" s="1204"/>
      <c r="U109" s="1206"/>
      <c r="V109" s="1206"/>
      <c r="W109" s="1206"/>
      <c r="X109" s="1206"/>
      <c r="Y109" s="1206"/>
      <c r="Z109" s="1206"/>
      <c r="AA109" s="1206"/>
      <c r="AB109" s="1204"/>
      <c r="AC109" s="1205"/>
      <c r="AD109" s="1205"/>
      <c r="AE109" s="1205"/>
      <c r="AF109" s="1205"/>
      <c r="AG109" s="1205"/>
      <c r="AH109" s="1205"/>
      <c r="AI109" s="1205"/>
      <c r="AJ109" s="1205"/>
      <c r="AK109" s="1205"/>
      <c r="AL109" s="1205"/>
      <c r="AM109" s="1205"/>
      <c r="AN109" s="1205"/>
      <c r="AO109" s="1205"/>
      <c r="AP109" s="1205"/>
      <c r="AQ109" s="1205"/>
      <c r="AR109" s="1205"/>
      <c r="AS109" s="1205"/>
      <c r="AT109" s="1205"/>
      <c r="AU109" s="1205"/>
      <c r="AV109" s="1205"/>
      <c r="AW109" s="1205"/>
      <c r="AX109" s="1205"/>
      <c r="AY109" s="1205"/>
      <c r="AZ109" s="1205"/>
      <c r="BA109" s="1205"/>
      <c r="BB109" s="1205"/>
      <c r="BC109" s="1205"/>
      <c r="BD109" s="1205"/>
      <c r="BE109" s="1205"/>
      <c r="BF109" s="1205"/>
      <c r="BG109" s="1205"/>
      <c r="BH109" s="1205"/>
      <c r="BI109" s="1205"/>
      <c r="BJ109" s="1205"/>
      <c r="BK109" s="1205"/>
      <c r="BL109" s="1205"/>
      <c r="BM109" s="1205"/>
      <c r="BN109" s="1205"/>
      <c r="BO109" s="1205"/>
      <c r="BP109" s="1205"/>
      <c r="BQ109" s="1205"/>
      <c r="BR109" s="1205"/>
      <c r="BS109" s="1205"/>
      <c r="BT109" s="1205"/>
      <c r="BU109" s="1205"/>
      <c r="BV109" s="1205"/>
      <c r="BW109" s="1205"/>
      <c r="BX109" s="1205"/>
      <c r="BY109" s="1205"/>
      <c r="BZ109" s="1205"/>
      <c r="CA109" s="1205"/>
      <c r="CB109" s="1205"/>
      <c r="CC109" s="1205"/>
      <c r="CD109" s="1205"/>
      <c r="CE109" s="1205"/>
      <c r="CF109" s="1205"/>
      <c r="CG109" s="1205"/>
      <c r="CH109" s="1205"/>
      <c r="CI109" s="1205"/>
      <c r="CJ109" s="1205"/>
      <c r="CK109" s="1205"/>
      <c r="CL109" s="1207"/>
      <c r="CM109" s="1207"/>
      <c r="CN109" s="1207"/>
      <c r="CO109" s="1207"/>
      <c r="CP109" s="1207"/>
      <c r="CQ109" s="1207"/>
      <c r="CR109" s="1207"/>
      <c r="CS109" s="1207"/>
      <c r="CT109" s="1207"/>
      <c r="CU109" s="1207"/>
      <c r="CV109" s="1207"/>
      <c r="CW109" s="1207"/>
      <c r="CX109" s="1207"/>
      <c r="CY109" s="1207"/>
      <c r="CZ109" s="1207"/>
      <c r="DA109" s="1207"/>
      <c r="DB109" s="1207"/>
      <c r="DC109" s="1207"/>
      <c r="DD109" s="1207"/>
      <c r="DE109" s="1207"/>
      <c r="DF109" s="1207"/>
      <c r="DG109" s="1207"/>
      <c r="DH109" s="1207"/>
      <c r="DI109" s="1207"/>
      <c r="DJ109" s="1207"/>
      <c r="DK109" s="1207"/>
      <c r="DL109" s="1207"/>
      <c r="DM109" s="1207"/>
      <c r="DN109" s="1207"/>
      <c r="DO109" s="1207"/>
      <c r="DP109" s="1207"/>
      <c r="DQ109" s="1207"/>
      <c r="DR109" s="1207"/>
      <c r="DS109" s="1207"/>
      <c r="DT109" s="1207"/>
      <c r="DU109" s="1207"/>
      <c r="DV109" s="1207"/>
      <c r="DW109" s="1207"/>
      <c r="DX109" s="1207"/>
      <c r="DY109" s="1207"/>
      <c r="DZ109" s="1207"/>
      <c r="EA109" s="1207"/>
      <c r="EB109" s="1207"/>
      <c r="EC109" s="1207"/>
      <c r="ED109" s="1207"/>
      <c r="EE109" s="1207"/>
      <c r="EF109" s="1207"/>
      <c r="EG109" s="1207"/>
      <c r="EH109" s="1207"/>
      <c r="EI109" s="1207"/>
      <c r="EJ109" s="1207"/>
      <c r="EK109" s="1207"/>
      <c r="EL109" s="1207"/>
      <c r="EM109" s="1207"/>
      <c r="EN109" s="1207"/>
      <c r="EO109" s="1207"/>
      <c r="EP109" s="1207"/>
      <c r="EQ109" s="1207"/>
      <c r="ER109" s="1207"/>
      <c r="ES109" s="1207"/>
      <c r="ET109" s="1207"/>
      <c r="EU109" s="1207"/>
      <c r="EV109" s="1207"/>
      <c r="EW109" s="1207"/>
      <c r="EX109" s="1207"/>
      <c r="EY109" s="1207"/>
      <c r="EZ109" s="1207"/>
      <c r="FA109" s="1207"/>
      <c r="FB109" s="1207"/>
      <c r="FC109" s="1207"/>
      <c r="FD109" s="1207"/>
      <c r="FE109" s="1207"/>
      <c r="FF109" s="1207"/>
      <c r="FG109" s="1207"/>
      <c r="FH109" s="1207"/>
      <c r="FI109" s="1207"/>
      <c r="FJ109" s="1207"/>
      <c r="FK109" s="1207"/>
      <c r="FL109" s="1207"/>
      <c r="FM109" s="1207"/>
      <c r="FN109" s="1207"/>
      <c r="FO109" s="1207"/>
      <c r="FP109" s="1207"/>
      <c r="FQ109" s="1207"/>
      <c r="FR109" s="1207"/>
      <c r="FS109" s="1207"/>
      <c r="FT109" s="1207"/>
      <c r="FU109" s="1207"/>
      <c r="FV109" s="1208"/>
      <c r="FW109" s="1202"/>
      <c r="FX109" s="1203"/>
    </row>
    <row s="926" customFormat="1" customHeight="1" ht="24.75">
      <c r="B110" s="924"/>
      <c r="C110" s="925"/>
      <c r="D110" s="925"/>
      <c r="E110" s="1836"/>
      <c r="F110" s="1209">
        <v>1</v>
      </c>
      <c r="G110" s="1210"/>
      <c r="H110" s="1211"/>
      <c r="I110" s="1983"/>
      <c r="J110" s="1212"/>
      <c r="K110" s="1212"/>
      <c r="L110" s="1212"/>
      <c r="M110" s="1212"/>
      <c r="N110" s="1212"/>
      <c r="O110" s="1213"/>
      <c r="P110" s="1213"/>
      <c r="Q110" s="1213"/>
      <c r="R110" s="1213"/>
      <c r="S110" s="1213"/>
      <c r="T110" s="1213"/>
      <c r="U110" s="1213"/>
      <c r="V110" s="1213"/>
      <c r="W110" s="1213"/>
      <c r="X110" s="1213"/>
      <c r="Y110" s="1213"/>
      <c r="Z110" s="1213"/>
      <c r="AA110" s="1213"/>
      <c r="AB110" s="1213"/>
      <c r="AC110" s="1212"/>
      <c r="AD110" s="1212"/>
      <c r="AE110" s="1212"/>
      <c r="AF110" s="1212"/>
      <c r="AG110" s="1212"/>
      <c r="AH110" s="1212"/>
      <c r="AI110" s="1212"/>
      <c r="AJ110" s="1212"/>
      <c r="AK110" s="1212"/>
      <c r="AL110" s="1212"/>
      <c r="AM110" s="1212"/>
      <c r="AN110" s="1212"/>
      <c r="AO110" s="1212"/>
      <c r="AP110" s="1212"/>
      <c r="AQ110" s="1212"/>
      <c r="AR110" s="1212"/>
      <c r="AS110" s="1212"/>
      <c r="AT110" s="1212"/>
      <c r="AU110" s="1212"/>
      <c r="AV110" s="1212"/>
      <c r="AW110" s="1212"/>
      <c r="AX110" s="1212"/>
      <c r="AY110" s="1212"/>
      <c r="AZ110" s="1212"/>
      <c r="BA110" s="1212"/>
      <c r="BB110" s="1212"/>
      <c r="BC110" s="1212"/>
      <c r="BD110" s="1212"/>
      <c r="BE110" s="1212"/>
      <c r="BF110" s="1212"/>
      <c r="BG110" s="1212"/>
      <c r="BH110" s="1212"/>
      <c r="BI110" s="1212"/>
      <c r="BJ110" s="1212"/>
      <c r="BK110" s="1212"/>
      <c r="BL110" s="1212"/>
      <c r="BM110" s="1212"/>
      <c r="BN110" s="1212"/>
      <c r="BO110" s="1212"/>
      <c r="BP110" s="1212"/>
      <c r="BQ110" s="1212"/>
      <c r="BR110" s="1212"/>
      <c r="BS110" s="1212"/>
      <c r="BT110" s="1213"/>
      <c r="BU110" s="1213"/>
      <c r="BV110" s="1213"/>
      <c r="BW110" s="1213"/>
      <c r="BX110" s="1213"/>
      <c r="BY110" s="1213"/>
      <c r="BZ110" s="1213"/>
      <c r="CA110" s="1213"/>
      <c r="CB110" s="1213"/>
      <c r="CC110" s="1213"/>
      <c r="CD110" s="1213"/>
      <c r="CE110" s="1213"/>
      <c r="CF110" s="1213"/>
      <c r="CG110" s="1213"/>
      <c r="CH110" s="1213"/>
      <c r="CI110" s="1213"/>
      <c r="CJ110" s="1213"/>
      <c r="CK110" s="1213"/>
      <c r="CL110" s="1212"/>
      <c r="CM110" s="1212"/>
      <c r="CN110" s="1212"/>
      <c r="CO110" s="1212"/>
      <c r="CP110" s="1212"/>
      <c r="CQ110" s="1212"/>
      <c r="CR110" s="1212"/>
      <c r="CS110" s="1212"/>
      <c r="CT110" s="1212"/>
      <c r="CU110" s="1212"/>
      <c r="CV110" s="1212"/>
      <c r="CW110" s="1212"/>
      <c r="CX110" s="1212"/>
      <c r="CY110" s="1213"/>
      <c r="CZ110" s="1213"/>
      <c r="DA110" s="1213"/>
      <c r="DB110" s="1213"/>
      <c r="DC110" s="1213"/>
      <c r="DD110" s="1213"/>
      <c r="DE110" s="1213"/>
      <c r="DF110" s="1213"/>
      <c r="DG110" s="1213"/>
      <c r="DH110" s="1213"/>
      <c r="DI110" s="1213"/>
      <c r="DJ110" s="1213"/>
      <c r="DK110" s="1212"/>
      <c r="DL110" s="1212"/>
      <c r="DM110" s="1212"/>
      <c r="DN110" s="1212"/>
      <c r="DO110" s="1212"/>
      <c r="DP110" s="1212"/>
      <c r="DQ110" s="1212"/>
      <c r="DR110" s="1212"/>
      <c r="DS110" s="1212"/>
      <c r="DT110" s="1212"/>
      <c r="DU110" s="1212"/>
      <c r="DV110" s="1212"/>
      <c r="DW110" s="1212"/>
      <c r="DX110" s="1212"/>
      <c r="DY110" s="1212"/>
      <c r="DZ110" s="1212"/>
      <c r="EA110" s="1212"/>
      <c r="EB110" s="1212"/>
      <c r="EC110" s="1212"/>
      <c r="ED110" s="1212"/>
      <c r="EE110" s="1212"/>
      <c r="EF110" s="1212"/>
      <c r="EG110" s="1212"/>
      <c r="EH110" s="1212"/>
      <c r="EI110" s="1212"/>
      <c r="EJ110" s="1212"/>
      <c r="EK110" s="1212"/>
      <c r="EL110" s="1212"/>
      <c r="EM110" s="1212"/>
      <c r="EN110" s="1212"/>
      <c r="EO110" s="1212"/>
      <c r="EP110" s="1212"/>
      <c r="EQ110" s="1212"/>
      <c r="ER110" s="1212"/>
      <c r="ES110" s="1212"/>
      <c r="ET110" s="1212"/>
      <c r="EU110" s="1212"/>
      <c r="EV110" s="1212"/>
      <c r="EW110" s="1212"/>
      <c r="EX110" s="1212"/>
      <c r="EY110" s="1212"/>
      <c r="EZ110" s="1212"/>
      <c r="FA110" s="1212"/>
      <c r="FB110" s="1212"/>
      <c r="FC110" s="1212"/>
      <c r="FD110" s="1212"/>
      <c r="FE110" s="1212"/>
      <c r="FF110" s="1212"/>
      <c r="FG110" s="1212"/>
      <c r="FH110" s="1212"/>
      <c r="FI110" s="1212"/>
      <c r="FJ110" s="1212"/>
      <c r="FK110" s="1212"/>
      <c r="FL110" s="1212"/>
      <c r="FM110" s="1212"/>
      <c r="FN110" s="1212"/>
      <c r="FO110" s="1212"/>
      <c r="FP110" s="1212"/>
      <c r="FQ110" s="1212"/>
      <c r="FR110" s="1212"/>
      <c r="FS110" s="1212"/>
      <c r="FT110" s="1212"/>
      <c r="FU110" s="1212"/>
      <c r="FV110" s="1212"/>
      <c r="FW110" s="1212"/>
      <c r="FX110" s="1203"/>
    </row>
    <row s="926" customFormat="1" customHeight="1" ht="12">
      <c r="A111" s="925"/>
      <c r="B111" s="924"/>
      <c r="C111" s="925"/>
      <c r="D111" s="925"/>
      <c r="E111" s="925"/>
      <c r="F111" s="1214"/>
      <c r="G111" s="1801" t="s">
        <v>2064</v>
      </c>
      <c r="H111" s="1215"/>
      <c r="I111" s="1215"/>
      <c r="J111" s="1215"/>
      <c r="K111" s="1215"/>
      <c r="L111" s="1215"/>
      <c r="M111" s="1215"/>
      <c r="N111" s="1215"/>
      <c r="O111" s="1215"/>
      <c r="P111" s="1215"/>
      <c r="Q111" s="1215"/>
      <c r="R111" s="1215"/>
      <c r="S111" s="1215"/>
      <c r="T111" s="1215"/>
      <c r="U111" s="1215"/>
      <c r="V111" s="1215"/>
      <c r="W111" s="1215"/>
      <c r="X111" s="1215"/>
      <c r="Y111" s="1215"/>
      <c r="Z111" s="1215"/>
      <c r="AA111" s="1215"/>
      <c r="AB111" s="1215"/>
      <c r="AC111" s="1215"/>
      <c r="AD111" s="1215"/>
      <c r="AE111" s="1215"/>
      <c r="AF111" s="1215"/>
      <c r="AG111" s="1215"/>
      <c r="AH111" s="1215"/>
      <c r="AI111" s="1215"/>
      <c r="AJ111" s="1215"/>
      <c r="AK111" s="1215"/>
      <c r="AL111" s="1215"/>
      <c r="AM111" s="1215"/>
      <c r="AN111" s="1215"/>
      <c r="AO111" s="1215"/>
      <c r="AP111" s="1215"/>
      <c r="AQ111" s="1215"/>
      <c r="AR111" s="1215"/>
      <c r="AS111" s="1215"/>
      <c r="AT111" s="1215"/>
      <c r="AU111" s="1215"/>
      <c r="AV111" s="1215"/>
      <c r="AW111" s="1215"/>
      <c r="AX111" s="1215"/>
      <c r="AY111" s="1215"/>
      <c r="AZ111" s="1215"/>
      <c r="BA111" s="1215"/>
      <c r="BB111" s="1215"/>
      <c r="BC111" s="1215"/>
      <c r="BD111" s="1215"/>
      <c r="BE111" s="1215"/>
      <c r="BF111" s="1215"/>
      <c r="BG111" s="1215"/>
      <c r="BH111" s="1215"/>
      <c r="BI111" s="1215"/>
      <c r="BJ111" s="1215"/>
      <c r="BK111" s="1215"/>
      <c r="BL111" s="1215"/>
      <c r="BM111" s="1215"/>
      <c r="BN111" s="1215"/>
      <c r="BO111" s="1215"/>
      <c r="BP111" s="1215"/>
      <c r="BQ111" s="1215"/>
      <c r="BR111" s="1215"/>
      <c r="BS111" s="1215"/>
      <c r="BT111" s="1215"/>
      <c r="BU111" s="1215"/>
      <c r="BV111" s="1215"/>
      <c r="BW111" s="1215"/>
      <c r="BX111" s="1215"/>
      <c r="BY111" s="1215"/>
      <c r="BZ111" s="1215"/>
      <c r="CA111" s="1215"/>
      <c r="CB111" s="1215"/>
      <c r="CC111" s="1215"/>
      <c r="CD111" s="1215"/>
      <c r="CE111" s="1215"/>
      <c r="CF111" s="1215"/>
      <c r="CG111" s="1215"/>
      <c r="CH111" s="1215"/>
      <c r="CI111" s="1215"/>
      <c r="CJ111" s="1215"/>
      <c r="CK111" s="1215"/>
      <c r="CL111" s="1215"/>
      <c r="CM111" s="1215"/>
      <c r="CN111" s="1215"/>
      <c r="CO111" s="1215"/>
      <c r="CP111" s="1215"/>
      <c r="CQ111" s="1215"/>
      <c r="CR111" s="1215"/>
      <c r="CS111" s="1215"/>
      <c r="CT111" s="1215"/>
      <c r="CU111" s="1215"/>
      <c r="CV111" s="1215"/>
      <c r="CW111" s="1215"/>
      <c r="CX111" s="1215"/>
      <c r="CY111" s="1215"/>
      <c r="CZ111" s="1215"/>
      <c r="DA111" s="1215"/>
      <c r="DB111" s="1215"/>
      <c r="DC111" s="1215"/>
      <c r="DD111" s="1215"/>
      <c r="DE111" s="1215"/>
      <c r="DF111" s="1215"/>
      <c r="DG111" s="1215"/>
      <c r="DH111" s="1215"/>
      <c r="DI111" s="1215"/>
      <c r="DJ111" s="1215"/>
      <c r="DK111" s="1215"/>
      <c r="DL111" s="1215"/>
      <c r="DM111" s="1215"/>
      <c r="DN111" s="1215"/>
      <c r="DO111" s="1215"/>
      <c r="DP111" s="1215"/>
      <c r="DQ111" s="1215"/>
      <c r="DR111" s="1215"/>
      <c r="DS111" s="1215"/>
      <c r="DT111" s="1215"/>
      <c r="DU111" s="1215"/>
      <c r="DV111" s="1215"/>
      <c r="DW111" s="1215"/>
      <c r="DX111" s="1215"/>
      <c r="DY111" s="1215"/>
      <c r="DZ111" s="1215"/>
      <c r="EA111" s="1215"/>
      <c r="EB111" s="1215"/>
      <c r="EC111" s="1215"/>
      <c r="ED111" s="1215"/>
      <c r="EE111" s="1215"/>
      <c r="EF111" s="1215"/>
      <c r="EG111" s="1215"/>
      <c r="EH111" s="1215"/>
      <c r="EI111" s="1215"/>
      <c r="EJ111" s="1215"/>
      <c r="EK111" s="1215"/>
      <c r="EL111" s="1215"/>
      <c r="EM111" s="1215"/>
      <c r="EN111" s="1215"/>
      <c r="EO111" s="1215"/>
      <c r="EP111" s="1215"/>
      <c r="EQ111" s="1215"/>
      <c r="ER111" s="1215"/>
      <c r="ES111" s="1215"/>
      <c r="ET111" s="1215"/>
      <c r="EU111" s="1215"/>
      <c r="EV111" s="1215"/>
      <c r="EW111" s="1215"/>
      <c r="EX111" s="1215"/>
      <c r="EY111" s="1215"/>
      <c r="EZ111" s="1215"/>
      <c r="FA111" s="1215"/>
      <c r="FB111" s="1215"/>
      <c r="FC111" s="1215"/>
      <c r="FD111" s="1215"/>
      <c r="FE111" s="1215"/>
      <c r="FF111" s="1215"/>
      <c r="FG111" s="1215"/>
      <c r="FH111" s="1215"/>
      <c r="FI111" s="1215"/>
      <c r="FJ111" s="1215"/>
      <c r="FK111" s="1215"/>
      <c r="FL111" s="1215"/>
      <c r="FM111" s="1215"/>
      <c r="FN111" s="1215"/>
      <c r="FO111" s="1215"/>
      <c r="FP111" s="1215"/>
      <c r="FQ111" s="1215"/>
      <c r="FR111" s="1215"/>
      <c r="FS111" s="1215"/>
      <c r="FT111" s="1215"/>
      <c r="FU111" s="1215"/>
      <c r="FV111" s="1215"/>
      <c r="FW111" s="1216"/>
      <c r="FX111" s="1217"/>
      <c r="FY111" s="942"/>
      <c r="FZ111" s="942"/>
      <c r="GA111" s="942"/>
      <c r="GB111" s="942"/>
    </row>
    <row r="113" s="1816" customFormat="1" customHeight="1" ht="11.25">
      <c r="A113" s="1816" t="s">
        <v>2065</v>
      </c>
    </row>
    <row r="115" s="1851" customFormat="1" customHeight="1" ht="15">
      <c r="A115" s="624"/>
      <c r="B115" s="625"/>
      <c r="C115" s="625"/>
      <c r="D115" s="2579" t="s">
        <v>123</v>
      </c>
      <c r="E115" s="2378" t="s">
        <v>119</v>
      </c>
      <c r="F115" s="2379"/>
      <c r="G115" s="2380"/>
      <c r="H115" s="2384" t="str">
        <f>IF(A115="","",INDEX(DIFFERENTIATION_UNMERGE_VD,MATCH(A115,DIFFERENTIATION_ID_DIFF,0)))</f>
        <v/>
      </c>
      <c r="I115" s="2384"/>
      <c r="J115" s="2384"/>
      <c r="K115" s="2384"/>
      <c r="L115" s="2384"/>
      <c r="M115" s="2384"/>
      <c r="N115" s="2384"/>
      <c r="O115" s="2384"/>
      <c r="P115" s="2384"/>
      <c r="Q115" s="2384"/>
      <c r="R115" s="2384"/>
      <c r="S115" s="720"/>
      <c r="T115" s="717"/>
      <c r="U115" s="626"/>
      <c r="V115" s="626"/>
      <c r="W115" s="627"/>
      <c r="X115" s="627"/>
      <c r="Y115" s="627"/>
      <c r="Z115" s="627"/>
      <c r="AA115" s="628"/>
      <c r="AB115" s="629"/>
      <c r="AC115" s="2376"/>
      <c r="AD115" s="630"/>
      <c r="AE115" s="631" t="s">
        <v>28</v>
      </c>
      <c r="AF115" s="631"/>
      <c r="AG115" s="632" t="s">
        <v>740</v>
      </c>
      <c r="AH115" s="633">
        <v>3</v>
      </c>
      <c r="AI115" s="626"/>
      <c r="AJ115" s="626"/>
      <c r="AK115" s="626"/>
      <c r="AL115" s="626"/>
      <c r="AM115" s="626"/>
      <c r="AN115" s="626"/>
      <c r="AO115" s="626"/>
      <c r="AP115" s="626"/>
      <c r="AQ115" s="626"/>
      <c r="AR115" s="626"/>
      <c r="AS115" s="626"/>
      <c r="AT115" s="626"/>
      <c r="AU115" s="626"/>
      <c r="AV115" s="626"/>
      <c r="AW115" s="626"/>
      <c r="AX115" s="626"/>
      <c r="AY115" s="626"/>
      <c r="AZ115" s="626"/>
      <c r="BA115" s="626"/>
      <c r="BB115" s="626"/>
      <c r="BC115" s="626"/>
      <c r="BD115" s="626"/>
      <c r="BE115" s="626"/>
      <c r="BF115" s="626"/>
      <c r="BG115" s="626"/>
      <c r="BH115" s="626"/>
      <c r="BI115" s="626"/>
      <c r="BJ115" s="626"/>
      <c r="BK115" s="626"/>
      <c r="BL115" s="626"/>
      <c r="BM115" s="626"/>
      <c r="BN115" s="626"/>
      <c r="BO115" s="626"/>
      <c r="BP115" s="626"/>
      <c r="BQ115" s="626"/>
      <c r="BR115" s="626"/>
      <c r="BS115" s="626"/>
      <c r="BT115" s="626"/>
      <c r="BU115" s="626"/>
      <c r="BV115" s="627"/>
      <c r="BW115" s="627"/>
      <c r="BX115" s="627"/>
      <c r="BY115" s="627"/>
      <c r="BZ115" s="627"/>
      <c r="CA115" s="627"/>
      <c r="CB115" s="627"/>
      <c r="CC115" s="627"/>
      <c r="CD115" s="627"/>
      <c r="CE115" s="627"/>
    </row>
    <row s="1851" customFormat="1" customHeight="1" ht="15">
      <c r="A116" s="624"/>
      <c r="B116" s="625"/>
      <c r="C116" s="625"/>
      <c r="D116" s="2580"/>
      <c r="E116" s="2378" t="s">
        <v>695</v>
      </c>
      <c r="F116" s="2379"/>
      <c r="G116" s="2380"/>
      <c r="H116" s="2384" t="str">
        <f>IF(A115="","",INDEX(DIFFERENTIATION_UNMERGE_AREA,MATCH(A115,DIFFERENTIATION_ID_DIFF,0)))</f>
        <v/>
      </c>
      <c r="I116" s="2384"/>
      <c r="J116" s="2384"/>
      <c r="K116" s="2384"/>
      <c r="L116" s="2384"/>
      <c r="M116" s="2384"/>
      <c r="N116" s="2384"/>
      <c r="O116" s="2384"/>
      <c r="P116" s="2384"/>
      <c r="Q116" s="2384"/>
      <c r="R116" s="2384"/>
      <c r="S116" s="720"/>
      <c r="T116" s="717"/>
      <c r="U116" s="626"/>
      <c r="V116" s="626"/>
      <c r="W116" s="627"/>
      <c r="X116" s="627"/>
      <c r="Y116" s="627"/>
      <c r="Z116" s="627"/>
      <c r="AA116" s="628"/>
      <c r="AB116" s="629"/>
      <c r="AC116" s="2376"/>
      <c r="AD116" s="630"/>
      <c r="AE116" s="631"/>
      <c r="AF116" s="631"/>
      <c r="AG116" s="632"/>
      <c r="AH116" s="633"/>
      <c r="AI116" s="626"/>
      <c r="AJ116" s="626"/>
      <c r="AK116" s="626"/>
      <c r="AL116" s="626"/>
      <c r="AM116" s="626"/>
      <c r="AN116" s="626"/>
      <c r="AO116" s="626"/>
      <c r="AP116" s="626"/>
      <c r="AQ116" s="626"/>
      <c r="AR116" s="626"/>
      <c r="AS116" s="626"/>
      <c r="AT116" s="626"/>
      <c r="AU116" s="626"/>
      <c r="AV116" s="626"/>
      <c r="AW116" s="626"/>
      <c r="AX116" s="626"/>
      <c r="AY116" s="626"/>
      <c r="AZ116" s="626"/>
      <c r="BA116" s="626"/>
      <c r="BB116" s="626"/>
      <c r="BC116" s="626"/>
      <c r="BD116" s="626"/>
      <c r="BE116" s="626"/>
      <c r="BF116" s="626"/>
      <c r="BG116" s="626"/>
      <c r="BH116" s="626"/>
      <c r="BI116" s="626"/>
      <c r="BJ116" s="626"/>
      <c r="BK116" s="626"/>
      <c r="BL116" s="626"/>
      <c r="BM116" s="626"/>
      <c r="BN116" s="626"/>
      <c r="BO116" s="626"/>
      <c r="BP116" s="626"/>
      <c r="BQ116" s="626"/>
      <c r="BR116" s="626"/>
      <c r="BS116" s="626"/>
      <c r="BT116" s="626"/>
      <c r="BU116" s="626"/>
      <c r="BV116" s="627"/>
      <c r="BW116" s="627"/>
      <c r="BX116" s="627"/>
      <c r="BY116" s="627"/>
      <c r="BZ116" s="627"/>
      <c r="CA116" s="627"/>
      <c r="CB116" s="627"/>
      <c r="CC116" s="627"/>
      <c r="CD116" s="627"/>
      <c r="CE116" s="627"/>
    </row>
    <row s="1851" customFormat="1" customHeight="1" ht="15">
      <c r="A117" s="624"/>
      <c r="B117" s="625"/>
      <c r="C117" s="625"/>
      <c r="D117" s="2580"/>
      <c r="E117" s="2378" t="s">
        <v>696</v>
      </c>
      <c r="F117" s="2379"/>
      <c r="G117" s="2380"/>
      <c r="H117" s="2384" t="str">
        <f>IF(A115="","",INDEX(DIFFERENTIATION_UNMERGE_SYSTEM,MATCH(A115,DIFFERENTIATION_ID_DIFF,0)))</f>
        <v/>
      </c>
      <c r="I117" s="2384"/>
      <c r="J117" s="2384"/>
      <c r="K117" s="2384"/>
      <c r="L117" s="2384"/>
      <c r="M117" s="2384"/>
      <c r="N117" s="2384"/>
      <c r="O117" s="2384"/>
      <c r="P117" s="2384"/>
      <c r="Q117" s="2384"/>
      <c r="R117" s="2384"/>
      <c r="S117" s="720"/>
      <c r="T117" s="717"/>
      <c r="U117" s="626"/>
      <c r="V117" s="626"/>
      <c r="W117" s="627"/>
      <c r="X117" s="627"/>
      <c r="Y117" s="627"/>
      <c r="Z117" s="627"/>
      <c r="AA117" s="628"/>
      <c r="AB117" s="629"/>
      <c r="AC117" s="2376"/>
      <c r="AD117" s="630"/>
      <c r="AE117" s="631"/>
      <c r="AF117" s="631"/>
      <c r="AG117" s="632"/>
      <c r="AH117" s="633"/>
      <c r="AI117" s="626"/>
      <c r="AJ117" s="626"/>
      <c r="AK117" s="626"/>
      <c r="AL117" s="626"/>
      <c r="AM117" s="626"/>
      <c r="AN117" s="626"/>
      <c r="AO117" s="626"/>
      <c r="AP117" s="626"/>
      <c r="AQ117" s="626"/>
      <c r="AR117" s="626"/>
      <c r="AS117" s="626"/>
      <c r="AT117" s="626"/>
      <c r="AU117" s="626"/>
      <c r="AV117" s="626"/>
      <c r="AW117" s="626"/>
      <c r="AX117" s="626"/>
      <c r="AY117" s="626"/>
      <c r="AZ117" s="626"/>
      <c r="BA117" s="626"/>
      <c r="BB117" s="626"/>
      <c r="BC117" s="626"/>
      <c r="BD117" s="626"/>
      <c r="BE117" s="626"/>
      <c r="BF117" s="626"/>
      <c r="BG117" s="626"/>
      <c r="BH117" s="626"/>
      <c r="BI117" s="626"/>
      <c r="BJ117" s="626"/>
      <c r="BK117" s="626"/>
      <c r="BL117" s="626"/>
      <c r="BM117" s="626"/>
      <c r="BN117" s="626"/>
      <c r="BO117" s="626"/>
      <c r="BP117" s="626"/>
      <c r="BQ117" s="626"/>
      <c r="BR117" s="626"/>
      <c r="BS117" s="626"/>
      <c r="BT117" s="626"/>
      <c r="BU117" s="626"/>
      <c r="BV117" s="627"/>
      <c r="BW117" s="627"/>
      <c r="BX117" s="627"/>
      <c r="BY117" s="627"/>
      <c r="BZ117" s="627"/>
      <c r="CA117" s="627"/>
      <c r="CB117" s="627"/>
      <c r="CC117" s="627"/>
      <c r="CD117" s="627"/>
      <c r="CE117" s="627"/>
    </row>
    <row s="1851" customFormat="1" customHeight="1" ht="24.75">
      <c r="A118" s="1807"/>
      <c r="B118" s="1161"/>
      <c r="C118" s="413"/>
      <c r="D118" s="2580"/>
      <c r="E118" s="2377" t="s">
        <v>741</v>
      </c>
      <c r="F118" s="2377"/>
      <c r="G118" s="2377"/>
      <c r="H118" s="2377"/>
      <c r="I118" s="2377"/>
      <c r="J118" s="2377"/>
      <c r="K118" s="2377"/>
      <c r="L118" s="2377"/>
      <c r="M118" s="2377"/>
      <c r="N118" s="2377"/>
      <c r="O118" s="2377"/>
      <c r="P118" s="2377"/>
      <c r="Q118" s="559">
        <f>SUMIF(T119:T120,"i",Q119:Q120)</f>
        <v>0</v>
      </c>
      <c r="R118" s="1018"/>
      <c r="S118" s="1799" t="s">
        <v>742</v>
      </c>
      <c r="T118" s="718" t="s">
        <v>743</v>
      </c>
      <c r="U118" s="2375">
        <v>1</v>
      </c>
      <c r="V118" s="2375" t="s">
        <v>706</v>
      </c>
      <c r="W118" s="1161"/>
      <c r="X118" s="1161"/>
      <c r="Y118" s="1161"/>
      <c r="Z118" s="1161"/>
      <c r="AA118" s="1637"/>
      <c r="AB118" s="1161"/>
      <c r="AC118" s="2376"/>
      <c r="AD118" s="630"/>
      <c r="AE118" s="1161"/>
      <c r="AF118" s="1161"/>
      <c r="AG118" s="1637"/>
      <c r="AH118" s="1637"/>
      <c r="AI118" s="1637"/>
      <c r="AJ118" s="1637"/>
      <c r="AK118" s="1637"/>
      <c r="AL118" s="1637"/>
      <c r="AM118" s="1637"/>
      <c r="AN118" s="1637"/>
      <c r="AO118" s="1637"/>
      <c r="AP118" s="1637"/>
      <c r="AQ118" s="1637"/>
      <c r="AR118" s="1637"/>
      <c r="AS118" s="1637"/>
      <c r="AT118" s="1637"/>
      <c r="AU118" s="1637"/>
      <c r="AV118" s="1637"/>
      <c r="AW118" s="1637"/>
      <c r="AX118" s="1637"/>
      <c r="AY118" s="1637"/>
      <c r="AZ118" s="1637"/>
      <c r="BA118" s="1637"/>
      <c r="BB118" s="1637"/>
      <c r="BC118" s="1637"/>
      <c r="BD118" s="1637"/>
      <c r="BE118" s="1637"/>
      <c r="BF118" s="1637"/>
      <c r="BG118" s="1637"/>
      <c r="BH118" s="1637"/>
      <c r="BI118" s="1637"/>
      <c r="BJ118" s="1637"/>
      <c r="BK118" s="1637"/>
      <c r="BL118" s="1637"/>
      <c r="BM118" s="1637"/>
      <c r="BN118" s="1637"/>
      <c r="BO118" s="1637"/>
      <c r="BP118" s="1637"/>
      <c r="BQ118" s="1637"/>
      <c r="BR118" s="1637"/>
      <c r="BS118" s="1637"/>
      <c r="BT118" s="1637"/>
      <c r="BU118" s="1637"/>
      <c r="BV118" s="1161"/>
      <c r="BW118" s="1161"/>
      <c r="BX118" s="1161"/>
      <c r="BY118" s="1161"/>
      <c r="BZ118" s="1161"/>
      <c r="CA118" s="1161"/>
      <c r="CB118" s="1161"/>
      <c r="CC118" s="1161"/>
      <c r="CD118" s="1161"/>
      <c r="CE118" s="1161"/>
    </row>
    <row s="1851" customFormat="1" customHeight="1" ht="11.25" hidden="1">
      <c r="A119" s="1794"/>
      <c r="B119" s="1637"/>
      <c r="C119" s="1637"/>
      <c r="D119" s="2580"/>
      <c r="E119" s="636"/>
      <c r="F119" s="636">
        <v>0</v>
      </c>
      <c r="G119" s="636"/>
      <c r="H119" s="636"/>
      <c r="I119" s="636"/>
      <c r="J119" s="636"/>
      <c r="K119" s="636"/>
      <c r="L119" s="636"/>
      <c r="M119" s="636"/>
      <c r="N119" s="636"/>
      <c r="O119" s="636"/>
      <c r="P119" s="636"/>
      <c r="Q119" s="636"/>
      <c r="R119" s="636"/>
      <c r="S119" s="637"/>
      <c r="T119" s="719"/>
      <c r="U119" s="2375"/>
      <c r="V119" s="2375"/>
      <c r="W119" s="1637"/>
      <c r="X119" s="1637"/>
      <c r="Y119" s="1637"/>
      <c r="Z119" s="1637"/>
      <c r="AA119" s="1637"/>
      <c r="AB119" s="1161"/>
      <c r="AC119" s="2376"/>
      <c r="AD119" s="630"/>
      <c r="AE119" s="1161"/>
      <c r="AF119" s="1161"/>
      <c r="AG119" s="1637"/>
      <c r="AH119" s="1637"/>
      <c r="AI119" s="1637"/>
      <c r="AJ119" s="1637"/>
      <c r="AK119" s="1637"/>
      <c r="AL119" s="1637"/>
      <c r="AM119" s="1637"/>
      <c r="AN119" s="1637"/>
      <c r="AO119" s="1637"/>
      <c r="AP119" s="1637"/>
      <c r="AQ119" s="1637"/>
      <c r="AR119" s="1637"/>
      <c r="AS119" s="1637"/>
      <c r="AT119" s="1637"/>
      <c r="AU119" s="1637"/>
      <c r="AV119" s="1637"/>
      <c r="AW119" s="1637"/>
      <c r="AX119" s="1637"/>
      <c r="AY119" s="1637"/>
      <c r="AZ119" s="1637"/>
      <c r="BA119" s="1637"/>
      <c r="BB119" s="1637"/>
      <c r="BC119" s="1637"/>
      <c r="BD119" s="1637"/>
      <c r="BE119" s="1637"/>
      <c r="BF119" s="1637"/>
      <c r="BG119" s="1637"/>
      <c r="BH119" s="1637"/>
      <c r="BI119" s="1637"/>
      <c r="BJ119" s="1637"/>
      <c r="BK119" s="1637"/>
      <c r="BL119" s="1637"/>
      <c r="BM119" s="1637"/>
      <c r="BN119" s="1637"/>
      <c r="BO119" s="1637"/>
      <c r="BP119" s="1637"/>
      <c r="BQ119" s="1637"/>
      <c r="BR119" s="1637"/>
      <c r="BS119" s="1637"/>
      <c r="BT119" s="1637"/>
      <c r="BU119" s="1637"/>
      <c r="BV119" s="1637"/>
      <c r="BW119" s="1637"/>
      <c r="BX119" s="1637"/>
      <c r="BY119" s="1637"/>
      <c r="BZ119" s="1637"/>
      <c r="CA119" s="1637"/>
      <c r="CB119" s="1637"/>
      <c r="CC119" s="1637"/>
      <c r="CD119" s="1637"/>
      <c r="CE119" s="1637"/>
    </row>
    <row s="1851" customFormat="1" customHeight="1" ht="11.25">
      <c r="A120" s="1807"/>
      <c r="B120" s="1161"/>
      <c r="C120" s="413"/>
      <c r="D120" s="2580"/>
      <c r="E120" s="650" t="s">
        <v>28</v>
      </c>
      <c r="F120" s="1169" t="s">
        <v>28</v>
      </c>
      <c r="G120" s="1169" t="s">
        <v>2066</v>
      </c>
      <c r="H120" s="652" t="s">
        <v>28</v>
      </c>
      <c r="I120" s="652"/>
      <c r="J120" s="652"/>
      <c r="K120" s="652"/>
      <c r="L120" s="652"/>
      <c r="M120" s="652"/>
      <c r="N120" s="652"/>
      <c r="O120" s="652"/>
      <c r="P120" s="652"/>
      <c r="Q120" s="652"/>
      <c r="R120" s="653"/>
      <c r="S120" s="654"/>
      <c r="T120" s="719"/>
      <c r="U120" s="2375"/>
      <c r="V120" s="2375"/>
      <c r="W120" s="1161"/>
      <c r="X120" s="1161"/>
      <c r="Y120" s="1161"/>
      <c r="Z120" s="1161"/>
      <c r="AA120" s="1637"/>
      <c r="AB120" s="1161"/>
      <c r="AC120" s="2376"/>
      <c r="AD120" s="630"/>
      <c r="AE120" s="1161"/>
      <c r="AF120" s="1161"/>
      <c r="AG120" s="1637"/>
      <c r="AH120" s="1637"/>
      <c r="AI120" s="1637"/>
      <c r="AJ120" s="1637"/>
      <c r="AK120" s="1637"/>
      <c r="AL120" s="1637"/>
      <c r="AM120" s="1637"/>
      <c r="AN120" s="1637"/>
      <c r="AO120" s="1637"/>
      <c r="AP120" s="1637"/>
      <c r="AQ120" s="1637"/>
      <c r="AR120" s="1637"/>
      <c r="AS120" s="1637"/>
      <c r="AT120" s="1637"/>
      <c r="AU120" s="1637"/>
      <c r="AV120" s="1637"/>
      <c r="AW120" s="1637"/>
      <c r="AX120" s="1637"/>
      <c r="AY120" s="1637"/>
      <c r="AZ120" s="1637"/>
      <c r="BA120" s="1637"/>
      <c r="BB120" s="1637"/>
      <c r="BC120" s="1637"/>
      <c r="BD120" s="1637"/>
      <c r="BE120" s="1637"/>
      <c r="BF120" s="1637"/>
      <c r="BG120" s="1637"/>
      <c r="BH120" s="1637"/>
      <c r="BI120" s="1637"/>
      <c r="BJ120" s="1637"/>
      <c r="BK120" s="1637"/>
      <c r="BL120" s="1637"/>
      <c r="BM120" s="1637"/>
      <c r="BN120" s="1637"/>
      <c r="BO120" s="1637"/>
      <c r="BP120" s="1637"/>
      <c r="BQ120" s="1637"/>
      <c r="BR120" s="1637"/>
      <c r="BS120" s="1637"/>
      <c r="BT120" s="1637"/>
      <c r="BU120" s="1637"/>
      <c r="BV120" s="1161"/>
      <c r="BW120" s="1161"/>
      <c r="BX120" s="1161"/>
      <c r="BY120" s="1161"/>
      <c r="BZ120" s="1161"/>
      <c r="CA120" s="1161"/>
      <c r="CB120" s="1161"/>
      <c r="CC120" s="1161"/>
      <c r="CD120" s="1161"/>
      <c r="CE120" s="1161"/>
    </row>
    <row s="1851" customFormat="1" customHeight="1" ht="24.75">
      <c r="A121" s="1807"/>
      <c r="B121" s="1161"/>
      <c r="C121" s="413"/>
      <c r="D121" s="2580"/>
      <c r="E121" s="2377" t="s">
        <v>744</v>
      </c>
      <c r="F121" s="2377"/>
      <c r="G121" s="2377"/>
      <c r="H121" s="2377"/>
      <c r="I121" s="2377"/>
      <c r="J121" s="2377"/>
      <c r="K121" s="2377"/>
      <c r="L121" s="2377"/>
      <c r="M121" s="2377"/>
      <c r="N121" s="2377"/>
      <c r="O121" s="2377"/>
      <c r="P121" s="2377"/>
      <c r="Q121" s="559">
        <f>SUMIF(T122:T123,"i",Q122:Q123)</f>
        <v>0</v>
      </c>
      <c r="R121" s="1018"/>
      <c r="S121" s="1799" t="s">
        <v>745</v>
      </c>
      <c r="T121" s="718" t="s">
        <v>743</v>
      </c>
      <c r="U121" s="2375">
        <v>1</v>
      </c>
      <c r="V121" s="2375" t="s">
        <v>706</v>
      </c>
      <c r="W121" s="1161"/>
      <c r="X121" s="1161"/>
      <c r="Y121" s="1161"/>
      <c r="Z121" s="1161"/>
      <c r="AA121" s="1637"/>
      <c r="AB121" s="1161"/>
      <c r="AC121" s="1797"/>
      <c r="AD121" s="630"/>
      <c r="AE121" s="1161"/>
      <c r="AF121" s="1161"/>
      <c r="AG121" s="1637"/>
      <c r="AH121" s="1637"/>
      <c r="AI121" s="1637"/>
      <c r="AJ121" s="1637"/>
      <c r="AK121" s="1637"/>
      <c r="AL121" s="1637"/>
      <c r="AM121" s="1637"/>
      <c r="AN121" s="1637"/>
      <c r="AO121" s="1637"/>
      <c r="AP121" s="1637"/>
      <c r="AQ121" s="1637"/>
      <c r="AR121" s="1637"/>
      <c r="AS121" s="1637"/>
      <c r="AT121" s="1637"/>
      <c r="AU121" s="1637"/>
      <c r="AV121" s="1637"/>
      <c r="AW121" s="1637"/>
      <c r="AX121" s="1637"/>
      <c r="AY121" s="1637"/>
      <c r="AZ121" s="1637"/>
      <c r="BA121" s="1637"/>
      <c r="BB121" s="1637"/>
      <c r="BC121" s="1637"/>
      <c r="BD121" s="1637"/>
      <c r="BE121" s="1637"/>
      <c r="BF121" s="1637"/>
      <c r="BG121" s="1637"/>
      <c r="BH121" s="1637"/>
      <c r="BI121" s="1637"/>
      <c r="BJ121" s="1637"/>
      <c r="BK121" s="1637"/>
      <c r="BL121" s="1637"/>
      <c r="BM121" s="1637"/>
      <c r="BN121" s="1637"/>
      <c r="BO121" s="1637"/>
      <c r="BP121" s="1637"/>
      <c r="BQ121" s="1637"/>
      <c r="BR121" s="1637"/>
      <c r="BS121" s="1637"/>
      <c r="BT121" s="1637"/>
      <c r="BU121" s="1637"/>
      <c r="BV121" s="1161"/>
      <c r="BW121" s="1161"/>
      <c r="BX121" s="1161"/>
      <c r="BY121" s="1161"/>
      <c r="BZ121" s="1161"/>
      <c r="CA121" s="1161"/>
      <c r="CB121" s="1161"/>
      <c r="CC121" s="1161"/>
      <c r="CD121" s="1161"/>
      <c r="CE121" s="1161"/>
    </row>
    <row s="1851" customFormat="1" customHeight="1" ht="11.25" hidden="1">
      <c r="A122" s="1794"/>
      <c r="B122" s="1637"/>
      <c r="C122" s="1637"/>
      <c r="D122" s="2580"/>
      <c r="E122" s="636"/>
      <c r="F122" s="636">
        <v>0</v>
      </c>
      <c r="G122" s="636"/>
      <c r="H122" s="636"/>
      <c r="I122" s="636"/>
      <c r="J122" s="636"/>
      <c r="K122" s="636"/>
      <c r="L122" s="636"/>
      <c r="M122" s="636"/>
      <c r="N122" s="636"/>
      <c r="O122" s="636"/>
      <c r="P122" s="636"/>
      <c r="Q122" s="636"/>
      <c r="R122" s="636"/>
      <c r="S122" s="637"/>
      <c r="T122" s="719"/>
      <c r="U122" s="2375"/>
      <c r="V122" s="2375"/>
      <c r="W122" s="1637"/>
      <c r="X122" s="1637"/>
      <c r="Y122" s="1637"/>
      <c r="Z122" s="1637"/>
      <c r="AA122" s="1637"/>
      <c r="AB122" s="1161"/>
      <c r="AC122" s="1797"/>
      <c r="AD122" s="630"/>
      <c r="AE122" s="1161"/>
      <c r="AF122" s="1161"/>
      <c r="AG122" s="1637"/>
      <c r="AH122" s="1637"/>
      <c r="AI122" s="1637"/>
      <c r="AJ122" s="1637"/>
      <c r="AK122" s="1637"/>
      <c r="AL122" s="1637"/>
      <c r="AM122" s="1637"/>
      <c r="AN122" s="1637"/>
      <c r="AO122" s="1637"/>
      <c r="AP122" s="1637"/>
      <c r="AQ122" s="1637"/>
      <c r="AR122" s="1637"/>
      <c r="AS122" s="1637"/>
      <c r="AT122" s="1637"/>
      <c r="AU122" s="1637"/>
      <c r="AV122" s="1637"/>
      <c r="AW122" s="1637"/>
      <c r="AX122" s="1637"/>
      <c r="AY122" s="1637"/>
      <c r="AZ122" s="1637"/>
      <c r="BA122" s="1637"/>
      <c r="BB122" s="1637"/>
      <c r="BC122" s="1637"/>
      <c r="BD122" s="1637"/>
      <c r="BE122" s="1637"/>
      <c r="BF122" s="1637"/>
      <c r="BG122" s="1637"/>
      <c r="BH122" s="1637"/>
      <c r="BI122" s="1637"/>
      <c r="BJ122" s="1637"/>
      <c r="BK122" s="1637"/>
      <c r="BL122" s="1637"/>
      <c r="BM122" s="1637"/>
      <c r="BN122" s="1637"/>
      <c r="BO122" s="1637"/>
      <c r="BP122" s="1637"/>
      <c r="BQ122" s="1637"/>
      <c r="BR122" s="1637"/>
      <c r="BS122" s="1637"/>
      <c r="BT122" s="1637"/>
      <c r="BU122" s="1637"/>
      <c r="BV122" s="1637"/>
      <c r="BW122" s="1637"/>
      <c r="BX122" s="1637"/>
      <c r="BY122" s="1637"/>
      <c r="BZ122" s="1637"/>
      <c r="CA122" s="1637"/>
      <c r="CB122" s="1637"/>
      <c r="CC122" s="1637"/>
      <c r="CD122" s="1637"/>
      <c r="CE122" s="1637"/>
    </row>
    <row s="1851" customFormat="1" customHeight="1" ht="11.25">
      <c r="A123" s="1807"/>
      <c r="B123" s="1161"/>
      <c r="C123" s="413"/>
      <c r="D123" s="2581"/>
      <c r="E123" s="650" t="s">
        <v>28</v>
      </c>
      <c r="F123" s="1169" t="s">
        <v>28</v>
      </c>
      <c r="G123" s="1169" t="s">
        <v>2066</v>
      </c>
      <c r="H123" s="652" t="s">
        <v>28</v>
      </c>
      <c r="I123" s="652"/>
      <c r="J123" s="652"/>
      <c r="K123" s="652"/>
      <c r="L123" s="652"/>
      <c r="M123" s="652"/>
      <c r="N123" s="652"/>
      <c r="O123" s="652"/>
      <c r="P123" s="652"/>
      <c r="Q123" s="652"/>
      <c r="R123" s="653"/>
      <c r="S123" s="654"/>
      <c r="T123" s="719"/>
      <c r="U123" s="2375"/>
      <c r="V123" s="2375"/>
      <c r="W123" s="1161"/>
      <c r="X123" s="1161"/>
      <c r="Y123" s="1161"/>
      <c r="Z123" s="1161"/>
      <c r="AA123" s="1637"/>
      <c r="AB123" s="1161"/>
      <c r="AC123" s="1797"/>
      <c r="AD123" s="630"/>
      <c r="AE123" s="1161"/>
      <c r="AF123" s="1161"/>
      <c r="AG123" s="1637"/>
      <c r="AH123" s="1637"/>
      <c r="AI123" s="1637"/>
      <c r="AJ123" s="1637"/>
      <c r="AK123" s="1637"/>
      <c r="AL123" s="1637"/>
      <c r="AM123" s="1637"/>
      <c r="AN123" s="1637"/>
      <c r="AO123" s="1637"/>
      <c r="AP123" s="1637"/>
      <c r="AQ123" s="1637"/>
      <c r="AR123" s="1637"/>
      <c r="AS123" s="1637"/>
      <c r="AT123" s="1637"/>
      <c r="AU123" s="1637"/>
      <c r="AV123" s="1637"/>
      <c r="AW123" s="1637"/>
      <c r="AX123" s="1637"/>
      <c r="AY123" s="1637"/>
      <c r="AZ123" s="1637"/>
      <c r="BA123" s="1637"/>
      <c r="BB123" s="1637"/>
      <c r="BC123" s="1637"/>
      <c r="BD123" s="1637"/>
      <c r="BE123" s="1637"/>
      <c r="BF123" s="1637"/>
      <c r="BG123" s="1637"/>
      <c r="BH123" s="1637"/>
      <c r="BI123" s="1637"/>
      <c r="BJ123" s="1637"/>
      <c r="BK123" s="1637"/>
      <c r="BL123" s="1637"/>
      <c r="BM123" s="1637"/>
      <c r="BN123" s="1637"/>
      <c r="BO123" s="1637"/>
      <c r="BP123" s="1637"/>
      <c r="BQ123" s="1637"/>
      <c r="BR123" s="1637"/>
      <c r="BS123" s="1637"/>
      <c r="BT123" s="1637"/>
      <c r="BU123" s="1637"/>
      <c r="BV123" s="1161"/>
      <c r="BW123" s="1161"/>
      <c r="BX123" s="1161"/>
      <c r="BY123" s="1161"/>
      <c r="BZ123" s="1161"/>
      <c r="CA123" s="1161"/>
      <c r="CB123" s="1161"/>
      <c r="CC123" s="1161"/>
      <c r="CD123" s="1161"/>
      <c r="CE123" s="1161"/>
    </row>
    <row r="125" s="1816" customFormat="1" customHeight="1" ht="11.25">
      <c r="A125" s="1816" t="s">
        <v>2067</v>
      </c>
    </row>
    <row r="127" s="1851" customFormat="1" customHeight="1" ht="15">
      <c r="A127" s="624"/>
      <c r="B127" s="625"/>
      <c r="C127" s="625"/>
      <c r="D127" s="2579" t="s">
        <v>123</v>
      </c>
      <c r="E127" s="2378" t="s">
        <v>119</v>
      </c>
      <c r="F127" s="2379"/>
      <c r="G127" s="2380"/>
      <c r="H127" s="2384" t="str">
        <f>IF(A127="","",INDEX(DIFFERENTIATION_UNMERGE_VD,MATCH(A127,DIFFERENTIATION_ID_DIFF,0)))</f>
        <v/>
      </c>
      <c r="I127" s="2384"/>
      <c r="J127" s="2384"/>
      <c r="K127" s="2384"/>
      <c r="L127" s="2384"/>
      <c r="M127" s="2384"/>
      <c r="N127" s="2384"/>
      <c r="O127" s="2384"/>
      <c r="P127" s="2384"/>
      <c r="Q127" s="2384"/>
      <c r="R127" s="2384"/>
      <c r="S127" s="720"/>
      <c r="T127" s="717"/>
      <c r="U127" s="626"/>
      <c r="V127" s="626"/>
      <c r="W127" s="627"/>
      <c r="X127" s="627"/>
      <c r="Y127" s="627"/>
      <c r="Z127" s="627"/>
      <c r="AA127" s="628"/>
      <c r="AB127" s="629"/>
      <c r="AC127" s="2376"/>
      <c r="AD127" s="630"/>
      <c r="AE127" s="631" t="s">
        <v>28</v>
      </c>
      <c r="AF127" s="631"/>
      <c r="AG127" s="632" t="s">
        <v>740</v>
      </c>
      <c r="AH127" s="633">
        <v>3</v>
      </c>
      <c r="AI127" s="626"/>
      <c r="AJ127" s="626"/>
      <c r="AK127" s="626"/>
      <c r="AL127" s="626"/>
      <c r="AM127" s="626"/>
      <c r="AN127" s="626"/>
      <c r="AO127" s="626"/>
      <c r="AP127" s="626"/>
      <c r="AQ127" s="626"/>
      <c r="AR127" s="626"/>
      <c r="AS127" s="626"/>
      <c r="AT127" s="626"/>
      <c r="AU127" s="626"/>
      <c r="AV127" s="626"/>
      <c r="AW127" s="626"/>
      <c r="AX127" s="626"/>
      <c r="AY127" s="626"/>
      <c r="AZ127" s="626"/>
      <c r="BA127" s="626"/>
      <c r="BB127" s="626"/>
      <c r="BC127" s="626"/>
      <c r="BD127" s="626"/>
      <c r="BE127" s="626"/>
      <c r="BF127" s="626"/>
      <c r="BG127" s="626"/>
      <c r="BH127" s="626"/>
      <c r="BI127" s="626"/>
      <c r="BJ127" s="626"/>
      <c r="BK127" s="626"/>
      <c r="BL127" s="626"/>
      <c r="BM127" s="626"/>
      <c r="BN127" s="626"/>
      <c r="BO127" s="626"/>
      <c r="BP127" s="626"/>
      <c r="BQ127" s="626"/>
      <c r="BR127" s="626"/>
      <c r="BS127" s="626"/>
      <c r="BT127" s="626"/>
      <c r="BU127" s="626"/>
      <c r="BV127" s="627"/>
      <c r="BW127" s="627"/>
      <c r="BX127" s="627"/>
      <c r="BY127" s="627"/>
      <c r="BZ127" s="627"/>
      <c r="CA127" s="627"/>
      <c r="CB127" s="627"/>
      <c r="CC127" s="627"/>
      <c r="CD127" s="627"/>
      <c r="CE127" s="627"/>
    </row>
    <row s="1851" customFormat="1" customHeight="1" ht="15">
      <c r="A128" s="624"/>
      <c r="B128" s="625"/>
      <c r="C128" s="625"/>
      <c r="D128" s="2580"/>
      <c r="E128" s="2378" t="s">
        <v>695</v>
      </c>
      <c r="F128" s="2379"/>
      <c r="G128" s="2380"/>
      <c r="H128" s="2384" t="str">
        <f>IF(A127="","",INDEX(DIFFERENTIATION_UNMERGE_AREA,MATCH(A127,DIFFERENTIATION_ID_DIFF,0)))</f>
        <v/>
      </c>
      <c r="I128" s="2384"/>
      <c r="J128" s="2384"/>
      <c r="K128" s="2384"/>
      <c r="L128" s="2384"/>
      <c r="M128" s="2384"/>
      <c r="N128" s="2384"/>
      <c r="O128" s="2384"/>
      <c r="P128" s="2384"/>
      <c r="Q128" s="2384"/>
      <c r="R128" s="2384"/>
      <c r="S128" s="720"/>
      <c r="T128" s="717"/>
      <c r="U128" s="626"/>
      <c r="V128" s="626"/>
      <c r="W128" s="627"/>
      <c r="X128" s="627"/>
      <c r="Y128" s="627"/>
      <c r="Z128" s="627"/>
      <c r="AA128" s="628"/>
      <c r="AB128" s="629"/>
      <c r="AC128" s="2376"/>
      <c r="AD128" s="630"/>
      <c r="AE128" s="631"/>
      <c r="AF128" s="631"/>
      <c r="AG128" s="632"/>
      <c r="AH128" s="633"/>
      <c r="AI128" s="626"/>
      <c r="AJ128" s="626"/>
      <c r="AK128" s="626"/>
      <c r="AL128" s="626"/>
      <c r="AM128" s="626"/>
      <c r="AN128" s="626"/>
      <c r="AO128" s="626"/>
      <c r="AP128" s="626"/>
      <c r="AQ128" s="626"/>
      <c r="AR128" s="626"/>
      <c r="AS128" s="626"/>
      <c r="AT128" s="626"/>
      <c r="AU128" s="626"/>
      <c r="AV128" s="626"/>
      <c r="AW128" s="626"/>
      <c r="AX128" s="626"/>
      <c r="AY128" s="626"/>
      <c r="AZ128" s="626"/>
      <c r="BA128" s="626"/>
      <c r="BB128" s="626"/>
      <c r="BC128" s="626"/>
      <c r="BD128" s="626"/>
      <c r="BE128" s="626"/>
      <c r="BF128" s="626"/>
      <c r="BG128" s="626"/>
      <c r="BH128" s="626"/>
      <c r="BI128" s="626"/>
      <c r="BJ128" s="626"/>
      <c r="BK128" s="626"/>
      <c r="BL128" s="626"/>
      <c r="BM128" s="626"/>
      <c r="BN128" s="626"/>
      <c r="BO128" s="626"/>
      <c r="BP128" s="626"/>
      <c r="BQ128" s="626"/>
      <c r="BR128" s="626"/>
      <c r="BS128" s="626"/>
      <c r="BT128" s="626"/>
      <c r="BU128" s="626"/>
      <c r="BV128" s="627"/>
      <c r="BW128" s="627"/>
      <c r="BX128" s="627"/>
      <c r="BY128" s="627"/>
      <c r="BZ128" s="627"/>
      <c r="CA128" s="627"/>
      <c r="CB128" s="627"/>
      <c r="CC128" s="627"/>
      <c r="CD128" s="627"/>
      <c r="CE128" s="627"/>
    </row>
    <row s="1851" customFormat="1" customHeight="1" ht="15">
      <c r="A129" s="624"/>
      <c r="B129" s="625"/>
      <c r="C129" s="625"/>
      <c r="D129" s="2580"/>
      <c r="E129" s="2378" t="s">
        <v>696</v>
      </c>
      <c r="F129" s="2379"/>
      <c r="G129" s="2380"/>
      <c r="H129" s="2384" t="str">
        <f>IF(A127="","",INDEX(DIFFERENTIATION_UNMERGE_SYSTEM,MATCH(A127,DIFFERENTIATION_ID_DIFF,0)))</f>
        <v/>
      </c>
      <c r="I129" s="2384"/>
      <c r="J129" s="2384"/>
      <c r="K129" s="2384"/>
      <c r="L129" s="2384"/>
      <c r="M129" s="2384"/>
      <c r="N129" s="2384"/>
      <c r="O129" s="2384"/>
      <c r="P129" s="2384"/>
      <c r="Q129" s="2384"/>
      <c r="R129" s="2384"/>
      <c r="S129" s="720"/>
      <c r="T129" s="717"/>
      <c r="U129" s="626"/>
      <c r="V129" s="626"/>
      <c r="W129" s="627"/>
      <c r="X129" s="627"/>
      <c r="Y129" s="627"/>
      <c r="Z129" s="627"/>
      <c r="AA129" s="628"/>
      <c r="AB129" s="629"/>
      <c r="AC129" s="2376"/>
      <c r="AD129" s="630"/>
      <c r="AE129" s="631"/>
      <c r="AF129" s="631"/>
      <c r="AG129" s="632"/>
      <c r="AH129" s="633"/>
      <c r="AI129" s="626"/>
      <c r="AJ129" s="626"/>
      <c r="AK129" s="626"/>
      <c r="AL129" s="626"/>
      <c r="AM129" s="626"/>
      <c r="AN129" s="626"/>
      <c r="AO129" s="626"/>
      <c r="AP129" s="626"/>
      <c r="AQ129" s="626"/>
      <c r="AR129" s="626"/>
      <c r="AS129" s="626"/>
      <c r="AT129" s="626"/>
      <c r="AU129" s="626"/>
      <c r="AV129" s="626"/>
      <c r="AW129" s="626"/>
      <c r="AX129" s="626"/>
      <c r="AY129" s="626"/>
      <c r="AZ129" s="626"/>
      <c r="BA129" s="626"/>
      <c r="BB129" s="626"/>
      <c r="BC129" s="626"/>
      <c r="BD129" s="626"/>
      <c r="BE129" s="626"/>
      <c r="BF129" s="626"/>
      <c r="BG129" s="626"/>
      <c r="BH129" s="626"/>
      <c r="BI129" s="626"/>
      <c r="BJ129" s="626"/>
      <c r="BK129" s="626"/>
      <c r="BL129" s="626"/>
      <c r="BM129" s="626"/>
      <c r="BN129" s="626"/>
      <c r="BO129" s="626"/>
      <c r="BP129" s="626"/>
      <c r="BQ129" s="626"/>
      <c r="BR129" s="626"/>
      <c r="BS129" s="626"/>
      <c r="BT129" s="626"/>
      <c r="BU129" s="626"/>
      <c r="BV129" s="627"/>
      <c r="BW129" s="627"/>
      <c r="BX129" s="627"/>
      <c r="BY129" s="627"/>
      <c r="BZ129" s="627"/>
      <c r="CA129" s="627"/>
      <c r="CB129" s="627"/>
      <c r="CC129" s="627"/>
      <c r="CD129" s="627"/>
      <c r="CE129" s="627"/>
    </row>
    <row s="1851" customFormat="1" customHeight="1" ht="24.75">
      <c r="A130" s="1807"/>
      <c r="B130" s="1161"/>
      <c r="C130" s="413"/>
      <c r="D130" s="2580"/>
      <c r="E130" s="2377" t="s">
        <v>741</v>
      </c>
      <c r="F130" s="2377"/>
      <c r="G130" s="2377"/>
      <c r="H130" s="2377"/>
      <c r="I130" s="2377"/>
      <c r="J130" s="2377"/>
      <c r="K130" s="2377"/>
      <c r="L130" s="2377"/>
      <c r="M130" s="2377"/>
      <c r="N130" s="2377"/>
      <c r="O130" s="2377"/>
      <c r="P130" s="2377"/>
      <c r="Q130" s="559">
        <f>SUMIF(T131:T132,"i",Q131:Q132)</f>
        <v>0</v>
      </c>
      <c r="R130" s="1018"/>
      <c r="S130" s="1799" t="s">
        <v>742</v>
      </c>
      <c r="T130" s="718" t="s">
        <v>743</v>
      </c>
      <c r="U130" s="2375">
        <v>1</v>
      </c>
      <c r="V130" s="2375" t="s">
        <v>706</v>
      </c>
      <c r="W130" s="1161"/>
      <c r="X130" s="1161"/>
      <c r="Y130" s="1161"/>
      <c r="Z130" s="1161"/>
      <c r="AA130" s="1637"/>
      <c r="AB130" s="1161"/>
      <c r="AC130" s="2376"/>
      <c r="AD130" s="630"/>
      <c r="AE130" s="1161"/>
      <c r="AF130" s="1161"/>
      <c r="AG130" s="1637"/>
      <c r="AH130" s="1637"/>
      <c r="AI130" s="1637"/>
      <c r="AJ130" s="1637"/>
      <c r="AK130" s="1637"/>
      <c r="AL130" s="1637"/>
      <c r="AM130" s="1637"/>
      <c r="AN130" s="1637"/>
      <c r="AO130" s="1637"/>
      <c r="AP130" s="1637"/>
      <c r="AQ130" s="1637"/>
      <c r="AR130" s="1637"/>
      <c r="AS130" s="1637"/>
      <c r="AT130" s="1637"/>
      <c r="AU130" s="1637"/>
      <c r="AV130" s="1637"/>
      <c r="AW130" s="1637"/>
      <c r="AX130" s="1637"/>
      <c r="AY130" s="1637"/>
      <c r="AZ130" s="1637"/>
      <c r="BA130" s="1637"/>
      <c r="BB130" s="1637"/>
      <c r="BC130" s="1637"/>
      <c r="BD130" s="1637"/>
      <c r="BE130" s="1637"/>
      <c r="BF130" s="1637"/>
      <c r="BG130" s="1637"/>
      <c r="BH130" s="1637"/>
      <c r="BI130" s="1637"/>
      <c r="BJ130" s="1637"/>
      <c r="BK130" s="1637"/>
      <c r="BL130" s="1637"/>
      <c r="BM130" s="1637"/>
      <c r="BN130" s="1637"/>
      <c r="BO130" s="1637"/>
      <c r="BP130" s="1637"/>
      <c r="BQ130" s="1637"/>
      <c r="BR130" s="1637"/>
      <c r="BS130" s="1637"/>
      <c r="BT130" s="1637"/>
      <c r="BU130" s="1637"/>
      <c r="BV130" s="1161"/>
      <c r="BW130" s="1161"/>
      <c r="BX130" s="1161"/>
      <c r="BY130" s="1161"/>
      <c r="BZ130" s="1161"/>
      <c r="CA130" s="1161"/>
      <c r="CB130" s="1161"/>
      <c r="CC130" s="1161"/>
      <c r="CD130" s="1161"/>
      <c r="CE130" s="1161"/>
    </row>
    <row s="1851" customFormat="1" customHeight="1" ht="11.25" hidden="1">
      <c r="A131" s="1794"/>
      <c r="B131" s="1637"/>
      <c r="C131" s="1637"/>
      <c r="D131" s="2580"/>
      <c r="E131" s="636"/>
      <c r="F131" s="636">
        <v>0</v>
      </c>
      <c r="G131" s="636"/>
      <c r="H131" s="636"/>
      <c r="I131" s="636"/>
      <c r="J131" s="636"/>
      <c r="K131" s="636"/>
      <c r="L131" s="636"/>
      <c r="M131" s="636"/>
      <c r="N131" s="636"/>
      <c r="O131" s="636"/>
      <c r="P131" s="636"/>
      <c r="Q131" s="636"/>
      <c r="R131" s="636"/>
      <c r="S131" s="637"/>
      <c r="T131" s="719"/>
      <c r="U131" s="2375"/>
      <c r="V131" s="2375"/>
      <c r="W131" s="1637"/>
      <c r="X131" s="1637"/>
      <c r="Y131" s="1637"/>
      <c r="Z131" s="1637"/>
      <c r="AA131" s="1637"/>
      <c r="AB131" s="1161"/>
      <c r="AC131" s="2376"/>
      <c r="AD131" s="630"/>
      <c r="AE131" s="1161"/>
      <c r="AF131" s="1161"/>
      <c r="AG131" s="1637"/>
      <c r="AH131" s="1637"/>
      <c r="AI131" s="1637"/>
      <c r="AJ131" s="1637"/>
      <c r="AK131" s="1637"/>
      <c r="AL131" s="1637"/>
      <c r="AM131" s="1637"/>
      <c r="AN131" s="1637"/>
      <c r="AO131" s="1637"/>
      <c r="AP131" s="1637"/>
      <c r="AQ131" s="1637"/>
      <c r="AR131" s="1637"/>
      <c r="AS131" s="1637"/>
      <c r="AT131" s="1637"/>
      <c r="AU131" s="1637"/>
      <c r="AV131" s="1637"/>
      <c r="AW131" s="1637"/>
      <c r="AX131" s="1637"/>
      <c r="AY131" s="1637"/>
      <c r="AZ131" s="1637"/>
      <c r="BA131" s="1637"/>
      <c r="BB131" s="1637"/>
      <c r="BC131" s="1637"/>
      <c r="BD131" s="1637"/>
      <c r="BE131" s="1637"/>
      <c r="BF131" s="1637"/>
      <c r="BG131" s="1637"/>
      <c r="BH131" s="1637"/>
      <c r="BI131" s="1637"/>
      <c r="BJ131" s="1637"/>
      <c r="BK131" s="1637"/>
      <c r="BL131" s="1637"/>
      <c r="BM131" s="1637"/>
      <c r="BN131" s="1637"/>
      <c r="BO131" s="1637"/>
      <c r="BP131" s="1637"/>
      <c r="BQ131" s="1637"/>
      <c r="BR131" s="1637"/>
      <c r="BS131" s="1637"/>
      <c r="BT131" s="1637"/>
      <c r="BU131" s="1637"/>
      <c r="BV131" s="1637"/>
      <c r="BW131" s="1637"/>
      <c r="BX131" s="1637"/>
      <c r="BY131" s="1637"/>
      <c r="BZ131" s="1637"/>
      <c r="CA131" s="1637"/>
      <c r="CB131" s="1637"/>
      <c r="CC131" s="1637"/>
      <c r="CD131" s="1637"/>
      <c r="CE131" s="1637"/>
    </row>
    <row s="1851" customFormat="1" customHeight="1" ht="11.25">
      <c r="A132" s="1807"/>
      <c r="B132" s="1161"/>
      <c r="C132" s="413"/>
      <c r="D132" s="2580"/>
      <c r="E132" s="650" t="s">
        <v>28</v>
      </c>
      <c r="F132" s="1169" t="s">
        <v>28</v>
      </c>
      <c r="G132" s="1169" t="s">
        <v>2066</v>
      </c>
      <c r="H132" s="652" t="s">
        <v>28</v>
      </c>
      <c r="I132" s="652"/>
      <c r="J132" s="652"/>
      <c r="K132" s="652"/>
      <c r="L132" s="652"/>
      <c r="M132" s="652"/>
      <c r="N132" s="652"/>
      <c r="O132" s="652"/>
      <c r="P132" s="652"/>
      <c r="Q132" s="652"/>
      <c r="R132" s="653"/>
      <c r="S132" s="654"/>
      <c r="T132" s="719"/>
      <c r="U132" s="2375"/>
      <c r="V132" s="2375"/>
      <c r="W132" s="1161"/>
      <c r="X132" s="1161"/>
      <c r="Y132" s="1161"/>
      <c r="Z132" s="1161"/>
      <c r="AA132" s="1637"/>
      <c r="AB132" s="1161"/>
      <c r="AC132" s="2376"/>
      <c r="AD132" s="630"/>
      <c r="AE132" s="1161"/>
      <c r="AF132" s="1161"/>
      <c r="AG132" s="1637"/>
      <c r="AH132" s="1637"/>
      <c r="AI132" s="1637"/>
      <c r="AJ132" s="1637"/>
      <c r="AK132" s="1637"/>
      <c r="AL132" s="1637"/>
      <c r="AM132" s="1637"/>
      <c r="AN132" s="1637"/>
      <c r="AO132" s="1637"/>
      <c r="AP132" s="1637"/>
      <c r="AQ132" s="1637"/>
      <c r="AR132" s="1637"/>
      <c r="AS132" s="1637"/>
      <c r="AT132" s="1637"/>
      <c r="AU132" s="1637"/>
      <c r="AV132" s="1637"/>
      <c r="AW132" s="1637"/>
      <c r="AX132" s="1637"/>
      <c r="AY132" s="1637"/>
      <c r="AZ132" s="1637"/>
      <c r="BA132" s="1637"/>
      <c r="BB132" s="1637"/>
      <c r="BC132" s="1637"/>
      <c r="BD132" s="1637"/>
      <c r="BE132" s="1637"/>
      <c r="BF132" s="1637"/>
      <c r="BG132" s="1637"/>
      <c r="BH132" s="1637"/>
      <c r="BI132" s="1637"/>
      <c r="BJ132" s="1637"/>
      <c r="BK132" s="1637"/>
      <c r="BL132" s="1637"/>
      <c r="BM132" s="1637"/>
      <c r="BN132" s="1637"/>
      <c r="BO132" s="1637"/>
      <c r="BP132" s="1637"/>
      <c r="BQ132" s="1637"/>
      <c r="BR132" s="1637"/>
      <c r="BS132" s="1637"/>
      <c r="BT132" s="1637"/>
      <c r="BU132" s="1637"/>
      <c r="BV132" s="1161"/>
      <c r="BW132" s="1161"/>
      <c r="BX132" s="1161"/>
      <c r="BY132" s="1161"/>
      <c r="BZ132" s="1161"/>
      <c r="CA132" s="1161"/>
      <c r="CB132" s="1161"/>
      <c r="CC132" s="1161"/>
      <c r="CD132" s="1161"/>
      <c r="CE132" s="1161"/>
    </row>
    <row s="1317" customFormat="1" customHeight="1" ht="5.25" hidden="1">
      <c r="A133" s="1794"/>
      <c r="B133" s="1637"/>
      <c r="C133" s="1637"/>
      <c r="D133" s="2580"/>
      <c r="E133" s="1040"/>
      <c r="F133" s="1040"/>
      <c r="G133" s="1040"/>
      <c r="H133" s="1040"/>
      <c r="I133" s="1040"/>
      <c r="J133" s="1040"/>
      <c r="K133" s="1040"/>
      <c r="L133" s="1040"/>
      <c r="M133" s="1040"/>
      <c r="N133" s="1040"/>
      <c r="O133" s="1040"/>
      <c r="P133" s="1040"/>
      <c r="Q133" s="1041"/>
      <c r="R133" s="1042"/>
      <c r="S133" s="1043"/>
      <c r="T133" s="718" t="s">
        <v>743</v>
      </c>
      <c r="U133" s="2375">
        <v>1</v>
      </c>
      <c r="V133" s="2375" t="s">
        <v>706</v>
      </c>
      <c r="W133" s="1637"/>
      <c r="X133" s="1637"/>
      <c r="Y133" s="1637"/>
      <c r="Z133" s="1637"/>
      <c r="AA133" s="1637"/>
      <c r="AB133" s="1637"/>
      <c r="AC133" s="1038"/>
      <c r="AD133" s="1039"/>
      <c r="AE133" s="1637"/>
      <c r="AF133" s="1637"/>
      <c r="AG133" s="1637"/>
      <c r="AH133" s="1637"/>
      <c r="AI133" s="1637"/>
      <c r="AJ133" s="1637"/>
      <c r="AK133" s="1637"/>
      <c r="AL133" s="1637"/>
      <c r="AM133" s="1637"/>
      <c r="AN133" s="1637"/>
      <c r="AO133" s="1637"/>
      <c r="AP133" s="1637"/>
      <c r="AQ133" s="1637"/>
      <c r="AR133" s="1637"/>
      <c r="AS133" s="1637"/>
      <c r="AT133" s="1637"/>
      <c r="AU133" s="1637"/>
      <c r="AV133" s="1637"/>
      <c r="AW133" s="1637"/>
      <c r="AX133" s="1637"/>
      <c r="AY133" s="1637"/>
      <c r="AZ133" s="1637"/>
      <c r="BA133" s="1637"/>
      <c r="BB133" s="1637"/>
      <c r="BC133" s="1637"/>
      <c r="BD133" s="1637"/>
      <c r="BE133" s="1637"/>
      <c r="BF133" s="1637"/>
      <c r="BG133" s="1637"/>
      <c r="BH133" s="1637"/>
      <c r="BI133" s="1637"/>
      <c r="BJ133" s="1637"/>
      <c r="BK133" s="1637"/>
      <c r="BL133" s="1637"/>
      <c r="BM133" s="1637"/>
      <c r="BN133" s="1637"/>
      <c r="BO133" s="1637"/>
      <c r="BP133" s="1637"/>
      <c r="BQ133" s="1637"/>
      <c r="BR133" s="1637"/>
      <c r="BS133" s="1637"/>
      <c r="BT133" s="1637"/>
      <c r="BU133" s="1637"/>
      <c r="BV133" s="1637"/>
      <c r="BW133" s="1637"/>
      <c r="BX133" s="1637"/>
      <c r="BY133" s="1637"/>
      <c r="BZ133" s="1637"/>
      <c r="CA133" s="1637"/>
      <c r="CB133" s="1637"/>
      <c r="CC133" s="1637"/>
      <c r="CD133" s="1637"/>
      <c r="CE133" s="1637"/>
    </row>
    <row s="1317" customFormat="1" customHeight="1" ht="5.25" hidden="1">
      <c r="A134" s="1794"/>
      <c r="B134" s="1637"/>
      <c r="C134" s="1637"/>
      <c r="D134" s="2580"/>
      <c r="E134" s="636"/>
      <c r="F134" s="636"/>
      <c r="G134" s="636"/>
      <c r="H134" s="636"/>
      <c r="I134" s="636"/>
      <c r="J134" s="636"/>
      <c r="K134" s="636"/>
      <c r="L134" s="636"/>
      <c r="M134" s="636"/>
      <c r="N134" s="636"/>
      <c r="O134" s="636"/>
      <c r="P134" s="636"/>
      <c r="Q134" s="636"/>
      <c r="R134" s="636"/>
      <c r="S134" s="637"/>
      <c r="T134" s="719"/>
      <c r="U134" s="2375"/>
      <c r="V134" s="2375"/>
      <c r="W134" s="1637"/>
      <c r="X134" s="1637"/>
      <c r="Y134" s="1637"/>
      <c r="Z134" s="1637"/>
      <c r="AA134" s="1637"/>
      <c r="AB134" s="1637"/>
      <c r="AC134" s="1038"/>
      <c r="AD134" s="1039"/>
      <c r="AE134" s="1637"/>
      <c r="AF134" s="1637"/>
      <c r="AG134" s="1637"/>
      <c r="AH134" s="1637"/>
      <c r="AI134" s="1637"/>
      <c r="AJ134" s="1637"/>
      <c r="AK134" s="1637"/>
      <c r="AL134" s="1637"/>
      <c r="AM134" s="1637"/>
      <c r="AN134" s="1637"/>
      <c r="AO134" s="1637"/>
      <c r="AP134" s="1637"/>
      <c r="AQ134" s="1637"/>
      <c r="AR134" s="1637"/>
      <c r="AS134" s="1637"/>
      <c r="AT134" s="1637"/>
      <c r="AU134" s="1637"/>
      <c r="AV134" s="1637"/>
      <c r="AW134" s="1637"/>
      <c r="AX134" s="1637"/>
      <c r="AY134" s="1637"/>
      <c r="AZ134" s="1637"/>
      <c r="BA134" s="1637"/>
      <c r="BB134" s="1637"/>
      <c r="BC134" s="1637"/>
      <c r="BD134" s="1637"/>
      <c r="BE134" s="1637"/>
      <c r="BF134" s="1637"/>
      <c r="BG134" s="1637"/>
      <c r="BH134" s="1637"/>
      <c r="BI134" s="1637"/>
      <c r="BJ134" s="1637"/>
      <c r="BK134" s="1637"/>
      <c r="BL134" s="1637"/>
      <c r="BM134" s="1637"/>
      <c r="BN134" s="1637"/>
      <c r="BO134" s="1637"/>
      <c r="BP134" s="1637"/>
      <c r="BQ134" s="1637"/>
      <c r="BR134" s="1637"/>
      <c r="BS134" s="1637"/>
      <c r="BT134" s="1637"/>
      <c r="BU134" s="1637"/>
      <c r="BV134" s="1637"/>
      <c r="BW134" s="1637"/>
      <c r="BX134" s="1637"/>
      <c r="BY134" s="1637"/>
      <c r="BZ134" s="1637"/>
      <c r="CA134" s="1637"/>
      <c r="CB134" s="1637"/>
      <c r="CC134" s="1637"/>
      <c r="CD134" s="1637"/>
      <c r="CE134" s="1637"/>
    </row>
    <row s="1317" customFormat="1" customHeight="1" ht="5.25" hidden="1">
      <c r="A135" s="1794"/>
      <c r="B135" s="1637"/>
      <c r="C135" s="1637"/>
      <c r="D135" s="2581"/>
      <c r="E135" s="1044"/>
      <c r="F135" s="1045"/>
      <c r="G135" s="1045"/>
      <c r="H135" s="1046"/>
      <c r="I135" s="1046"/>
      <c r="J135" s="1046"/>
      <c r="K135" s="1046"/>
      <c r="L135" s="1046"/>
      <c r="M135" s="1046"/>
      <c r="N135" s="1046"/>
      <c r="O135" s="1046"/>
      <c r="P135" s="1046"/>
      <c r="Q135" s="1046"/>
      <c r="R135" s="947"/>
      <c r="S135" s="1047"/>
      <c r="T135" s="719"/>
      <c r="U135" s="2375"/>
      <c r="V135" s="2375"/>
      <c r="W135" s="1637"/>
      <c r="X135" s="1637"/>
      <c r="Y135" s="1637"/>
      <c r="Z135" s="1637"/>
      <c r="AA135" s="1637"/>
      <c r="AB135" s="1637"/>
      <c r="AC135" s="1038"/>
      <c r="AD135" s="1039"/>
      <c r="AE135" s="1637"/>
      <c r="AF135" s="1637"/>
      <c r="AG135" s="1637"/>
      <c r="AH135" s="1637"/>
      <c r="AI135" s="1637"/>
      <c r="AJ135" s="1637"/>
      <c r="AK135" s="1637"/>
      <c r="AL135" s="1637"/>
      <c r="AM135" s="1637"/>
      <c r="AN135" s="1637"/>
      <c r="AO135" s="1637"/>
      <c r="AP135" s="1637"/>
      <c r="AQ135" s="1637"/>
      <c r="AR135" s="1637"/>
      <c r="AS135" s="1637"/>
      <c r="AT135" s="1637"/>
      <c r="AU135" s="1637"/>
      <c r="AV135" s="1637"/>
      <c r="AW135" s="1637"/>
      <c r="AX135" s="1637"/>
      <c r="AY135" s="1637"/>
      <c r="AZ135" s="1637"/>
      <c r="BA135" s="1637"/>
      <c r="BB135" s="1637"/>
      <c r="BC135" s="1637"/>
      <c r="BD135" s="1637"/>
      <c r="BE135" s="1637"/>
      <c r="BF135" s="1637"/>
      <c r="BG135" s="1637"/>
      <c r="BH135" s="1637"/>
      <c r="BI135" s="1637"/>
      <c r="BJ135" s="1637"/>
      <c r="BK135" s="1637"/>
      <c r="BL135" s="1637"/>
      <c r="BM135" s="1637"/>
      <c r="BN135" s="1637"/>
      <c r="BO135" s="1637"/>
      <c r="BP135" s="1637"/>
      <c r="BQ135" s="1637"/>
      <c r="BR135" s="1637"/>
      <c r="BS135" s="1637"/>
      <c r="BT135" s="1637"/>
      <c r="BU135" s="1637"/>
      <c r="BV135" s="1637"/>
      <c r="BW135" s="1637"/>
      <c r="BX135" s="1637"/>
      <c r="BY135" s="1637"/>
      <c r="BZ135" s="1637"/>
      <c r="CA135" s="1637"/>
      <c r="CB135" s="1637"/>
      <c r="CC135" s="1637"/>
      <c r="CD135" s="1637"/>
      <c r="CE135" s="1637"/>
    </row>
    <row customHeight="1" ht="17.25">
      <c r="D136" s="1837"/>
    </row>
    <row s="1816" customFormat="1" customHeight="1" ht="11.25">
      <c r="A137" s="1816" t="s">
        <v>2068</v>
      </c>
    </row>
    <row r="139" s="1851" customFormat="1" customHeight="1" ht="45">
      <c r="A139" s="1807"/>
      <c r="B139" s="1161"/>
      <c r="C139" s="413"/>
      <c r="D139" s="90"/>
      <c r="E139" s="2573"/>
      <c r="F139" s="2109" t="s">
        <v>123</v>
      </c>
      <c r="G139" s="2576" t="s">
        <v>28</v>
      </c>
      <c r="H139" s="290"/>
      <c r="I139" s="638" t="s">
        <v>123</v>
      </c>
      <c r="J139" s="1808" t="s">
        <v>2069</v>
      </c>
      <c r="K139" s="639" t="s">
        <v>677</v>
      </c>
      <c r="L139" s="2225" t="s">
        <v>677</v>
      </c>
      <c r="M139" s="2578"/>
      <c r="N139" s="639" t="s">
        <v>677</v>
      </c>
      <c r="O139" s="639" t="s">
        <v>677</v>
      </c>
      <c r="P139" s="639" t="s">
        <v>677</v>
      </c>
      <c r="Q139" s="640">
        <f>SUM(Q140:Q142)</f>
        <v>0</v>
      </c>
      <c r="R139" s="640">
        <f>IF(R136=0,0,(Q136/R136)*100)</f>
        <v>0</v>
      </c>
      <c r="S139" s="2180"/>
      <c r="T139" s="718" t="s">
        <v>743</v>
      </c>
      <c r="U139" s="90"/>
      <c r="V139" s="90"/>
      <c r="AC139" s="90"/>
    </row>
    <row s="1851" customFormat="1" customHeight="1" ht="11.25">
      <c r="A140" s="1807"/>
      <c r="B140" s="1161"/>
      <c r="C140" s="413"/>
      <c r="D140" s="90"/>
      <c r="E140" s="2574"/>
      <c r="F140" s="2109"/>
      <c r="G140" s="2576"/>
      <c r="H140" s="2128"/>
      <c r="I140" s="2516" t="s">
        <v>1152</v>
      </c>
      <c r="J140" s="2570"/>
      <c r="K140" s="2571"/>
      <c r="L140" s="641"/>
      <c r="M140" s="642" t="s">
        <v>123</v>
      </c>
      <c r="N140" s="1796"/>
      <c r="O140" s="643"/>
      <c r="P140" s="644"/>
      <c r="Q140" s="643"/>
      <c r="R140" s="645">
        <v>0</v>
      </c>
      <c r="S140" s="2180"/>
      <c r="T140" s="718"/>
      <c r="U140" s="90"/>
      <c r="V140" s="90"/>
      <c r="AC140" s="90"/>
    </row>
    <row s="1851" customFormat="1" customHeight="1" ht="11.25">
      <c r="A141" s="1807"/>
      <c r="B141" s="1161"/>
      <c r="C141" s="413"/>
      <c r="D141" s="90"/>
      <c r="E141" s="2574"/>
      <c r="F141" s="2109"/>
      <c r="G141" s="2576"/>
      <c r="H141" s="2128"/>
      <c r="I141" s="2516"/>
      <c r="J141" s="2570"/>
      <c r="K141" s="2572"/>
      <c r="L141" s="646"/>
      <c r="M141" s="647"/>
      <c r="N141" s="648" t="s">
        <v>2070</v>
      </c>
      <c r="O141" s="648"/>
      <c r="P141" s="648"/>
      <c r="Q141" s="648"/>
      <c r="R141" s="649"/>
      <c r="S141" s="2180"/>
      <c r="T141" s="718"/>
      <c r="U141" s="90"/>
      <c r="V141" s="90"/>
      <c r="AC141" s="90"/>
    </row>
    <row s="1851" customFormat="1" customHeight="1" ht="11.25">
      <c r="A142" s="1807"/>
      <c r="B142" s="1161"/>
      <c r="C142" s="413"/>
      <c r="D142" s="90"/>
      <c r="E142" s="2575"/>
      <c r="F142" s="2109"/>
      <c r="G142" s="2577"/>
      <c r="H142" s="646" t="s">
        <v>28</v>
      </c>
      <c r="I142" s="647"/>
      <c r="J142" s="648" t="s">
        <v>2071</v>
      </c>
      <c r="K142" s="648"/>
      <c r="L142" s="648"/>
      <c r="M142" s="648"/>
      <c r="N142" s="648"/>
      <c r="O142" s="648"/>
      <c r="P142" s="648"/>
      <c r="Q142" s="648"/>
      <c r="R142" s="649"/>
      <c r="S142" s="2180"/>
      <c r="T142" s="718"/>
      <c r="U142" s="90"/>
      <c r="V142" s="90"/>
      <c r="AC142" s="90"/>
    </row>
    <row r="147" s="1851" customFormat="1" customHeight="1" ht="11.25">
      <c r="A147" s="1807"/>
      <c r="B147" s="1161"/>
      <c r="C147" s="413"/>
      <c r="D147" s="90"/>
      <c r="E147" s="1831"/>
      <c r="F147" s="1831"/>
      <c r="G147" s="1831"/>
      <c r="H147" s="2128"/>
      <c r="I147" s="2516" t="s">
        <v>1152</v>
      </c>
      <c r="J147" s="2570"/>
      <c r="K147" s="2571"/>
      <c r="L147" s="641"/>
      <c r="M147" s="642" t="s">
        <v>123</v>
      </c>
      <c r="N147" s="1796"/>
      <c r="O147" s="643"/>
      <c r="P147" s="644"/>
      <c r="Q147" s="643"/>
      <c r="R147" s="645">
        <v>0</v>
      </c>
      <c r="S147" s="90"/>
      <c r="T147" s="718"/>
      <c r="U147" s="90"/>
      <c r="V147" s="90"/>
      <c r="AC147" s="90"/>
    </row>
    <row s="1851" customFormat="1" customHeight="1" ht="11.25">
      <c r="A148" s="1807"/>
      <c r="B148" s="1161"/>
      <c r="C148" s="413"/>
      <c r="D148" s="90"/>
      <c r="E148" s="1831"/>
      <c r="F148" s="1831"/>
      <c r="G148" s="1831"/>
      <c r="H148" s="2128"/>
      <c r="I148" s="2516"/>
      <c r="J148" s="2570"/>
      <c r="K148" s="2572"/>
      <c r="L148" s="646"/>
      <c r="M148" s="647"/>
      <c r="N148" s="648" t="s">
        <v>2070</v>
      </c>
      <c r="O148" s="648"/>
      <c r="P148" s="648"/>
      <c r="Q148" s="648"/>
      <c r="R148" s="649"/>
      <c r="S148" s="90"/>
      <c r="T148" s="718"/>
      <c r="U148" s="90"/>
      <c r="V148" s="90"/>
      <c r="AC148" s="90"/>
    </row>
    <row r="150" s="1851" customFormat="1" customHeight="1" ht="11.25">
      <c r="A150" s="1807"/>
      <c r="B150" s="1161"/>
      <c r="C150" s="413"/>
      <c r="D150" s="90"/>
      <c r="E150" s="1838"/>
      <c r="F150" s="1836"/>
      <c r="G150" s="1836"/>
      <c r="H150" s="1839"/>
      <c r="I150" s="1831"/>
      <c r="J150" s="1832"/>
      <c r="K150" s="1832"/>
      <c r="L150" s="641"/>
      <c r="M150" s="642" t="s">
        <v>123</v>
      </c>
      <c r="N150" s="1796"/>
      <c r="O150" s="643"/>
      <c r="P150" s="644"/>
      <c r="Q150" s="643"/>
      <c r="R150" s="645">
        <v>0</v>
      </c>
      <c r="S150" s="90"/>
      <c r="T150" s="718"/>
      <c r="U150" s="90"/>
      <c r="V150" s="90"/>
      <c r="AC150" s="90"/>
    </row>
    <row r="152" s="1816" customFormat="1" customHeight="1" ht="17.25">
      <c r="A152" s="1816" t="s">
        <v>2072</v>
      </c>
    </row>
    <row customHeight="1" ht="17.25">
      <c r="G153" s="1840"/>
      <c r="H153" s="1840"/>
      <c r="I153" s="1840"/>
      <c r="M153" s="1836"/>
    </row>
    <row s="1854" customFormat="1" customHeight="1" ht="17.25">
      <c r="A154" s="1841"/>
      <c r="C154" s="1843"/>
      <c r="D154" s="2530"/>
      <c r="E154" s="2144"/>
      <c r="F154" s="2146"/>
      <c r="G154" s="2532"/>
      <c r="H154" s="2530"/>
      <c r="I154" s="2530">
        <v>1</v>
      </c>
      <c r="J154" s="2502"/>
      <c r="K154" s="2186" t="s">
        <v>65</v>
      </c>
      <c r="L154" s="2109"/>
      <c r="M154" s="2109" t="s">
        <v>123</v>
      </c>
      <c r="N154" s="2505" t="str">
        <f>IF(Z154="","",INDEX(TERRITORY_MR_LIST,MATCH(Z154,TERRITORY_LIST_ID,0)))</f>
        <v/>
      </c>
      <c r="O154" s="2186" t="s">
        <v>65</v>
      </c>
      <c r="P154" s="2109"/>
      <c r="Q154" s="2109" t="s">
        <v>123</v>
      </c>
      <c r="R154" s="2503" t="s">
        <v>28</v>
      </c>
      <c r="S154" s="2108" t="s">
        <v>65</v>
      </c>
      <c r="T154" s="1812"/>
      <c r="U154" s="1812" t="s">
        <v>123</v>
      </c>
      <c r="V154" s="1844" t="s">
        <v>28</v>
      </c>
      <c r="W154" s="1802"/>
      <c r="Y154" s="1268"/>
      <c r="Z154" s="1268"/>
      <c r="AA154" s="1268"/>
      <c r="AB154" s="1268"/>
      <c r="AC154" s="1268"/>
      <c r="AD154" s="1268"/>
      <c r="AE154" s="1268"/>
      <c r="AF154" s="1268"/>
      <c r="AG154" s="1268"/>
      <c r="AH154" s="1268"/>
      <c r="AI154" s="1268"/>
      <c r="AJ154" s="1268"/>
      <c r="AK154" s="1268"/>
      <c r="AL154" s="1845"/>
      <c r="AM154" s="1845"/>
      <c r="AN154" s="1268"/>
      <c r="AO154" s="1268"/>
      <c r="AP154" s="1268"/>
      <c r="AQ154" s="1268"/>
    </row>
    <row s="1854" customFormat="1" customHeight="1" ht="17.25">
      <c r="A155" s="1841"/>
      <c r="C155" s="1846"/>
      <c r="D155" s="2530"/>
      <c r="E155" s="2144"/>
      <c r="F155" s="2147"/>
      <c r="G155" s="2532"/>
      <c r="H155" s="2530"/>
      <c r="I155" s="2530"/>
      <c r="J155" s="2502"/>
      <c r="K155" s="2187"/>
      <c r="L155" s="2109"/>
      <c r="M155" s="2109"/>
      <c r="N155" s="2505"/>
      <c r="O155" s="2187"/>
      <c r="P155" s="2109"/>
      <c r="Q155" s="2109"/>
      <c r="R155" s="2503"/>
      <c r="S155" s="2108"/>
      <c r="T155" s="318"/>
      <c r="U155" s="319"/>
      <c r="V155" s="319" t="s">
        <v>177</v>
      </c>
      <c r="W155" s="320"/>
      <c r="Y155" s="1260"/>
      <c r="Z155" s="1260"/>
      <c r="AA155" s="1260"/>
      <c r="AB155" s="1260"/>
      <c r="AC155" s="1260"/>
      <c r="AD155" s="1260"/>
      <c r="AE155" s="1260"/>
      <c r="AF155" s="1260"/>
      <c r="AG155" s="1260"/>
      <c r="AH155" s="1260"/>
      <c r="AI155" s="1260"/>
      <c r="AJ155" s="1260"/>
      <c r="AK155" s="1260"/>
    </row>
    <row s="1854" customFormat="1" customHeight="1" ht="17.25">
      <c r="A156" s="1841"/>
      <c r="C156" s="1846"/>
      <c r="D156" s="2504"/>
      <c r="E156" s="2531"/>
      <c r="F156" s="2147"/>
      <c r="G156" s="2533"/>
      <c r="H156" s="2504"/>
      <c r="I156" s="2504"/>
      <c r="J156" s="2534"/>
      <c r="K156" s="2187"/>
      <c r="L156" s="2504"/>
      <c r="M156" s="2504"/>
      <c r="N156" s="2506"/>
      <c r="O156" s="2113"/>
      <c r="P156" s="318"/>
      <c r="Q156" s="319"/>
      <c r="R156" s="319" t="s">
        <v>178</v>
      </c>
      <c r="S156" s="1847"/>
      <c r="T156" s="1847"/>
      <c r="U156" s="1847"/>
      <c r="V156" s="1847"/>
      <c r="W156" s="320"/>
      <c r="Y156" s="1260"/>
      <c r="Z156" s="1260"/>
      <c r="AA156" s="1260"/>
      <c r="AB156" s="1260"/>
      <c r="AC156" s="1260"/>
      <c r="AD156" s="1260"/>
      <c r="AE156" s="1260"/>
      <c r="AF156" s="1260"/>
      <c r="AG156" s="1260"/>
      <c r="AH156" s="1260"/>
      <c r="AI156" s="1260"/>
      <c r="AJ156" s="1260"/>
      <c r="AK156" s="1260"/>
    </row>
    <row s="1854" customFormat="1" customHeight="1" ht="17.25">
      <c r="A157" s="1841"/>
      <c r="C157" s="1846"/>
      <c r="D157" s="2504"/>
      <c r="E157" s="2531"/>
      <c r="F157" s="2147"/>
      <c r="G157" s="2533"/>
      <c r="H157" s="2504"/>
      <c r="I157" s="2504"/>
      <c r="J157" s="2534"/>
      <c r="K157" s="2113"/>
      <c r="L157" s="318"/>
      <c r="M157" s="319"/>
      <c r="N157" s="319" t="s">
        <v>183</v>
      </c>
      <c r="O157" s="319"/>
      <c r="P157" s="319"/>
      <c r="Q157" s="319"/>
      <c r="R157" s="319"/>
      <c r="S157" s="1847"/>
      <c r="T157" s="1847"/>
      <c r="U157" s="1847"/>
      <c r="V157" s="1847"/>
      <c r="W157" s="320"/>
      <c r="Y157" s="1260"/>
      <c r="Z157" s="1260"/>
      <c r="AA157" s="1260"/>
      <c r="AB157" s="1260"/>
      <c r="AC157" s="1260"/>
      <c r="AD157" s="1260"/>
      <c r="AE157" s="1260"/>
      <c r="AF157" s="1260"/>
      <c r="AG157" s="1260"/>
      <c r="AH157" s="1260"/>
      <c r="AI157" s="1260"/>
      <c r="AJ157" s="1260"/>
      <c r="AK157" s="1260"/>
    </row>
    <row s="1854" customFormat="1" customHeight="1" ht="17.25">
      <c r="A158" s="1841"/>
      <c r="C158" s="1846"/>
      <c r="D158" s="2504"/>
      <c r="E158" s="2531"/>
      <c r="F158" s="2148"/>
      <c r="G158" s="2533"/>
      <c r="H158" s="318"/>
      <c r="I158" s="319"/>
      <c r="J158" s="319" t="s">
        <v>222</v>
      </c>
      <c r="K158" s="319"/>
      <c r="L158" s="319"/>
      <c r="M158" s="319"/>
      <c r="N158" s="319"/>
      <c r="O158" s="319"/>
      <c r="P158" s="319"/>
      <c r="Q158" s="319"/>
      <c r="R158" s="319"/>
      <c r="S158" s="1847"/>
      <c r="T158" s="1847"/>
      <c r="U158" s="1847"/>
      <c r="V158" s="1847"/>
      <c r="W158" s="320"/>
      <c r="Y158" s="1260"/>
      <c r="Z158" s="1260"/>
      <c r="AA158" s="1260"/>
      <c r="AB158" s="1260"/>
      <c r="AC158" s="1260"/>
      <c r="AD158" s="1260"/>
      <c r="AE158" s="1260"/>
      <c r="AF158" s="1260"/>
      <c r="AG158" s="1260"/>
      <c r="AH158" s="1260"/>
      <c r="AI158" s="1260"/>
      <c r="AJ158" s="1260"/>
      <c r="AK158" s="1260"/>
    </row>
    <row customHeight="1" ht="17.25">
      <c r="G159" s="1840"/>
      <c r="H159" s="1840"/>
      <c r="I159" s="1840"/>
      <c r="M159" s="1836"/>
    </row>
    <row s="1854" customFormat="1" customHeight="1" ht="17.25">
      <c r="A160" s="1841"/>
      <c r="C160" s="1843"/>
      <c r="D160" s="1831"/>
      <c r="E160" s="1848"/>
      <c r="F160" s="1785"/>
      <c r="G160" s="1849"/>
      <c r="H160" s="2530"/>
      <c r="I160" s="2530">
        <v>1</v>
      </c>
      <c r="J160" s="2502"/>
      <c r="K160" s="2186" t="s">
        <v>65</v>
      </c>
      <c r="L160" s="2109"/>
      <c r="M160" s="2109" t="s">
        <v>123</v>
      </c>
      <c r="N160" s="2505" t="str">
        <f>IF(Z160="","",INDEX(TERRITORY_MR_LIST,MATCH(Z160,TERRITORY_LIST_ID,0)))</f>
        <v/>
      </c>
      <c r="O160" s="2186" t="s">
        <v>65</v>
      </c>
      <c r="P160" s="2109"/>
      <c r="Q160" s="2109" t="s">
        <v>123</v>
      </c>
      <c r="R160" s="2503" t="s">
        <v>28</v>
      </c>
      <c r="S160" s="2108" t="s">
        <v>65</v>
      </c>
      <c r="T160" s="1812"/>
      <c r="U160" s="1812" t="s">
        <v>123</v>
      </c>
      <c r="V160" s="1844" t="s">
        <v>28</v>
      </c>
      <c r="W160" s="1802"/>
      <c r="Y160" s="1268"/>
      <c r="Z160" s="1268"/>
      <c r="AA160" s="1268"/>
      <c r="AB160" s="1268"/>
      <c r="AC160" s="1268"/>
      <c r="AD160" s="1268"/>
      <c r="AE160" s="1268"/>
      <c r="AF160" s="1268"/>
      <c r="AG160" s="1268"/>
      <c r="AH160" s="1268"/>
      <c r="AI160" s="1268"/>
      <c r="AJ160" s="1268"/>
      <c r="AK160" s="1268"/>
      <c r="AL160" s="1845"/>
      <c r="AM160" s="1845"/>
      <c r="AN160" s="1268"/>
      <c r="AO160" s="1268"/>
      <c r="AP160" s="1268"/>
      <c r="AQ160" s="1268"/>
    </row>
    <row s="1854" customFormat="1" customHeight="1" ht="17.25">
      <c r="A161" s="1841"/>
      <c r="C161" s="1846"/>
      <c r="D161" s="1831"/>
      <c r="E161" s="1848"/>
      <c r="F161" s="1785"/>
      <c r="G161" s="1849"/>
      <c r="H161" s="2530"/>
      <c r="I161" s="2530"/>
      <c r="J161" s="2502"/>
      <c r="K161" s="2187"/>
      <c r="L161" s="2109"/>
      <c r="M161" s="2109"/>
      <c r="N161" s="2505"/>
      <c r="O161" s="2187"/>
      <c r="P161" s="2109"/>
      <c r="Q161" s="2109"/>
      <c r="R161" s="2503"/>
      <c r="S161" s="2108"/>
      <c r="T161" s="318"/>
      <c r="U161" s="319"/>
      <c r="V161" s="319" t="s">
        <v>177</v>
      </c>
      <c r="W161" s="320"/>
      <c r="Y161" s="1260"/>
      <c r="Z161" s="1260"/>
      <c r="AA161" s="1260"/>
      <c r="AB161" s="1260"/>
      <c r="AC161" s="1260"/>
      <c r="AD161" s="1260"/>
      <c r="AE161" s="1260"/>
      <c r="AF161" s="1260"/>
      <c r="AG161" s="1260"/>
      <c r="AH161" s="1260"/>
      <c r="AI161" s="1260"/>
      <c r="AJ161" s="1260"/>
      <c r="AK161" s="1260"/>
    </row>
    <row s="1854" customFormat="1" customHeight="1" ht="17.25">
      <c r="A162" s="1841"/>
      <c r="C162" s="1846"/>
      <c r="D162" s="1831"/>
      <c r="E162" s="1848"/>
      <c r="F162" s="1785"/>
      <c r="G162" s="1849"/>
      <c r="H162" s="2504"/>
      <c r="I162" s="2504"/>
      <c r="J162" s="2534"/>
      <c r="K162" s="2187"/>
      <c r="L162" s="2504"/>
      <c r="M162" s="2504"/>
      <c r="N162" s="2506"/>
      <c r="O162" s="2113"/>
      <c r="P162" s="318"/>
      <c r="Q162" s="319"/>
      <c r="R162" s="319" t="s">
        <v>178</v>
      </c>
      <c r="S162" s="1847"/>
      <c r="T162" s="1847"/>
      <c r="U162" s="1847"/>
      <c r="V162" s="1847"/>
      <c r="W162" s="320"/>
      <c r="Y162" s="1260"/>
      <c r="Z162" s="1260"/>
      <c r="AA162" s="1260"/>
      <c r="AB162" s="1260"/>
      <c r="AC162" s="1260"/>
      <c r="AD162" s="1260"/>
      <c r="AE162" s="1260"/>
      <c r="AF162" s="1260"/>
      <c r="AG162" s="1260"/>
      <c r="AH162" s="1260"/>
      <c r="AI162" s="1260"/>
      <c r="AJ162" s="1260"/>
      <c r="AK162" s="1260"/>
    </row>
    <row s="1854" customFormat="1" customHeight="1" ht="17.25">
      <c r="A163" s="1841"/>
      <c r="C163" s="1846"/>
      <c r="D163" s="1831"/>
      <c r="E163" s="1848"/>
      <c r="F163" s="1785"/>
      <c r="G163" s="1849"/>
      <c r="H163" s="2504"/>
      <c r="I163" s="2504"/>
      <c r="J163" s="2534"/>
      <c r="K163" s="2113"/>
      <c r="L163" s="318"/>
      <c r="M163" s="319"/>
      <c r="N163" s="319" t="s">
        <v>183</v>
      </c>
      <c r="O163" s="319"/>
      <c r="P163" s="319"/>
      <c r="Q163" s="319"/>
      <c r="R163" s="319"/>
      <c r="S163" s="1847"/>
      <c r="T163" s="1847"/>
      <c r="U163" s="1847"/>
      <c r="V163" s="1847"/>
      <c r="W163" s="320"/>
      <c r="Y163" s="1260"/>
      <c r="Z163" s="1260"/>
      <c r="AA163" s="1260"/>
      <c r="AB163" s="1260"/>
      <c r="AC163" s="1260"/>
      <c r="AD163" s="1260"/>
      <c r="AE163" s="1260"/>
      <c r="AF163" s="1260"/>
      <c r="AG163" s="1260"/>
      <c r="AH163" s="1260"/>
      <c r="AI163" s="1260"/>
      <c r="AJ163" s="1260"/>
      <c r="AK163" s="1260"/>
    </row>
    <row customHeight="1" ht="17.25">
      <c r="G164" s="1840"/>
      <c r="H164" s="1840"/>
      <c r="I164" s="1840"/>
      <c r="M164" s="1836"/>
    </row>
    <row s="1854" customFormat="1" customHeight="1" ht="17.25">
      <c r="A165" s="1841"/>
      <c r="C165" s="1843"/>
      <c r="D165" s="1831"/>
      <c r="E165" s="1848"/>
      <c r="F165" s="1785"/>
      <c r="G165" s="1849"/>
      <c r="H165" s="1831"/>
      <c r="I165" s="1831"/>
      <c r="J165" s="1850"/>
      <c r="K165" s="1761"/>
      <c r="L165" s="2109"/>
      <c r="M165" s="2109" t="s">
        <v>123</v>
      </c>
      <c r="N165" s="2505" t="str">
        <f>IF(Z165="","",INDEX(TERRITORY_MR_LIST,MATCH(Z165,TERRITORY_LIST_ID,0)))</f>
        <v/>
      </c>
      <c r="O165" s="2186" t="s">
        <v>65</v>
      </c>
      <c r="P165" s="2109"/>
      <c r="Q165" s="2109" t="s">
        <v>123</v>
      </c>
      <c r="R165" s="2503" t="s">
        <v>28</v>
      </c>
      <c r="S165" s="2108" t="s">
        <v>65</v>
      </c>
      <c r="T165" s="1812"/>
      <c r="U165" s="1812" t="s">
        <v>123</v>
      </c>
      <c r="V165" s="1844" t="s">
        <v>28</v>
      </c>
      <c r="W165" s="1802"/>
      <c r="Y165" s="1268"/>
      <c r="Z165" s="1268"/>
      <c r="AA165" s="1268"/>
      <c r="AB165" s="1268"/>
      <c r="AC165" s="1268"/>
      <c r="AD165" s="1268"/>
      <c r="AE165" s="1268"/>
      <c r="AF165" s="1268"/>
      <c r="AG165" s="1268"/>
      <c r="AH165" s="1268"/>
      <c r="AI165" s="1268"/>
      <c r="AJ165" s="1268"/>
      <c r="AK165" s="1268"/>
      <c r="AL165" s="1845"/>
      <c r="AM165" s="1845"/>
      <c r="AN165" s="1268"/>
      <c r="AO165" s="1268"/>
      <c r="AP165" s="1268"/>
      <c r="AQ165" s="1268"/>
    </row>
    <row s="1854" customFormat="1" customHeight="1" ht="17.25">
      <c r="A166" s="1841"/>
      <c r="C166" s="1846"/>
      <c r="D166" s="1831"/>
      <c r="E166" s="1848"/>
      <c r="F166" s="1785"/>
      <c r="G166" s="1849"/>
      <c r="H166" s="1831"/>
      <c r="I166" s="1831"/>
      <c r="J166" s="1850"/>
      <c r="K166" s="1761"/>
      <c r="L166" s="2109"/>
      <c r="M166" s="2109"/>
      <c r="N166" s="2505"/>
      <c r="O166" s="2187"/>
      <c r="P166" s="2109"/>
      <c r="Q166" s="2109"/>
      <c r="R166" s="2503"/>
      <c r="S166" s="2108"/>
      <c r="T166" s="318"/>
      <c r="U166" s="319"/>
      <c r="V166" s="319" t="s">
        <v>177</v>
      </c>
      <c r="W166" s="320"/>
      <c r="Y166" s="1260"/>
      <c r="Z166" s="1260"/>
      <c r="AA166" s="1260"/>
      <c r="AB166" s="1260"/>
      <c r="AC166" s="1260"/>
      <c r="AD166" s="1260"/>
      <c r="AE166" s="1260"/>
      <c r="AF166" s="1260"/>
      <c r="AG166" s="1260"/>
      <c r="AH166" s="1260"/>
      <c r="AI166" s="1260"/>
      <c r="AJ166" s="1260"/>
      <c r="AK166" s="1260"/>
    </row>
    <row s="1854" customFormat="1" customHeight="1" ht="17.25">
      <c r="A167" s="1841"/>
      <c r="C167" s="1846"/>
      <c r="D167" s="1831"/>
      <c r="E167" s="1848"/>
      <c r="F167" s="1785"/>
      <c r="G167" s="1849"/>
      <c r="H167" s="1831"/>
      <c r="I167" s="1831"/>
      <c r="J167" s="1850"/>
      <c r="K167" s="1761"/>
      <c r="L167" s="2504"/>
      <c r="M167" s="2504"/>
      <c r="N167" s="2506"/>
      <c r="O167" s="2113"/>
      <c r="P167" s="318"/>
      <c r="Q167" s="319"/>
      <c r="R167" s="319" t="s">
        <v>178</v>
      </c>
      <c r="S167" s="1847"/>
      <c r="T167" s="1847"/>
      <c r="U167" s="1847"/>
      <c r="V167" s="1847"/>
      <c r="W167" s="320"/>
      <c r="Y167" s="1260"/>
      <c r="Z167" s="1260"/>
      <c r="AA167" s="1260"/>
      <c r="AB167" s="1260"/>
      <c r="AC167" s="1260"/>
      <c r="AD167" s="1260"/>
      <c r="AE167" s="1260"/>
      <c r="AF167" s="1260"/>
      <c r="AG167" s="1260"/>
      <c r="AH167" s="1260"/>
      <c r="AI167" s="1260"/>
      <c r="AJ167" s="1260"/>
      <c r="AK167" s="1260"/>
    </row>
    <row customHeight="1" ht="17.25">
      <c r="G168" s="1840"/>
      <c r="H168" s="1840"/>
      <c r="I168" s="1840"/>
      <c r="M168" s="1836"/>
    </row>
    <row s="1854" customFormat="1" customHeight="1" ht="17.25">
      <c r="A169" s="1841"/>
      <c r="C169" s="1843"/>
      <c r="D169" s="1831"/>
      <c r="E169" s="1848"/>
      <c r="F169" s="1785"/>
      <c r="G169" s="1849"/>
      <c r="H169" s="1831"/>
      <c r="I169" s="1831"/>
      <c r="J169" s="1850"/>
      <c r="K169" s="1761"/>
      <c r="L169" s="1757"/>
      <c r="M169" s="1757"/>
      <c r="N169" s="2049"/>
      <c r="O169" s="1788"/>
      <c r="P169" s="2109"/>
      <c r="Q169" s="2109" t="s">
        <v>123</v>
      </c>
      <c r="R169" s="2503" t="s">
        <v>28</v>
      </c>
      <c r="S169" s="2108" t="s">
        <v>65</v>
      </c>
      <c r="T169" s="1812"/>
      <c r="U169" s="1812" t="s">
        <v>123</v>
      </c>
      <c r="V169" s="1844" t="s">
        <v>28</v>
      </c>
      <c r="W169" s="1802"/>
      <c r="Y169" s="1268"/>
      <c r="Z169" s="1268"/>
      <c r="AA169" s="1268"/>
      <c r="AB169" s="1268"/>
      <c r="AC169" s="1268"/>
      <c r="AD169" s="1268"/>
      <c r="AE169" s="1268"/>
      <c r="AF169" s="1268"/>
      <c r="AG169" s="1268"/>
      <c r="AH169" s="1268"/>
      <c r="AI169" s="1268"/>
      <c r="AJ169" s="1268"/>
      <c r="AK169" s="1268"/>
      <c r="AL169" s="1845"/>
      <c r="AM169" s="1845"/>
      <c r="AN169" s="1268"/>
      <c r="AO169" s="1268"/>
      <c r="AP169" s="1268"/>
      <c r="AQ169" s="1268"/>
    </row>
    <row s="1854" customFormat="1" customHeight="1" ht="17.25">
      <c r="A170" s="1841"/>
      <c r="C170" s="1846"/>
      <c r="D170" s="1831"/>
      <c r="E170" s="1848"/>
      <c r="F170" s="1785"/>
      <c r="G170" s="1849"/>
      <c r="H170" s="1831"/>
      <c r="I170" s="1831"/>
      <c r="J170" s="1850"/>
      <c r="K170" s="1761"/>
      <c r="L170" s="1757"/>
      <c r="M170" s="1757"/>
      <c r="N170" s="2049"/>
      <c r="O170" s="1788"/>
      <c r="P170" s="2109"/>
      <c r="Q170" s="2109"/>
      <c r="R170" s="2503"/>
      <c r="S170" s="2108"/>
      <c r="T170" s="318"/>
      <c r="U170" s="319"/>
      <c r="V170" s="319" t="s">
        <v>177</v>
      </c>
      <c r="W170" s="320"/>
      <c r="Y170" s="1260"/>
      <c r="Z170" s="1260"/>
      <c r="AA170" s="1260"/>
      <c r="AB170" s="1260"/>
      <c r="AC170" s="1260"/>
      <c r="AD170" s="1260"/>
      <c r="AE170" s="1260"/>
      <c r="AF170" s="1260"/>
      <c r="AG170" s="1260"/>
      <c r="AH170" s="1260"/>
      <c r="AI170" s="1260"/>
      <c r="AJ170" s="1260"/>
      <c r="AK170" s="1260"/>
    </row>
    <row customHeight="1" ht="17.25">
      <c r="G171" s="1840"/>
      <c r="H171" s="1840"/>
      <c r="I171" s="1840"/>
      <c r="M171" s="1836"/>
    </row>
    <row s="1854" customFormat="1" customHeight="1" ht="17.25">
      <c r="A172" s="1841"/>
      <c r="C172" s="1843"/>
      <c r="D172" s="1831"/>
      <c r="E172" s="1848"/>
      <c r="F172" s="1785"/>
      <c r="G172" s="1849"/>
      <c r="H172" s="1757"/>
      <c r="I172" s="1757"/>
      <c r="J172" s="1758"/>
      <c r="K172" s="1849"/>
      <c r="L172" s="1757"/>
      <c r="M172" s="1757"/>
      <c r="N172" s="1849"/>
      <c r="O172" s="1849"/>
      <c r="P172" s="1757"/>
      <c r="Q172" s="1757"/>
      <c r="R172" s="1759"/>
      <c r="S172" s="1849"/>
      <c r="T172" s="1812"/>
      <c r="U172" s="1812" t="s">
        <v>123</v>
      </c>
      <c r="V172" s="1844" t="s">
        <v>28</v>
      </c>
      <c r="W172" s="1802"/>
      <c r="Y172" s="1268"/>
      <c r="Z172" s="1268"/>
      <c r="AA172" s="1268"/>
      <c r="AB172" s="1268"/>
      <c r="AC172" s="1268"/>
      <c r="AD172" s="1268"/>
      <c r="AE172" s="1268"/>
      <c r="AF172" s="1268"/>
      <c r="AG172" s="1268"/>
      <c r="AH172" s="1268"/>
      <c r="AI172" s="1268"/>
      <c r="AJ172" s="1268"/>
      <c r="AK172" s="1268"/>
      <c r="AL172" s="1845"/>
      <c r="AM172" s="1845"/>
      <c r="AN172" s="1268"/>
      <c r="AO172" s="1268"/>
      <c r="AP172" s="1268"/>
      <c r="AQ172" s="1268"/>
    </row>
    <row r="174" s="1816" customFormat="1" customHeight="1" ht="17.25">
      <c r="A174" s="1816" t="s">
        <v>2073</v>
      </c>
    </row>
    <row customHeight="1" ht="17.25">
      <c r="G175" s="1840"/>
      <c r="H175" s="1840"/>
      <c r="I175" s="1840"/>
      <c r="M175" s="1836"/>
    </row>
    <row s="1854" customFormat="1" customHeight="1" ht="17.25">
      <c r="A176" s="1841"/>
      <c r="C176" s="1843"/>
      <c r="D176" s="2530"/>
      <c r="E176" s="2144"/>
      <c r="F176" s="2146"/>
      <c r="G176" s="2532"/>
      <c r="H176" s="2530"/>
      <c r="I176" s="2530">
        <v>1</v>
      </c>
      <c r="J176" s="2502"/>
      <c r="K176" s="2186" t="s">
        <v>65</v>
      </c>
      <c r="L176" s="2109"/>
      <c r="M176" s="2109" t="s">
        <v>123</v>
      </c>
      <c r="N176" s="2505" t="str">
        <f>IF(Z176="","",INDEX(TERRITORY_MR_LIST,MATCH(Z176,TERRITORY_LIST_ID,0)))</f>
        <v/>
      </c>
      <c r="O176" s="2186" t="s">
        <v>65</v>
      </c>
      <c r="P176" s="2109"/>
      <c r="Q176" s="2109" t="s">
        <v>123</v>
      </c>
      <c r="R176" s="2503" t="s">
        <v>28</v>
      </c>
      <c r="S176" s="2407" t="s">
        <v>19</v>
      </c>
      <c r="T176" s="1803"/>
      <c r="U176" s="1803" t="s">
        <v>123</v>
      </c>
      <c r="V176" s="1435"/>
      <c r="W176" s="2502"/>
      <c r="Y176" s="1268"/>
      <c r="Z176" s="1268"/>
      <c r="AA176" s="1268"/>
      <c r="AB176" s="1268"/>
      <c r="AC176" s="1268"/>
      <c r="AD176" s="1268"/>
      <c r="AE176" s="1268"/>
      <c r="AF176" s="1268"/>
      <c r="AG176" s="1268"/>
      <c r="AH176" s="1268"/>
      <c r="AI176" s="1268"/>
      <c r="AJ176" s="1268"/>
      <c r="AK176" s="1268"/>
      <c r="AL176" s="1845"/>
      <c r="AM176" s="1845"/>
      <c r="AN176" s="1268"/>
      <c r="AO176" s="1268"/>
      <c r="AP176" s="1268"/>
      <c r="AQ176" s="1268"/>
    </row>
    <row s="1854" customFormat="1" customHeight="1" ht="17.25">
      <c r="A177" s="1841"/>
      <c r="C177" s="1846"/>
      <c r="D177" s="2530"/>
      <c r="E177" s="2144"/>
      <c r="F177" s="2147"/>
      <c r="G177" s="2532"/>
      <c r="H177" s="2530"/>
      <c r="I177" s="2530"/>
      <c r="J177" s="2502"/>
      <c r="K177" s="2187"/>
      <c r="L177" s="2109"/>
      <c r="M177" s="2109"/>
      <c r="N177" s="2505"/>
      <c r="O177" s="2187"/>
      <c r="P177" s="2109"/>
      <c r="Q177" s="2109"/>
      <c r="R177" s="2503"/>
      <c r="S177" s="2407"/>
      <c r="T177" s="1436"/>
      <c r="U177" s="1437"/>
      <c r="V177" s="1437"/>
      <c r="W177" s="2502"/>
      <c r="Y177" s="1260"/>
      <c r="Z177" s="1260"/>
      <c r="AA177" s="1260"/>
      <c r="AB177" s="1260"/>
      <c r="AC177" s="1260"/>
      <c r="AD177" s="1260"/>
      <c r="AE177" s="1260"/>
      <c r="AF177" s="1260"/>
      <c r="AG177" s="1260"/>
      <c r="AH177" s="1260"/>
      <c r="AI177" s="1260"/>
      <c r="AJ177" s="1260"/>
      <c r="AK177" s="1260"/>
    </row>
    <row s="1854" customFormat="1" customHeight="1" ht="17.25">
      <c r="A178" s="1841"/>
      <c r="C178" s="1846"/>
      <c r="D178" s="2504"/>
      <c r="E178" s="2531"/>
      <c r="F178" s="2147"/>
      <c r="G178" s="2533"/>
      <c r="H178" s="2504"/>
      <c r="I178" s="2504"/>
      <c r="J178" s="2534"/>
      <c r="K178" s="2187"/>
      <c r="L178" s="2504"/>
      <c r="M178" s="2504"/>
      <c r="N178" s="2506"/>
      <c r="O178" s="2113"/>
      <c r="P178" s="318"/>
      <c r="Q178" s="319"/>
      <c r="R178" s="319" t="s">
        <v>178</v>
      </c>
      <c r="S178" s="1847"/>
      <c r="T178" s="1847"/>
      <c r="U178" s="1847"/>
      <c r="V178" s="1847"/>
      <c r="W178" s="1434"/>
      <c r="Y178" s="1260"/>
      <c r="Z178" s="1260"/>
      <c r="AA178" s="1260"/>
      <c r="AB178" s="1260"/>
      <c r="AC178" s="1260"/>
      <c r="AD178" s="1260"/>
      <c r="AE178" s="1260"/>
      <c r="AF178" s="1260"/>
      <c r="AG178" s="1260"/>
      <c r="AH178" s="1260"/>
      <c r="AI178" s="1260"/>
      <c r="AJ178" s="1260"/>
      <c r="AK178" s="1260"/>
    </row>
    <row s="1854" customFormat="1" customHeight="1" ht="17.25">
      <c r="A179" s="1841"/>
      <c r="C179" s="1846"/>
      <c r="D179" s="2504"/>
      <c r="E179" s="2531"/>
      <c r="F179" s="2147"/>
      <c r="G179" s="2533"/>
      <c r="H179" s="2504"/>
      <c r="I179" s="2504"/>
      <c r="J179" s="2534"/>
      <c r="K179" s="2113"/>
      <c r="L179" s="318"/>
      <c r="M179" s="319"/>
      <c r="N179" s="319" t="s">
        <v>183</v>
      </c>
      <c r="O179" s="319"/>
      <c r="P179" s="319"/>
      <c r="Q179" s="319"/>
      <c r="R179" s="319"/>
      <c r="S179" s="1847"/>
      <c r="T179" s="1847"/>
      <c r="U179" s="1847"/>
      <c r="V179" s="1847"/>
      <c r="W179" s="320"/>
      <c r="Y179" s="1260"/>
      <c r="Z179" s="1260"/>
      <c r="AA179" s="1260"/>
      <c r="AB179" s="1260"/>
      <c r="AC179" s="1260"/>
      <c r="AD179" s="1260"/>
      <c r="AE179" s="1260"/>
      <c r="AF179" s="1260"/>
      <c r="AG179" s="1260"/>
      <c r="AH179" s="1260"/>
      <c r="AI179" s="1260"/>
      <c r="AJ179" s="1260"/>
      <c r="AK179" s="1260"/>
    </row>
    <row s="1854" customFormat="1" customHeight="1" ht="17.25">
      <c r="A180" s="1841"/>
      <c r="C180" s="1846"/>
      <c r="D180" s="2504"/>
      <c r="E180" s="2531"/>
      <c r="F180" s="2148"/>
      <c r="G180" s="2533"/>
      <c r="H180" s="318"/>
      <c r="I180" s="319"/>
      <c r="J180" s="319" t="s">
        <v>222</v>
      </c>
      <c r="K180" s="319"/>
      <c r="L180" s="319"/>
      <c r="M180" s="319"/>
      <c r="N180" s="319"/>
      <c r="O180" s="319"/>
      <c r="P180" s="319"/>
      <c r="Q180" s="319"/>
      <c r="R180" s="319"/>
      <c r="S180" s="1847"/>
      <c r="T180" s="1847"/>
      <c r="U180" s="1847"/>
      <c r="V180" s="1847"/>
      <c r="W180" s="320"/>
      <c r="Y180" s="1260"/>
      <c r="Z180" s="1260"/>
      <c r="AA180" s="1260"/>
      <c r="AB180" s="1260"/>
      <c r="AC180" s="1260"/>
      <c r="AD180" s="1260"/>
      <c r="AE180" s="1260"/>
      <c r="AF180" s="1260"/>
      <c r="AG180" s="1260"/>
      <c r="AH180" s="1260"/>
      <c r="AI180" s="1260"/>
      <c r="AJ180" s="1260"/>
      <c r="AK180" s="1260"/>
    </row>
    <row customHeight="1" ht="17.25">
      <c r="A181" s="1851"/>
    </row>
    <row s="1854" customFormat="1" customHeight="1" ht="17.25">
      <c r="A182" s="1841"/>
      <c r="C182" s="1843"/>
      <c r="D182" s="1831"/>
      <c r="E182" s="1848"/>
      <c r="F182" s="1785"/>
      <c r="G182" s="1849"/>
      <c r="H182" s="2530"/>
      <c r="I182" s="2530">
        <v>1</v>
      </c>
      <c r="J182" s="2502"/>
      <c r="K182" s="2186" t="s">
        <v>65</v>
      </c>
      <c r="L182" s="2109"/>
      <c r="M182" s="2109" t="s">
        <v>123</v>
      </c>
      <c r="N182" s="2505" t="str">
        <f>IF(Z182="","",INDEX(TERRITORY_MR_LIST,MATCH(Z182,TERRITORY_LIST_ID,0)))</f>
        <v/>
      </c>
      <c r="O182" s="2186" t="s">
        <v>65</v>
      </c>
      <c r="P182" s="2109"/>
      <c r="Q182" s="2109" t="s">
        <v>123</v>
      </c>
      <c r="R182" s="2503" t="s">
        <v>28</v>
      </c>
      <c r="S182" s="2407" t="s">
        <v>19</v>
      </c>
      <c r="T182" s="1803"/>
      <c r="U182" s="1803" t="s">
        <v>123</v>
      </c>
      <c r="V182" s="1435"/>
      <c r="W182" s="2502"/>
      <c r="Y182" s="1268"/>
      <c r="Z182" s="1268"/>
      <c r="AA182" s="1268"/>
      <c r="AB182" s="1268"/>
      <c r="AC182" s="1268"/>
      <c r="AD182" s="1268"/>
      <c r="AE182" s="1268"/>
      <c r="AF182" s="1268"/>
      <c r="AG182" s="1268"/>
      <c r="AH182" s="1268"/>
      <c r="AI182" s="1268"/>
      <c r="AJ182" s="1268"/>
      <c r="AK182" s="1268"/>
      <c r="AL182" s="1845"/>
      <c r="AM182" s="1845"/>
      <c r="AN182" s="1268"/>
      <c r="AO182" s="1268"/>
      <c r="AP182" s="1268"/>
      <c r="AQ182" s="1268"/>
    </row>
    <row s="1854" customFormat="1" customHeight="1" ht="17.25">
      <c r="A183" s="1841"/>
      <c r="C183" s="1846"/>
      <c r="D183" s="1831"/>
      <c r="E183" s="1848"/>
      <c r="F183" s="1785"/>
      <c r="G183" s="1849"/>
      <c r="H183" s="2530"/>
      <c r="I183" s="2530"/>
      <c r="J183" s="2502"/>
      <c r="K183" s="2187"/>
      <c r="L183" s="2109"/>
      <c r="M183" s="2109"/>
      <c r="N183" s="2505"/>
      <c r="O183" s="2187"/>
      <c r="P183" s="2109"/>
      <c r="Q183" s="2109"/>
      <c r="R183" s="2503"/>
      <c r="S183" s="2407"/>
      <c r="T183" s="1436"/>
      <c r="U183" s="1437"/>
      <c r="V183" s="1437"/>
      <c r="W183" s="2502"/>
      <c r="Y183" s="1260"/>
      <c r="Z183" s="1260"/>
      <c r="AA183" s="1260"/>
      <c r="AB183" s="1260"/>
      <c r="AC183" s="1260"/>
      <c r="AD183" s="1260"/>
      <c r="AE183" s="1260"/>
      <c r="AF183" s="1260"/>
      <c r="AG183" s="1260"/>
      <c r="AH183" s="1260"/>
      <c r="AI183" s="1260"/>
      <c r="AJ183" s="1260"/>
      <c r="AK183" s="1260"/>
    </row>
    <row s="1854" customFormat="1" customHeight="1" ht="17.25">
      <c r="A184" s="1841"/>
      <c r="C184" s="1846"/>
      <c r="D184" s="1831"/>
      <c r="E184" s="1848"/>
      <c r="F184" s="1785"/>
      <c r="G184" s="1849"/>
      <c r="H184" s="2504"/>
      <c r="I184" s="2504"/>
      <c r="J184" s="2534"/>
      <c r="K184" s="2187"/>
      <c r="L184" s="2504"/>
      <c r="M184" s="2504"/>
      <c r="N184" s="2506"/>
      <c r="O184" s="2113"/>
      <c r="P184" s="318"/>
      <c r="Q184" s="319"/>
      <c r="R184" s="319" t="s">
        <v>178</v>
      </c>
      <c r="S184" s="1847"/>
      <c r="T184" s="1847"/>
      <c r="U184" s="1847"/>
      <c r="V184" s="1847"/>
      <c r="W184" s="1434"/>
      <c r="Y184" s="1260"/>
      <c r="Z184" s="1260"/>
      <c r="AA184" s="1260"/>
      <c r="AB184" s="1260"/>
      <c r="AC184" s="1260"/>
      <c r="AD184" s="1260"/>
      <c r="AE184" s="1260"/>
      <c r="AF184" s="1260"/>
      <c r="AG184" s="1260"/>
      <c r="AH184" s="1260"/>
      <c r="AI184" s="1260"/>
      <c r="AJ184" s="1260"/>
      <c r="AK184" s="1260"/>
    </row>
    <row s="1854" customFormat="1" customHeight="1" ht="17.25">
      <c r="A185" s="1841"/>
      <c r="C185" s="1846"/>
      <c r="D185" s="1831"/>
      <c r="E185" s="1848"/>
      <c r="F185" s="1785"/>
      <c r="G185" s="1849"/>
      <c r="H185" s="2504"/>
      <c r="I185" s="2504"/>
      <c r="J185" s="2534"/>
      <c r="K185" s="2113"/>
      <c r="L185" s="318"/>
      <c r="M185" s="319"/>
      <c r="N185" s="319" t="s">
        <v>183</v>
      </c>
      <c r="O185" s="319"/>
      <c r="P185" s="319"/>
      <c r="Q185" s="319"/>
      <c r="R185" s="319"/>
      <c r="S185" s="1847"/>
      <c r="T185" s="1847"/>
      <c r="U185" s="1847"/>
      <c r="V185" s="1847"/>
      <c r="W185" s="320"/>
      <c r="Y185" s="1260"/>
      <c r="Z185" s="1260"/>
      <c r="AA185" s="1260"/>
      <c r="AB185" s="1260"/>
      <c r="AC185" s="1260"/>
      <c r="AD185" s="1260"/>
      <c r="AE185" s="1260"/>
      <c r="AF185" s="1260"/>
      <c r="AG185" s="1260"/>
      <c r="AH185" s="1260"/>
      <c r="AI185" s="1260"/>
      <c r="AJ185" s="1260"/>
      <c r="AK185" s="1260"/>
    </row>
    <row customHeight="1" ht="17.25">
      <c r="A186" s="1851"/>
    </row>
    <row s="1854" customFormat="1" customHeight="1" ht="17.25">
      <c r="A187" s="1841"/>
      <c r="C187" s="1843"/>
      <c r="D187" s="1831"/>
      <c r="E187" s="1848"/>
      <c r="F187" s="1785"/>
      <c r="G187" s="1849"/>
      <c r="H187" s="1831"/>
      <c r="I187" s="1831"/>
      <c r="J187" s="1852"/>
      <c r="K187" s="1849"/>
      <c r="L187" s="2109"/>
      <c r="M187" s="2109" t="s">
        <v>123</v>
      </c>
      <c r="N187" s="2505" t="str">
        <f>IF(Z187="","",INDEX(TERRITORY_MR_LIST,MATCH(Z187,TERRITORY_LIST_ID,0)))</f>
        <v/>
      </c>
      <c r="O187" s="2186" t="s">
        <v>65</v>
      </c>
      <c r="P187" s="2109"/>
      <c r="Q187" s="2109" t="s">
        <v>123</v>
      </c>
      <c r="R187" s="2503" t="s">
        <v>28</v>
      </c>
      <c r="S187" s="2407" t="s">
        <v>19</v>
      </c>
      <c r="T187" s="1803"/>
      <c r="U187" s="1803" t="s">
        <v>123</v>
      </c>
      <c r="V187" s="1435"/>
      <c r="W187" s="2502"/>
      <c r="Y187" s="1268"/>
      <c r="Z187" s="1268"/>
      <c r="AA187" s="1268"/>
      <c r="AB187" s="1268"/>
      <c r="AC187" s="1268"/>
      <c r="AD187" s="1268"/>
      <c r="AE187" s="1268"/>
      <c r="AF187" s="1268"/>
      <c r="AG187" s="1268"/>
      <c r="AH187" s="1268"/>
      <c r="AI187" s="1268"/>
      <c r="AJ187" s="1268"/>
      <c r="AK187" s="1268"/>
      <c r="AL187" s="1845"/>
      <c r="AM187" s="1845"/>
      <c r="AN187" s="1268"/>
      <c r="AO187" s="1268"/>
      <c r="AP187" s="1268"/>
      <c r="AQ187" s="1268"/>
    </row>
    <row s="1854" customFormat="1" customHeight="1" ht="17.25">
      <c r="A188" s="1841"/>
      <c r="C188" s="1846"/>
      <c r="D188" s="1831"/>
      <c r="E188" s="1848"/>
      <c r="F188" s="1785"/>
      <c r="G188" s="1849"/>
      <c r="H188" s="1831"/>
      <c r="I188" s="1831"/>
      <c r="J188" s="1852"/>
      <c r="K188" s="1849"/>
      <c r="L188" s="2109"/>
      <c r="M188" s="2109"/>
      <c r="N188" s="2505"/>
      <c r="O188" s="2187"/>
      <c r="P188" s="2109"/>
      <c r="Q188" s="2109"/>
      <c r="R188" s="2503"/>
      <c r="S188" s="2407"/>
      <c r="T188" s="1436"/>
      <c r="U188" s="1437"/>
      <c r="V188" s="1437"/>
      <c r="W188" s="2502"/>
      <c r="Y188" s="1260"/>
      <c r="Z188" s="1260"/>
      <c r="AA188" s="1260"/>
      <c r="AB188" s="1260"/>
      <c r="AC188" s="1260"/>
      <c r="AD188" s="1260"/>
      <c r="AE188" s="1260"/>
      <c r="AF188" s="1260"/>
      <c r="AG188" s="1260"/>
      <c r="AH188" s="1260"/>
      <c r="AI188" s="1260"/>
      <c r="AJ188" s="1260"/>
      <c r="AK188" s="1260"/>
    </row>
    <row s="1854" customFormat="1" customHeight="1" ht="17.25">
      <c r="A189" s="1841"/>
      <c r="C189" s="1846"/>
      <c r="D189" s="1831"/>
      <c r="E189" s="1848"/>
      <c r="F189" s="1785"/>
      <c r="G189" s="1849"/>
      <c r="H189" s="1831"/>
      <c r="I189" s="1831"/>
      <c r="J189" s="1852"/>
      <c r="K189" s="1849"/>
      <c r="L189" s="2504"/>
      <c r="M189" s="2504"/>
      <c r="N189" s="2506"/>
      <c r="O189" s="2113"/>
      <c r="P189" s="318"/>
      <c r="Q189" s="319"/>
      <c r="R189" s="319" t="s">
        <v>178</v>
      </c>
      <c r="S189" s="1847"/>
      <c r="T189" s="1847"/>
      <c r="U189" s="1847"/>
      <c r="V189" s="1847"/>
      <c r="W189" s="1434"/>
      <c r="Y189" s="1260"/>
      <c r="Z189" s="1260"/>
      <c r="AA189" s="1260"/>
      <c r="AB189" s="1260"/>
      <c r="AC189" s="1260"/>
      <c r="AD189" s="1260"/>
      <c r="AE189" s="1260"/>
      <c r="AF189" s="1260"/>
      <c r="AG189" s="1260"/>
      <c r="AH189" s="1260"/>
      <c r="AI189" s="1260"/>
      <c r="AJ189" s="1260"/>
      <c r="AK189" s="1260"/>
    </row>
    <row customHeight="1" ht="17.25">
      <c r="A190" s="1851"/>
    </row>
    <row s="1854" customFormat="1" customHeight="1" ht="17.25">
      <c r="A191" s="1841"/>
      <c r="C191" s="1843"/>
      <c r="D191" s="1831"/>
      <c r="E191" s="1848"/>
      <c r="F191" s="1785"/>
      <c r="G191" s="1849"/>
      <c r="H191" s="1831"/>
      <c r="I191" s="1831"/>
      <c r="J191" s="1852"/>
      <c r="K191" s="1849"/>
      <c r="L191" s="1831"/>
      <c r="M191" s="1831"/>
      <c r="N191" s="2049"/>
      <c r="O191" s="1788"/>
      <c r="P191" s="2109"/>
      <c r="Q191" s="2109" t="s">
        <v>123</v>
      </c>
      <c r="R191" s="2503" t="s">
        <v>28</v>
      </c>
      <c r="S191" s="2407" t="s">
        <v>19</v>
      </c>
      <c r="T191" s="1803"/>
      <c r="U191" s="1803" t="s">
        <v>123</v>
      </c>
      <c r="V191" s="1435"/>
      <c r="W191" s="2502"/>
      <c r="Y191" s="1268"/>
      <c r="Z191" s="1268"/>
      <c r="AA191" s="1268"/>
      <c r="AB191" s="1268"/>
      <c r="AC191" s="1268"/>
      <c r="AD191" s="1268"/>
      <c r="AE191" s="1268"/>
      <c r="AF191" s="1268"/>
      <c r="AG191" s="1268"/>
      <c r="AH191" s="1268"/>
      <c r="AI191" s="1268"/>
      <c r="AJ191" s="1268"/>
      <c r="AK191" s="1268"/>
      <c r="AL191" s="1845"/>
      <c r="AM191" s="1845"/>
      <c r="AN191" s="1268"/>
      <c r="AO191" s="1268"/>
      <c r="AP191" s="1268"/>
      <c r="AQ191" s="1268"/>
    </row>
    <row s="1854" customFormat="1" customHeight="1" ht="17.25">
      <c r="A192" s="1841"/>
      <c r="C192" s="1846"/>
      <c r="D192" s="1831"/>
      <c r="E192" s="1848"/>
      <c r="F192" s="1785"/>
      <c r="G192" s="1849"/>
      <c r="H192" s="1831"/>
      <c r="I192" s="1831"/>
      <c r="J192" s="1852"/>
      <c r="K192" s="1849"/>
      <c r="L192" s="1831"/>
      <c r="M192" s="1831"/>
      <c r="N192" s="2049"/>
      <c r="O192" s="1788"/>
      <c r="P192" s="2109"/>
      <c r="Q192" s="2109"/>
      <c r="R192" s="2503"/>
      <c r="S192" s="2407"/>
      <c r="T192" s="1436"/>
      <c r="U192" s="1437"/>
      <c r="V192" s="1437"/>
      <c r="W192" s="2502"/>
      <c r="Y192" s="1260"/>
      <c r="Z192" s="1260"/>
      <c r="AA192" s="1260"/>
      <c r="AB192" s="1260"/>
      <c r="AC192" s="1260"/>
      <c r="AD192" s="1260"/>
      <c r="AE192" s="1260"/>
      <c r="AF192" s="1260"/>
      <c r="AG192" s="1260"/>
      <c r="AH192" s="1260"/>
      <c r="AI192" s="1260"/>
      <c r="AJ192" s="1260"/>
      <c r="AK192" s="1260"/>
    </row>
    <row customHeight="1" ht="17.25">
      <c r="A193" s="1851"/>
    </row>
    <row customHeight="1" ht="16.5">
      <c r="A194" s="1841"/>
      <c r="B194" s="1842"/>
      <c r="C194" s="1846"/>
      <c r="D194" s="2554"/>
      <c r="E194" s="2180"/>
      <c r="F194" s="2180"/>
      <c r="G194" s="2128"/>
      <c r="H194" s="2555"/>
      <c r="I194" s="2568"/>
      <c r="J194" s="2153"/>
      <c r="K194" s="2138"/>
      <c r="L194" s="2138"/>
      <c r="M194" s="2138"/>
      <c r="N194" s="2566"/>
      <c r="O194" s="2138"/>
      <c r="P194" s="2138"/>
      <c r="Q194" s="2138"/>
      <c r="R194" s="2564"/>
      <c r="S194" s="2138"/>
      <c r="T194" s="1784"/>
      <c r="U194" s="1784"/>
      <c r="V194" s="1853"/>
      <c r="W194" s="1297"/>
    </row>
    <row customHeight="1" ht="16.5">
      <c r="A195" s="1841"/>
      <c r="B195" s="1842"/>
      <c r="C195" s="1846"/>
      <c r="D195" s="2554"/>
      <c r="E195" s="2180"/>
      <c r="F195" s="2180"/>
      <c r="G195" s="2128"/>
      <c r="H195" s="2556"/>
      <c r="I195" s="2569"/>
      <c r="J195" s="2154"/>
      <c r="K195" s="2139"/>
      <c r="L195" s="2139"/>
      <c r="M195" s="2139"/>
      <c r="N195" s="2567"/>
      <c r="O195" s="2139"/>
      <c r="P195" s="2139"/>
      <c r="Q195" s="2139"/>
      <c r="R195" s="2565"/>
      <c r="S195" s="2139"/>
      <c r="T195" s="1298"/>
      <c r="U195" s="1298"/>
      <c r="V195" s="1298"/>
      <c r="W195" s="1299"/>
    </row>
    <row customHeight="1" ht="17.25">
      <c r="A196" s="1841"/>
      <c r="B196" s="1842"/>
      <c r="C196" s="1846"/>
      <c r="D196" s="2554"/>
      <c r="E196" s="2180"/>
      <c r="F196" s="2180"/>
      <c r="G196" s="2128"/>
      <c r="H196" s="2556"/>
      <c r="I196" s="2569"/>
      <c r="J196" s="2557"/>
      <c r="K196" s="2139"/>
      <c r="L196" s="2139"/>
      <c r="M196" s="2139"/>
      <c r="N196" s="2565"/>
      <c r="O196" s="2139"/>
      <c r="P196" s="1787"/>
      <c r="Q196" s="1298"/>
      <c r="R196" s="1298"/>
      <c r="S196" s="1854"/>
      <c r="T196" s="1854"/>
      <c r="U196" s="1854"/>
      <c r="V196" s="1854"/>
      <c r="W196" s="1299"/>
    </row>
    <row customHeight="1" ht="17.25">
      <c r="A197" s="1841"/>
      <c r="B197" s="1842"/>
      <c r="C197" s="1846"/>
      <c r="D197" s="2554"/>
      <c r="E197" s="2180"/>
      <c r="F197" s="2180"/>
      <c r="G197" s="2128"/>
      <c r="H197" s="2556"/>
      <c r="I197" s="2569"/>
      <c r="J197" s="2557"/>
      <c r="K197" s="2139"/>
      <c r="L197" s="1298"/>
      <c r="M197" s="1298"/>
      <c r="N197" s="1298"/>
      <c r="O197" s="1298"/>
      <c r="P197" s="1298"/>
      <c r="Q197" s="1298"/>
      <c r="R197" s="1298"/>
      <c r="S197" s="1854"/>
      <c r="T197" s="1854"/>
      <c r="U197" s="1854"/>
      <c r="V197" s="1854"/>
      <c r="W197" s="1299"/>
    </row>
    <row customHeight="1" ht="17.25">
      <c r="A198" s="1841"/>
      <c r="B198" s="1842"/>
      <c r="C198" s="1846"/>
      <c r="D198" s="2554"/>
      <c r="E198" s="2180"/>
      <c r="F198" s="2180"/>
      <c r="G198" s="2128"/>
      <c r="H198" s="1300"/>
      <c r="I198" s="1301"/>
      <c r="J198" s="1301"/>
      <c r="K198" s="1301"/>
      <c r="L198" s="1301"/>
      <c r="M198" s="1301"/>
      <c r="N198" s="1301"/>
      <c r="O198" s="1301"/>
      <c r="P198" s="1301"/>
      <c r="Q198" s="1301"/>
      <c r="R198" s="1301"/>
      <c r="S198" s="1855"/>
      <c r="T198" s="1855"/>
      <c r="U198" s="1855"/>
      <c r="V198" s="1855"/>
      <c r="W198" s="1303"/>
    </row>
    <row r="200" s="1816" customFormat="1" customHeight="1" ht="17.25">
      <c r="A200" s="1816" t="s">
        <v>2074</v>
      </c>
    </row>
    <row customHeight="1" ht="17.25">
      <c r="G201" s="1840"/>
      <c r="H201" s="1840"/>
      <c r="I201" s="1840"/>
      <c r="M201" s="1836"/>
    </row>
    <row s="1851" customFormat="1" customHeight="1" ht="15">
      <c r="D202" s="2524"/>
      <c r="E202" s="2200"/>
      <c r="F202" s="2200"/>
      <c r="G202" s="2186"/>
      <c r="H202" s="1565"/>
      <c r="I202" s="2528">
        <v>1</v>
      </c>
      <c r="J202" s="2502"/>
      <c r="K202" s="1580"/>
      <c r="L202" s="2186" t="s">
        <v>65</v>
      </c>
      <c r="M202" s="2186" t="s">
        <v>65</v>
      </c>
      <c r="N202" s="1565"/>
      <c r="O202" s="2109" t="s">
        <v>123</v>
      </c>
      <c r="P202" s="2518"/>
      <c r="Q202" s="1581"/>
      <c r="R202" s="2186" t="s">
        <v>65</v>
      </c>
      <c r="S202" s="2186" t="s">
        <v>65</v>
      </c>
      <c r="T202" s="1856"/>
      <c r="U202" s="2109" t="s">
        <v>123</v>
      </c>
      <c r="V202" s="2525" t="str">
        <f>IF(AK202="","",INDEX(TERRITORY_MR_LIST,MATCH(AK202,TERRITORY_LIST_ID,0)))</f>
        <v/>
      </c>
      <c r="W202" s="1582"/>
      <c r="X202" s="2186" t="s">
        <v>65</v>
      </c>
      <c r="Y202" s="2186" t="s">
        <v>19</v>
      </c>
      <c r="Z202" s="1565"/>
      <c r="AA202" s="2109" t="s">
        <v>123</v>
      </c>
      <c r="AB202" s="2527"/>
      <c r="AC202" s="1583"/>
      <c r="AD202" s="2186" t="s">
        <v>65</v>
      </c>
      <c r="AE202" s="2186" t="s">
        <v>19</v>
      </c>
      <c r="AF202" s="1563"/>
      <c r="AG202" s="1812" t="s">
        <v>123</v>
      </c>
      <c r="AH202" s="1573"/>
      <c r="AI202" s="1802"/>
    </row>
    <row s="1851" customFormat="1" customHeight="1" ht="15">
      <c r="D203" s="2524"/>
      <c r="E203" s="2200"/>
      <c r="F203" s="2200"/>
      <c r="G203" s="2187"/>
      <c r="H203" s="1565"/>
      <c r="I203" s="2528"/>
      <c r="J203" s="2502"/>
      <c r="K203" s="1564"/>
      <c r="L203" s="2187"/>
      <c r="M203" s="2187"/>
      <c r="N203" s="1565"/>
      <c r="O203" s="2109"/>
      <c r="P203" s="2518"/>
      <c r="Q203" s="1561"/>
      <c r="R203" s="2187"/>
      <c r="S203" s="2187"/>
      <c r="T203" s="1856"/>
      <c r="U203" s="2109"/>
      <c r="V203" s="2526"/>
      <c r="W203" s="1562"/>
      <c r="X203" s="2187"/>
      <c r="Y203" s="2187"/>
      <c r="Z203" s="1565"/>
      <c r="AA203" s="2109"/>
      <c r="AB203" s="2496"/>
      <c r="AC203" s="1566"/>
      <c r="AD203" s="2113"/>
      <c r="AE203" s="2113"/>
      <c r="AF203" s="1567"/>
      <c r="AG203" s="1568"/>
      <c r="AH203" s="2519" t="s">
        <v>2075</v>
      </c>
      <c r="AI203" s="2520"/>
    </row>
    <row s="1851" customFormat="1" customHeight="1" ht="15">
      <c r="D204" s="2524"/>
      <c r="E204" s="2200"/>
      <c r="F204" s="2200"/>
      <c r="G204" s="2187"/>
      <c r="H204" s="1565"/>
      <c r="I204" s="2528"/>
      <c r="J204" s="2502"/>
      <c r="K204" s="1564"/>
      <c r="L204" s="2187"/>
      <c r="M204" s="2187"/>
      <c r="N204" s="1565"/>
      <c r="O204" s="2109"/>
      <c r="P204" s="2518"/>
      <c r="Q204" s="1561"/>
      <c r="R204" s="2187"/>
      <c r="S204" s="2187"/>
      <c r="T204" s="1856"/>
      <c r="U204" s="2109"/>
      <c r="V204" s="2526"/>
      <c r="W204" s="1562"/>
      <c r="X204" s="2187"/>
      <c r="Y204" s="2187"/>
      <c r="Z204" s="1604"/>
      <c r="AA204" s="1570"/>
      <c r="AB204" s="2521" t="s">
        <v>2076</v>
      </c>
      <c r="AC204" s="2521"/>
      <c r="AD204" s="2521"/>
      <c r="AE204" s="2521"/>
      <c r="AF204" s="2521"/>
      <c r="AG204" s="2521"/>
      <c r="AH204" s="2521"/>
      <c r="AI204" s="2522"/>
    </row>
    <row s="1851" customFormat="1" customHeight="1" ht="15">
      <c r="D205" s="2524"/>
      <c r="E205" s="2200"/>
      <c r="F205" s="2200"/>
      <c r="G205" s="2187"/>
      <c r="H205" s="1565"/>
      <c r="I205" s="2528"/>
      <c r="J205" s="2502"/>
      <c r="K205" s="1564"/>
      <c r="L205" s="2187"/>
      <c r="M205" s="2187"/>
      <c r="N205" s="1565"/>
      <c r="O205" s="2109"/>
      <c r="P205" s="2523"/>
      <c r="Q205" s="1561"/>
      <c r="R205" s="2187"/>
      <c r="S205" s="2187"/>
      <c r="T205" s="1857"/>
      <c r="U205" s="1605"/>
      <c r="V205" s="2519" t="s">
        <v>117</v>
      </c>
      <c r="W205" s="2519"/>
      <c r="X205" s="2519"/>
      <c r="Y205" s="2519"/>
      <c r="Z205" s="2519"/>
      <c r="AA205" s="2519"/>
      <c r="AB205" s="2519"/>
      <c r="AC205" s="2519"/>
      <c r="AD205" s="2519"/>
      <c r="AE205" s="2519"/>
      <c r="AF205" s="2519"/>
      <c r="AG205" s="2519"/>
      <c r="AH205" s="2519"/>
      <c r="AI205" s="2520"/>
    </row>
    <row s="1851" customFormat="1" customHeight="1" ht="11.25">
      <c r="D206" s="2524"/>
      <c r="E206" s="2200"/>
      <c r="F206" s="2200"/>
      <c r="G206" s="2187"/>
      <c r="H206" s="1569"/>
      <c r="I206" s="2528"/>
      <c r="J206" s="2529"/>
      <c r="K206" s="1564"/>
      <c r="L206" s="2187"/>
      <c r="M206" s="2187"/>
      <c r="N206" s="1569"/>
      <c r="O206" s="1570"/>
      <c r="P206" s="2519" t="s">
        <v>2077</v>
      </c>
      <c r="Q206" s="2519"/>
      <c r="R206" s="2519"/>
      <c r="S206" s="2519"/>
      <c r="T206" s="2519"/>
      <c r="U206" s="2519"/>
      <c r="V206" s="2519"/>
      <c r="W206" s="2519"/>
      <c r="X206" s="2519"/>
      <c r="Y206" s="2519"/>
      <c r="Z206" s="2519"/>
      <c r="AA206" s="2519"/>
      <c r="AB206" s="2519"/>
      <c r="AC206" s="2519"/>
      <c r="AD206" s="2519"/>
      <c r="AE206" s="2519"/>
      <c r="AF206" s="2519"/>
      <c r="AG206" s="2519"/>
      <c r="AH206" s="2519"/>
      <c r="AI206" s="2520"/>
    </row>
    <row s="1555" customFormat="1" customHeight="1" ht="11.25">
      <c r="D207" s="2524"/>
      <c r="E207" s="2200"/>
      <c r="F207" s="2200"/>
      <c r="G207" s="2113"/>
      <c r="H207" s="1571"/>
      <c r="I207" s="1572"/>
      <c r="J207" s="2519" t="s">
        <v>222</v>
      </c>
      <c r="K207" s="2519"/>
      <c r="L207" s="2519"/>
      <c r="M207" s="2519"/>
      <c r="N207" s="2519"/>
      <c r="O207" s="2519"/>
      <c r="P207" s="2519"/>
      <c r="Q207" s="2519"/>
      <c r="R207" s="2519"/>
      <c r="S207" s="2519"/>
      <c r="T207" s="2519"/>
      <c r="U207" s="2519"/>
      <c r="V207" s="2519"/>
      <c r="W207" s="2519"/>
      <c r="X207" s="2519"/>
      <c r="Y207" s="2519"/>
      <c r="Z207" s="2519"/>
      <c r="AA207" s="2519"/>
      <c r="AB207" s="2519"/>
      <c r="AC207" s="2519"/>
      <c r="AD207" s="2519"/>
      <c r="AE207" s="2519"/>
      <c r="AF207" s="2519"/>
      <c r="AG207" s="2519"/>
      <c r="AH207" s="2519"/>
      <c r="AI207" s="2520"/>
      <c r="BK207" s="1575"/>
    </row>
    <row customHeight="1" ht="17.25">
      <c r="G208" s="1840"/>
      <c r="I208" s="1840"/>
      <c r="J208" s="1840"/>
      <c r="N208" s="1836"/>
    </row>
    <row s="1851" customFormat="1" customHeight="1" ht="15">
      <c r="D209" s="2524"/>
      <c r="E209" s="2200"/>
      <c r="F209" s="2200"/>
      <c r="G209" s="2180"/>
      <c r="H209" s="1600"/>
      <c r="I209" s="2182"/>
      <c r="J209" s="2153"/>
      <c r="K209" s="1786"/>
      <c r="L209" s="2138"/>
      <c r="M209" s="2138"/>
      <c r="N209" s="1585"/>
      <c r="O209" s="2138"/>
      <c r="P209" s="2153"/>
      <c r="Q209" s="1790"/>
      <c r="R209" s="2138"/>
      <c r="S209" s="2138"/>
      <c r="T209" s="1858"/>
      <c r="U209" s="2138"/>
      <c r="V209" s="2153"/>
      <c r="W209" s="1588"/>
      <c r="X209" s="2138"/>
      <c r="Y209" s="2138"/>
      <c r="Z209" s="1585"/>
      <c r="AA209" s="2138"/>
      <c r="AB209" s="2153"/>
      <c r="AC209" s="1589"/>
      <c r="AD209" s="2138"/>
      <c r="AE209" s="2138"/>
      <c r="AF209" s="1784"/>
      <c r="AG209" s="1784"/>
      <c r="AH209" s="1590"/>
      <c r="AI209" s="1297"/>
    </row>
    <row s="1851" customFormat="1" customHeight="1" ht="15">
      <c r="D210" s="2524"/>
      <c r="E210" s="2200"/>
      <c r="F210" s="2200"/>
      <c r="G210" s="2180"/>
      <c r="H210" s="1601"/>
      <c r="I210" s="2183"/>
      <c r="J210" s="2154"/>
      <c r="K210" s="1611"/>
      <c r="L210" s="2139"/>
      <c r="M210" s="2139"/>
      <c r="N210" s="1591"/>
      <c r="O210" s="2139"/>
      <c r="P210" s="2154"/>
      <c r="Q210" s="1791"/>
      <c r="R210" s="2139"/>
      <c r="S210" s="2139"/>
      <c r="T210" s="1859"/>
      <c r="U210" s="2139"/>
      <c r="V210" s="2154"/>
      <c r="W210" s="1594"/>
      <c r="X210" s="2139"/>
      <c r="Y210" s="2139"/>
      <c r="Z210" s="1591"/>
      <c r="AA210" s="2139"/>
      <c r="AB210" s="2154"/>
      <c r="AC210" s="1595"/>
      <c r="AD210" s="2139"/>
      <c r="AE210" s="2139"/>
      <c r="AF210" s="1789"/>
      <c r="AG210" s="1789"/>
      <c r="AH210" s="2178"/>
      <c r="AI210" s="2179"/>
    </row>
    <row s="1851" customFormat="1" customHeight="1" ht="15">
      <c r="D211" s="2524"/>
      <c r="E211" s="2200"/>
      <c r="F211" s="2200"/>
      <c r="G211" s="2180"/>
      <c r="H211" s="1601"/>
      <c r="I211" s="2183"/>
      <c r="J211" s="2154"/>
      <c r="K211" s="1611"/>
      <c r="L211" s="2139"/>
      <c r="M211" s="2139"/>
      <c r="N211" s="1591"/>
      <c r="O211" s="2139"/>
      <c r="P211" s="2154"/>
      <c r="Q211" s="1791"/>
      <c r="R211" s="2139"/>
      <c r="S211" s="2139"/>
      <c r="T211" s="1859"/>
      <c r="U211" s="2139"/>
      <c r="V211" s="2154"/>
      <c r="W211" s="1594"/>
      <c r="X211" s="2139"/>
      <c r="Y211" s="2139"/>
      <c r="Z211" s="1787"/>
      <c r="AA211" s="1789"/>
      <c r="AB211" s="2178"/>
      <c r="AC211" s="2178"/>
      <c r="AD211" s="2178"/>
      <c r="AE211" s="2178"/>
      <c r="AF211" s="2178"/>
      <c r="AG211" s="2178"/>
      <c r="AH211" s="2178"/>
      <c r="AI211" s="2179"/>
    </row>
    <row s="1851" customFormat="1" customHeight="1" ht="15">
      <c r="D212" s="2524"/>
      <c r="E212" s="2200"/>
      <c r="F212" s="2200"/>
      <c r="G212" s="2180"/>
      <c r="H212" s="1601"/>
      <c r="I212" s="2183"/>
      <c r="J212" s="2154"/>
      <c r="K212" s="1611"/>
      <c r="L212" s="2139"/>
      <c r="M212" s="2139"/>
      <c r="N212" s="1591"/>
      <c r="O212" s="2139"/>
      <c r="P212" s="2154"/>
      <c r="Q212" s="1791"/>
      <c r="R212" s="2139"/>
      <c r="S212" s="2139"/>
      <c r="T212" s="1860"/>
      <c r="U212" s="1598"/>
      <c r="V212" s="2178"/>
      <c r="W212" s="2178"/>
      <c r="X212" s="2178"/>
      <c r="Y212" s="2178"/>
      <c r="Z212" s="2178"/>
      <c r="AA212" s="2178"/>
      <c r="AB212" s="2178"/>
      <c r="AC212" s="2178"/>
      <c r="AD212" s="2178"/>
      <c r="AE212" s="2178"/>
      <c r="AF212" s="2178"/>
      <c r="AG212" s="2178"/>
      <c r="AH212" s="2178"/>
      <c r="AI212" s="2179"/>
    </row>
    <row s="1851" customFormat="1" customHeight="1" ht="11.25">
      <c r="D213" s="2524"/>
      <c r="E213" s="2200"/>
      <c r="F213" s="2200"/>
      <c r="G213" s="2180"/>
      <c r="H213" s="1602"/>
      <c r="I213" s="2183"/>
      <c r="J213" s="2154"/>
      <c r="K213" s="1611"/>
      <c r="L213" s="2139"/>
      <c r="M213" s="2139"/>
      <c r="N213" s="1789"/>
      <c r="O213" s="1789"/>
      <c r="P213" s="2178"/>
      <c r="Q213" s="2178"/>
      <c r="R213" s="2178"/>
      <c r="S213" s="2178"/>
      <c r="T213" s="2178"/>
      <c r="U213" s="2178"/>
      <c r="V213" s="2178"/>
      <c r="W213" s="2178"/>
      <c r="X213" s="2178"/>
      <c r="Y213" s="2178"/>
      <c r="Z213" s="2178"/>
      <c r="AA213" s="2178"/>
      <c r="AB213" s="2178"/>
      <c r="AC213" s="2178"/>
      <c r="AD213" s="2178"/>
      <c r="AE213" s="2178"/>
      <c r="AF213" s="2178"/>
      <c r="AG213" s="2178"/>
      <c r="AH213" s="2178"/>
      <c r="AI213" s="2179"/>
    </row>
    <row s="1555" customFormat="1" customHeight="1" ht="11.25">
      <c r="D214" s="2524"/>
      <c r="E214" s="2200"/>
      <c r="F214" s="2200"/>
      <c r="G214" s="2185"/>
      <c r="H214" s="1599"/>
      <c r="I214" s="1603"/>
      <c r="J214" s="2188"/>
      <c r="K214" s="2188"/>
      <c r="L214" s="2188"/>
      <c r="M214" s="2188"/>
      <c r="N214" s="2188"/>
      <c r="O214" s="2188"/>
      <c r="P214" s="2188"/>
      <c r="Q214" s="2188"/>
      <c r="R214" s="2188"/>
      <c r="S214" s="2188"/>
      <c r="T214" s="2188"/>
      <c r="U214" s="2188"/>
      <c r="V214" s="2188"/>
      <c r="W214" s="2188"/>
      <c r="X214" s="2188"/>
      <c r="Y214" s="2188"/>
      <c r="Z214" s="2188"/>
      <c r="AA214" s="2188"/>
      <c r="AB214" s="2188"/>
      <c r="AC214" s="2188"/>
      <c r="AD214" s="2188"/>
      <c r="AE214" s="2188"/>
      <c r="AF214" s="2188"/>
      <c r="AG214" s="2188"/>
      <c r="AH214" s="2188"/>
      <c r="AI214" s="2189"/>
      <c r="BK214" s="1575"/>
    </row>
    <row customHeight="1" ht="17.25">
      <c r="A215" s="1851"/>
    </row>
  </sheetData>
  <sheetProtection formatColumns="0" formatRows="0" sort="0" autoFilter="0" insertRows="0" insertColumns="1" deleteRows="0" deleteColumns="0"/>
  <mergeCells count="287">
    <mergeCell ref="A47:A51"/>
    <mergeCell ref="C47:C51"/>
    <mergeCell ref="F72:F73"/>
    <mergeCell ref="G72:G73"/>
    <mergeCell ref="H72:H73"/>
    <mergeCell ref="I72:I73"/>
    <mergeCell ref="J72:J73"/>
    <mergeCell ref="K72:K73"/>
    <mergeCell ref="U121:U123"/>
    <mergeCell ref="P83:P85"/>
    <mergeCell ref="Q83:Q85"/>
    <mergeCell ref="R83:R85"/>
    <mergeCell ref="N91:N93"/>
    <mergeCell ref="O91:O93"/>
    <mergeCell ref="P91:P93"/>
    <mergeCell ref="Q91:Q93"/>
    <mergeCell ref="R91:R93"/>
    <mergeCell ref="S91:S93"/>
    <mergeCell ref="T91:T93"/>
    <mergeCell ref="U91:U93"/>
    <mergeCell ref="V121:V123"/>
    <mergeCell ref="D154:D158"/>
    <mergeCell ref="L72:L73"/>
    <mergeCell ref="G82:G86"/>
    <mergeCell ref="U133:U135"/>
    <mergeCell ref="V133:V135"/>
    <mergeCell ref="O154:O156"/>
    <mergeCell ref="S154:S155"/>
    <mergeCell ref="U72:U73"/>
    <mergeCell ref="V72:V73"/>
    <mergeCell ref="U130:U132"/>
    <mergeCell ref="V130:V132"/>
    <mergeCell ref="P154:P155"/>
    <mergeCell ref="Q154:Q155"/>
    <mergeCell ref="R154:R155"/>
    <mergeCell ref="G154:G158"/>
    <mergeCell ref="K154:K157"/>
    <mergeCell ref="D127:D135"/>
    <mergeCell ref="E127:G127"/>
    <mergeCell ref="H127:R127"/>
    <mergeCell ref="D115:D123"/>
    <mergeCell ref="E115:G115"/>
    <mergeCell ref="H115:R115"/>
    <mergeCell ref="M154:M156"/>
    <mergeCell ref="H147:H148"/>
    <mergeCell ref="I147:I148"/>
    <mergeCell ref="J147:J148"/>
    <mergeCell ref="K147:K148"/>
    <mergeCell ref="AC115:AC120"/>
    <mergeCell ref="E116:G116"/>
    <mergeCell ref="H116:R116"/>
    <mergeCell ref="E117:G117"/>
    <mergeCell ref="E139:E142"/>
    <mergeCell ref="F139:F142"/>
    <mergeCell ref="G139:G142"/>
    <mergeCell ref="L139:M139"/>
    <mergeCell ref="S139:S142"/>
    <mergeCell ref="H140:H141"/>
    <mergeCell ref="I140:I141"/>
    <mergeCell ref="J140:J141"/>
    <mergeCell ref="K140:K141"/>
    <mergeCell ref="H117:R117"/>
    <mergeCell ref="E118:P118"/>
    <mergeCell ref="U118:U120"/>
    <mergeCell ref="V118:V120"/>
    <mergeCell ref="E121:P121"/>
    <mergeCell ref="AC127:AC132"/>
    <mergeCell ref="E128:G128"/>
    <mergeCell ref="L154:L156"/>
    <mergeCell ref="N194:N196"/>
    <mergeCell ref="E154:E158"/>
    <mergeCell ref="N154:N156"/>
    <mergeCell ref="J154:J157"/>
    <mergeCell ref="F154:F158"/>
    <mergeCell ref="E194:E198"/>
    <mergeCell ref="H154:H157"/>
    <mergeCell ref="G194:G198"/>
    <mergeCell ref="H160:H163"/>
    <mergeCell ref="I160:I163"/>
    <mergeCell ref="J160:J163"/>
    <mergeCell ref="K160:K163"/>
    <mergeCell ref="L160:L162"/>
    <mergeCell ref="M160:M162"/>
    <mergeCell ref="N160:N162"/>
    <mergeCell ref="F194:F198"/>
    <mergeCell ref="I194:I197"/>
    <mergeCell ref="M176:M178"/>
    <mergeCell ref="N176:N178"/>
    <mergeCell ref="H182:H185"/>
    <mergeCell ref="I182:I185"/>
    <mergeCell ref="J182:J185"/>
    <mergeCell ref="K182:K185"/>
    <mergeCell ref="L194:L196"/>
    <mergeCell ref="S160:S161"/>
    <mergeCell ref="L165:L167"/>
    <mergeCell ref="M165:M167"/>
    <mergeCell ref="N165:N167"/>
    <mergeCell ref="O165:O167"/>
    <mergeCell ref="S165:S166"/>
    <mergeCell ref="Q194:Q195"/>
    <mergeCell ref="R194:R195"/>
    <mergeCell ref="S194:S195"/>
    <mergeCell ref="P194:P195"/>
    <mergeCell ref="S169:S170"/>
    <mergeCell ref="L182:L184"/>
    <mergeCell ref="M182:M184"/>
    <mergeCell ref="N182:N184"/>
    <mergeCell ref="O182:O184"/>
    <mergeCell ref="P182:P183"/>
    <mergeCell ref="Q182:Q183"/>
    <mergeCell ref="R182:R183"/>
    <mergeCell ref="S182:S183"/>
    <mergeCell ref="S176:S177"/>
    <mergeCell ref="A13:A15"/>
    <mergeCell ref="D23:D25"/>
    <mergeCell ref="E23:E25"/>
    <mergeCell ref="F23:F25"/>
    <mergeCell ref="G23:G24"/>
    <mergeCell ref="H23:H24"/>
    <mergeCell ref="I23:I24"/>
    <mergeCell ref="J23:J24"/>
    <mergeCell ref="G29:G30"/>
    <mergeCell ref="H29:H30"/>
    <mergeCell ref="I29:I30"/>
    <mergeCell ref="J29:J30"/>
    <mergeCell ref="H128:R128"/>
    <mergeCell ref="E129:G129"/>
    <mergeCell ref="H129:R129"/>
    <mergeCell ref="E130:P130"/>
    <mergeCell ref="D194:D198"/>
    <mergeCell ref="I154:I157"/>
    <mergeCell ref="H194:H197"/>
    <mergeCell ref="J194:J197"/>
    <mergeCell ref="K194:K197"/>
    <mergeCell ref="M194:M196"/>
    <mergeCell ref="O194:O196"/>
    <mergeCell ref="P165:P166"/>
    <mergeCell ref="Q165:Q166"/>
    <mergeCell ref="R165:R166"/>
    <mergeCell ref="P169:P170"/>
    <mergeCell ref="Q169:Q170"/>
    <mergeCell ref="R169:R170"/>
    <mergeCell ref="P191:P192"/>
    <mergeCell ref="Q191:Q192"/>
    <mergeCell ref="R191:R192"/>
    <mergeCell ref="O160:O162"/>
    <mergeCell ref="P160:P161"/>
    <mergeCell ref="Q160:Q161"/>
    <mergeCell ref="R160:R161"/>
    <mergeCell ref="Y72:Y73"/>
    <mergeCell ref="S72:S73"/>
    <mergeCell ref="T72:T73"/>
    <mergeCell ref="M72:M73"/>
    <mergeCell ref="N72:N73"/>
    <mergeCell ref="O72:O73"/>
    <mergeCell ref="Q72:Q73"/>
    <mergeCell ref="R72:R73"/>
    <mergeCell ref="W72:W73"/>
    <mergeCell ref="X72:X73"/>
    <mergeCell ref="P72:P73"/>
    <mergeCell ref="AJ82:AJ86"/>
    <mergeCell ref="AK82:AK86"/>
    <mergeCell ref="I87:K87"/>
    <mergeCell ref="F82:F87"/>
    <mergeCell ref="AF82:AF86"/>
    <mergeCell ref="AG82:AG86"/>
    <mergeCell ref="AH82:AH86"/>
    <mergeCell ref="AI82:AI86"/>
    <mergeCell ref="S83:S85"/>
    <mergeCell ref="T83:T85"/>
    <mergeCell ref="U83:U85"/>
    <mergeCell ref="V83:V85"/>
    <mergeCell ref="W83:W85"/>
    <mergeCell ref="X83:X85"/>
    <mergeCell ref="Y83:Y85"/>
    <mergeCell ref="H82:H86"/>
    <mergeCell ref="I82:I86"/>
    <mergeCell ref="J82:J86"/>
    <mergeCell ref="K82:K86"/>
    <mergeCell ref="L82:L86"/>
    <mergeCell ref="M82:M86"/>
    <mergeCell ref="N83:N85"/>
    <mergeCell ref="O83:O85"/>
    <mergeCell ref="D176:D180"/>
    <mergeCell ref="E176:E180"/>
    <mergeCell ref="F176:F180"/>
    <mergeCell ref="G176:G180"/>
    <mergeCell ref="H176:H179"/>
    <mergeCell ref="I176:I179"/>
    <mergeCell ref="J176:J179"/>
    <mergeCell ref="K176:K179"/>
    <mergeCell ref="L176:L178"/>
    <mergeCell ref="R202:R205"/>
    <mergeCell ref="S202:S205"/>
    <mergeCell ref="U202:U204"/>
    <mergeCell ref="V202:V204"/>
    <mergeCell ref="X202:X204"/>
    <mergeCell ref="Y202:Y204"/>
    <mergeCell ref="AA202:AA203"/>
    <mergeCell ref="AB202:AB203"/>
    <mergeCell ref="D202:D207"/>
    <mergeCell ref="E202:E207"/>
    <mergeCell ref="F202:F207"/>
    <mergeCell ref="G202:G207"/>
    <mergeCell ref="I202:I206"/>
    <mergeCell ref="J202:J206"/>
    <mergeCell ref="L202:L206"/>
    <mergeCell ref="M202:M206"/>
    <mergeCell ref="O202:O205"/>
    <mergeCell ref="D209:D214"/>
    <mergeCell ref="E209:E214"/>
    <mergeCell ref="F209:F214"/>
    <mergeCell ref="G209:G214"/>
    <mergeCell ref="I209:I213"/>
    <mergeCell ref="J209:J213"/>
    <mergeCell ref="L209:L213"/>
    <mergeCell ref="M209:M213"/>
    <mergeCell ref="O209:O212"/>
    <mergeCell ref="AB209:AB210"/>
    <mergeCell ref="AD209:AD210"/>
    <mergeCell ref="AE209:AE210"/>
    <mergeCell ref="AH210:AI210"/>
    <mergeCell ref="AB211:AI211"/>
    <mergeCell ref="V212:AI212"/>
    <mergeCell ref="P213:AI213"/>
    <mergeCell ref="J214:AI214"/>
    <mergeCell ref="AD202:AD203"/>
    <mergeCell ref="AE202:AE203"/>
    <mergeCell ref="AH203:AI203"/>
    <mergeCell ref="AB204:AI204"/>
    <mergeCell ref="V205:AI205"/>
    <mergeCell ref="P206:AI206"/>
    <mergeCell ref="J207:AI207"/>
    <mergeCell ref="P209:P212"/>
    <mergeCell ref="R209:R212"/>
    <mergeCell ref="S209:S212"/>
    <mergeCell ref="U209:U211"/>
    <mergeCell ref="V209:V211"/>
    <mergeCell ref="X209:X211"/>
    <mergeCell ref="Y209:Y211"/>
    <mergeCell ref="AA209:AA210"/>
    <mergeCell ref="P202:P205"/>
    <mergeCell ref="V91:V93"/>
    <mergeCell ref="W91:W93"/>
    <mergeCell ref="X91:X93"/>
    <mergeCell ref="Y91:Y93"/>
    <mergeCell ref="H101:H105"/>
    <mergeCell ref="I101:I105"/>
    <mergeCell ref="J101:J105"/>
    <mergeCell ref="K101:K105"/>
    <mergeCell ref="L101:L105"/>
    <mergeCell ref="M101:M105"/>
    <mergeCell ref="AF101:AF105"/>
    <mergeCell ref="AG101:AG105"/>
    <mergeCell ref="AH101:AH105"/>
    <mergeCell ref="AI101:AI105"/>
    <mergeCell ref="AJ101:AJ105"/>
    <mergeCell ref="AK101:AK105"/>
    <mergeCell ref="N102:N104"/>
    <mergeCell ref="O102:O104"/>
    <mergeCell ref="P102:P104"/>
    <mergeCell ref="Q102:Q104"/>
    <mergeCell ref="R102:R104"/>
    <mergeCell ref="S102:S104"/>
    <mergeCell ref="T102:T104"/>
    <mergeCell ref="U102:U104"/>
    <mergeCell ref="V102:V104"/>
    <mergeCell ref="W102:W104"/>
    <mergeCell ref="X102:X104"/>
    <mergeCell ref="Y102:Y104"/>
    <mergeCell ref="W176:W177"/>
    <mergeCell ref="O176:O178"/>
    <mergeCell ref="P176:P177"/>
    <mergeCell ref="Q176:Q177"/>
    <mergeCell ref="R176:R177"/>
    <mergeCell ref="S191:S192"/>
    <mergeCell ref="W191:W192"/>
    <mergeCell ref="W182:W183"/>
    <mergeCell ref="L187:L189"/>
    <mergeCell ref="M187:M189"/>
    <mergeCell ref="N187:N189"/>
    <mergeCell ref="O187:O189"/>
    <mergeCell ref="P187:P188"/>
    <mergeCell ref="Q187:Q188"/>
    <mergeCell ref="R187:R188"/>
    <mergeCell ref="S187:S188"/>
    <mergeCell ref="W187:W188"/>
  </mergeCells>
  <dataValidations count="20">
    <dataValidation type="decimal" allowBlank="1" showErrorMessage="1" errorTitle="Ошибка" error="Допускается ввод только действительных чисел!" sqref="CY110:DJ110 BT110:CK110 O110:AB110">
      <formula1>-9.99999999999999E+23</formula1>
      <formula2>9.99999999999999E+23</formula2>
    </dataValidation>
    <dataValidation type="list" errorStyle="warning" allowBlank="1" showInputMessage="1" errorTitle="Ошибка" error="Выберите значение из списка" prompt="Выберите значение из списка или укажите свой вид твердых коммунальных отходов" sqref="AC202 AC209">
      <formula1>list_typeTKO</formula1>
    </dataValidation>
    <dataValidation allowBlank="1" showInputMessage="1" showErrorMessage="1"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154:N156 N176:N178 N160:N162 N165:N167 N169:N170 N182:N184 N187:N189 N191:N192"/>
    <dataValidation type="list" allowBlank="1" showInputMessage="1" showErrorMessage="1" errorTitle="Ошибка" error="Выберите значение из списка" prompt="Выберите значение из списка" sqref="H110">
      <formula1>QRE_METHOD_LIST</formula1>
    </dataValidation>
    <dataValidation type="list" allowBlank="1" showInputMessage="1" showErrorMessage="1" errorTitle="Ошибка" error="Выберите значение из списка" prompt="Выберите значение из списка" sqref="J140:J141 J147:J148 J150">
      <formula1>kind_of_purchase_method</formula1>
    </dataValidation>
    <dataValidation allowBlank="1" showInputMessage="1" showErrorMessage="1" promptTitle="Ввод" prompt="Для выбора ИП необходимо два раза нажать левую кнопку мыши!" sqref="G72 G77"/>
    <dataValidation allowBlank="1" showInputMessage="1" showErrorMessage="1" prompt="Выберите один или несколько одновременно видов деятельности, выполнив последовательно по одному щелчку на строке с видом деятельности" sqref="F60"/>
    <dataValidation type="whole" allowBlank="1" showErrorMessage="1" errorTitle="Ошибка" error="Допускается ввод только неотрицательных целых чисел!" sqref="AF91:AF93 AI91:AI93 AF101:AF105 AI101:AI105 AF97 AI97 AF82:AF86 AI82:AI86 N60 P60 U60:V60 Y60:Z60 J60 R60:S60 AC60">
      <formula1>0</formula1>
      <formula2>9.99999999999999E+23</formula2>
    </dataValidation>
    <dataValidation type="list" allowBlank="1" showInputMessage="1" showErrorMessage="1" errorTitle="Ошибка" error="Выберите значение из списка" prompt="Выберите значение из списка" sqref="L60">
      <formula1>kind_of_power_te_unit</formula1>
    </dataValidation>
    <dataValidation allowBlank="1" showInputMessage="1" showErrorMessage="1" prompt="Изменение значения по двойному щелчоку левой кнопки мыши" sqref="J56"/>
    <dataValidation type="list" allowBlank="1" showInputMessage="1" showErrorMessage="1" sqref="I34">
      <formula1>DESCRIPTION_TERRITORY</formula1>
    </dataValidation>
    <dataValidation type="textLength" operator="lessThan" allowBlank="1" showInputMessage="1" showErrorMessage="1" error="Допускается ввод не более 900 символов!" sqref="M29 M23">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F39 I82:J85 K72 K77 I97:J97 I101:J104">
      <formula1>"a"</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64 K56 F68">
      <formula1>900</formula1>
    </dataValidation>
    <dataValidation type="list" allowBlank="1" showInputMessage="1" showErrorMessage="1" errorTitle="Ошибка" error="Выберите значение из списка"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194:N196">
      <formula1>DESCRIPTION_TERRITORY</formula1>
    </dataValidation>
    <dataValidation allowBlank="1" showInputMessage="1" showErrorMessage="1" prompt="Выберите виды деятельности, выполнив двойной щелчок левой кнопки мыши по ячейке." sqref="G165:G167 G172 G154:G158 G191:G192 G160:G163 G176:G180 G182:G185 G187:G189 G169:G170"/>
    <dataValidation type="decimal" allowBlank="1" showErrorMessage="1" errorTitle="Ошибка" error="Допускается ввод только неотрицательных чисел!" sqref="Q147 O147 O150 Q150 Q140 O140 AC84 AE84 AC92 AE92 AE97 AE103 AC103 AC97 T60 H60:I60 AB60 X60 K60 M60 O60 Q60">
      <formula1>0</formula1>
      <formula2>9.99999999999999E+23</formula2>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64 T72 I72:J72 X72 T77 I77:J77 X77 F49"/>
    <dataValidation allowBlank="1" showInputMessage="1" showErrorMessage="1" prompt="Для выбора выполните двойной щелчок левой клавиши мыши по соответствующей ячейке." sqref="K194:K195 O194:O195 S154:S155 S194:S195 O154 K154 F165:F167 S176:S177 O176 K176 F172 K160 S160:S161 O160 F154:F158 K165 S165:S166 O165 O191 K169 S169:S170 O169 F160:F163 K182 S182:S183 O182 F176:F180 F182:F185 S187:S188 O187 F187:F189 F191:F192 S191:S192 F169:F170"/>
    <dataValidation type="textLength" operator="lessThanOrEqual" allowBlank="1" showInputMessage="1" showErrorMessage="1" errorTitle="Ошибка" error="Допускается ввод не более 900 символов!" sqref="L72:M72 E8 J194:J195 R194:R195 U72:W72 V194:W194 AB72 G13 M34 E39 E60 R191:R192 E64:F64 E68 G68 Q72:S72 M82 K82:K85 V154:W154 J154:J155 R154:R155 V176:W176 J176:J177 R176:R177 AI202 J202:J206 P202:P205 AI209 J209:J213 P209:P212 E4 L77:M77 U77:W77 AB77 Q77:S77 V172:W172 J172 R172 K91:K93 M101 K101:K104 K97 V160:W160 J160:J161 R160:R161 V165:W165 J165:J166 R165:R166 V169:W169 J169:J170 R169:R170 V182:W182 J182:J183 R182:R183 V187:W187 J187:J188 R187:R188 V191:W191 J191:J192 E43:F43 F48 F50:F51 I110">
      <formula1>900</formula1>
    </dataValidation>
  </dataValidations>
  <pageMargins left="0.75" right="0.75" top="1.00" bottom="1.00" header="0.50" footer="0.50"/>
  <pageSetup paperSize="9" pageOrder="downThenOver" orientation="portrait"/>
  <headerFooter>
    <oddHeader>&amp;L&amp;C&amp;R</oddHeader>
    <oddFooter>&amp;L&amp;C&amp;R</oddFooter>
    <evenHeader>&amp;L&amp;C&amp;R</evenHeader>
    <evenFooter>&amp;L&amp;C&amp;R</evenFooter>
  </headerFooter>
</worksheet>
</file>

<file path=xl/worksheets/sheet6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2EFC088-F3A5-B674-CEA8-B701732DA457}" mc:Ignorable="x14ac xr xr2 xr3">
  <sheetPr>
    <tabColor rgb="FFFFCC99"/>
  </sheetPr>
  <dimension ref="A1:H34"/>
  <sheetViews>
    <sheetView topLeftCell="A1" showGridLines="0" workbookViewId="0">
      <selection activeCell="A1" sqref="A1"/>
    </sheetView>
  </sheetViews>
  <sheetFormatPr defaultColWidth="43.140625" customHeight="1" defaultRowHeight="9"/>
  <cols>
    <col min="1" max="1" style="841" width="43.140625"/>
    <col min="2" max="2" style="841" width="43.140625" hidden="1"/>
    <col min="3" max="3" style="841" width="43.140625"/>
    <col min="4" max="5" style="841" width="36.421875" customWidth="1"/>
    <col min="6" max="8" style="982" width="36.421875" customWidth="1"/>
  </cols>
  <sheetData>
    <row customHeight="1" ht="9">
      <c r="A1" s="847" t="s">
        <v>2078</v>
      </c>
      <c r="B1" s="847"/>
      <c r="C1" s="983" t="s">
        <v>2079</v>
      </c>
      <c r="D1" s="981" t="s">
        <v>938</v>
      </c>
      <c r="E1" s="981" t="s">
        <v>984</v>
      </c>
      <c r="F1" s="981" t="s">
        <v>1037</v>
      </c>
      <c r="G1" s="981" t="s">
        <v>1024</v>
      </c>
      <c r="H1" s="981" t="s">
        <v>1749</v>
      </c>
    </row>
    <row customHeight="1" ht="9">
      <c r="A2" s="984" t="s">
        <v>2080</v>
      </c>
      <c r="B2" s="984"/>
      <c r="C2" s="985" t="str">
        <f>INDEX(TEMPLATE_NUMBER_FORM_LIST,MATCH(TEMPLATE_SPHERE,TEMPLATE_SPHERE_LIST,0))</f>
        <v>16</v>
      </c>
      <c r="D2" s="984" t="s">
        <v>1603</v>
      </c>
      <c r="E2" s="984" t="s">
        <v>162</v>
      </c>
      <c r="F2" s="986" t="s">
        <v>162</v>
      </c>
      <c r="G2" s="984" t="s">
        <v>162</v>
      </c>
      <c r="H2" s="987"/>
    </row>
    <row customHeight="1" ht="63">
      <c r="A3" s="847"/>
      <c r="B3" s="847" t="s">
        <v>123</v>
      </c>
      <c r="C3" s="985" t="str">
        <f>IF(TEMPLATE_SPHERE="HEAT",D3,IF(TEMPLATE_SPHERE="TKO",H3,E3))</f>
        <v>Форма 14. Информация о наличии (об отсутствии) технической возможности подключения (технологического присоединения) к системе теплоснабжения, а также о принятии и ходе рассмотрения заявок на заключение договора о подключении (технологическом присоединении) к системе теплоснабжения</v>
      </c>
      <c r="D3" s="985" t="s">
        <v>2081</v>
      </c>
      <c r="E3" s="985" t="str">
        <f>"Форма 8. Информация о наличии (об отсутствии) технической возможности подключения (технологического присоединения) к централизованной системе "&amp;TEMPLATE_SPHERE_RUS&amp;", а также о принятии и рассмотрении заявлений о заключении договоров о подключении (технологическом присоединении) к централизованной системе "&amp;TEMPLATE_SPHERE_RUS</f>
        <v>Форма 8. Информация о наличии (об отсутствии) технической возможности подключения (технологического присоединения) к централизованной системе теплоснабжения, а также о принятии и рассмотрении заявлений о заключении договоров о подключении (технологическом присоединении) к централизованной системе теплоснабжения</v>
      </c>
      <c r="F3" s="986"/>
      <c r="G3" s="987"/>
      <c r="H3" s="847"/>
    </row>
    <row customHeight="1" ht="243">
      <c r="A4" s="847" t="s">
        <v>2082</v>
      </c>
      <c r="B4" s="847" t="s">
        <v>107</v>
      </c>
      <c r="C4" s="985" t="str">
        <f>IF(TEMPLATE_SPHERE="HEAT",D4,IF(TEMPLATE_SPHERE="TKO",H4,E4))</f>
        <v>Форма 1. Информация о единых теплоснабжающих организациях в системе теплоснабжения,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не отнесенных к ценовым зонам теплоснабжения, и в поселениях и городских округах, отнесенных к ценовым зонам теплоснабжения в соответствии с Федеральным законом от 27 июля 2010 г. N 190-ФЗ "О теплоснабжении", до окончания переходного периода в ценовых зонах теплоснабжения (далее - регулируемые организации); о единых теплоснабжающих организациях,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отнесенных к ценовым зонам теплоснабжения в соответствии с Федеральным законом от 27 июля 2010 г. N 190-ФЗ "О теплоснабжении", после окончания переходного периода в ценовых зонах теплоснабжения (далее соответственно - единые теплоснабжающие организации в ценовых зонах теплоснабжения, теплоснабжающие организации в ценовых зонах теплоснабжения и теплосетевые организации в ценовых зонах теплоснабжения) (общая информация)</v>
      </c>
      <c r="D4" s="984" t="s">
        <v>2083</v>
      </c>
      <c r="E4" s="985" t="str">
        <f>"Форма 1. Информация об организации, осуществляющей "&amp;TEMPLATE_SPHERE_RUS_2&amp;" (общая информация)"</f>
        <v>Форма 1. Информация об организации, осуществляющей теплоснабжение (общая информация)</v>
      </c>
      <c r="F4" s="984"/>
      <c r="G4" s="984"/>
      <c r="H4" s="847" t="s">
        <v>2084</v>
      </c>
    </row>
    <row customHeight="1" ht="117">
      <c r="A5" s="847" t="s">
        <v>2085</v>
      </c>
      <c r="B5" s="847" t="s">
        <v>94</v>
      </c>
      <c r="C5" s="985" t="str">
        <f>IF(TEMPLATE_SPHERE="HEAT",D5,IF(TEMPLATE_SPHERE="TKO",H5,E5))</f>
        <v>Форма 15. Информация об условиях, на которых осуществляется поставка товаров (оказание услуг) в сфере теплоснабжения, цены (тарифы) на которые подлежат регулированию, и (или) условиях договоров о подключении (технологическом присоединении) к системе теплоснабжения, информация об условиях, на которых осуществляется поставка товаров (оказание услуг) по ценам, определяемым по соглашению сторон в соответствии с Федеральным законом от 27 июля 2010 г. N 190-ФЗ "О теплоснабжении", и (или) условиях договоров о подключении (технологическом присоединении) к системе теплоснабжения</v>
      </c>
      <c r="D5" s="847" t="s">
        <v>2086</v>
      </c>
      <c r="E5" s="850" t="str">
        <f>"Форма 9. Информация об условиях, на которых осуществляется поставка товаров (оказание услуг), тарифы на которые подлежат регулированию, и (или) условиях договоров о подключении (технологическом присоединении) к централизованной системе "&amp;TEMPLATE_SPHERE_RUS</f>
        <v>Форма 9. Информация об условиях, на которых осуществляется поставка товаров (оказание услуг), тарифы на которые подлежат регулированию, и (или) условиях договоров о подключении (технологическом присоединении) к централизованной системе теплоснабжения</v>
      </c>
      <c r="F5" s="987"/>
      <c r="G5" s="987"/>
      <c r="H5" s="847" t="s">
        <v>2087</v>
      </c>
    </row>
    <row customHeight="1" ht="90">
      <c r="A6" s="847" t="s">
        <v>2088</v>
      </c>
      <c r="B6" s="847" t="s">
        <v>95</v>
      </c>
      <c r="C6" s="985" t="str">
        <f>IF(TEMPLATE_SPHERE="HEAT",D6,E6)</f>
        <v>Форма 8. Информация о товарах (об услугах), поставляемых (оказываемых) единой теплоснабжающей организацией в ценовых зонах теплоснабжения по регулируемым ценам (тарифам) в сфере теплоснабжения, информация о товарах (об услугах), поставляемых (оказываемых) теплоснабжающей организацией в ценовых зонах теплоснабжения и теплосетевой организацией в ценовых зонах теплоснабжения по регулируемым ценам (тарифам) в сфере теплоснабжения</v>
      </c>
      <c r="D6" s="850" t="str">
        <f>IF(TITLE_TYPE_ORG="Регулируемая организация","Форма 7. Информация об основных показателях финансово-хозяйственной деятельности регулируемой организации, включая структуру основных производственных затрат (в части регулируемых видов деятельности)","Форма 8. Информация о товарах (об услугах), поставляемых (оказываемых) единой теплоснабжающей организацией в ценовых зонах теплоснабжения по регулируемым ценам (тарифам) "&amp;"в сфере теплоснабжения, информация о товарах (об услугах), поставляемых (оказываемых) теплоснабжающей организацией в ценовых"&amp;" зонах теплоснабжения и теплосетевой организацией в ценовых зонах теплоснабжения по регулируемым ценам (тарифам) в сфере теплоснабжения")</f>
        <v>Форма 8. Информация о товарах (об услугах), поставляемых (оказываемых) единой теплоснабжающей организацией в ценовых зонах теплоснабжения по регулируемым ценам (тарифам) в сфере теплоснабжения, информация о товарах (об услугах), поставляемых (оказываемых) теплоснабжающей организацией в ценовых зонах теплоснабжения и теплосетевой организацией в ценовых зонах теплоснабжения по регулируемым ценам (тарифам) в сфере теплоснабжения</v>
      </c>
      <c r="E6" s="850" t="str">
        <f>"Форма 4. Информация об основных показателях финансово-хозяйственной деятельности организации "&amp;TEMPLATE_SPHERE_RUS&amp;", включая структуру основных производственных затрат (в части регулируемых видов деятельности в сфере "&amp;TEMPLATE_SPHERE_RUS&amp;")"</f>
        <v>Форма 4. Информация об основных показателях финансово-хозяйственной деятельности организации теплоснабжения, включая структуру основных производственных затрат (в части регулируемых видов деятельности в сфере теплоснабжения)</v>
      </c>
      <c r="F6" s="847"/>
      <c r="G6" s="847"/>
      <c r="H6" s="987"/>
    </row>
    <row customHeight="1" ht="45">
      <c r="A7" s="847" t="s">
        <v>2089</v>
      </c>
      <c r="B7" s="847" t="s">
        <v>124</v>
      </c>
      <c r="C7" s="985" t="str">
        <f>IF(TEMPLATE_SPHERE="HEAT",D7,E7)</f>
        <v>Форма 11. Информация о расходах на капитальный и текущий ремонт основных средств</v>
      </c>
      <c r="D7" s="847" t="s">
        <v>2090</v>
      </c>
      <c r="E7" s="847" t="s">
        <v>2091</v>
      </c>
      <c r="F7" s="987"/>
      <c r="G7" s="987"/>
      <c r="H7" s="987"/>
    </row>
    <row customHeight="1" ht="108">
      <c r="A8" s="847" t="s">
        <v>2092</v>
      </c>
      <c r="B8" s="847" t="s">
        <v>96</v>
      </c>
      <c r="C8" s="985" t="str">
        <f>IF(TEMPLATE_SPHERE="HEAT",D8,E8)</f>
        <v>Форма 12. Информация об основных потребительских характеристиках товаров, услуг регулируемой организации, цены (тарифы) в сфере теплоснабжения на которые подлежат регулированию, об основных потребительских характеристиках товаров (услуг), поставляемых (оказываемых) единой теплоснабжающей организацией в ценовых зонах теплоснабжения, об основных потребительских характеристиках товаров (услуг), поставляемых (оказываемых) теплоснабжающей организацией в ценовых зонах теплоснабжения и теплосетевой организацией в ценовых зонах теплоснабжения</v>
      </c>
      <c r="D8" s="847" t="s">
        <v>1294</v>
      </c>
      <c r="E8" s="847" t="s">
        <v>2093</v>
      </c>
      <c r="F8" s="987"/>
      <c r="G8" s="987"/>
      <c r="H8" s="987"/>
    </row>
    <row customHeight="1" ht="99">
      <c r="A9" s="847" t="s">
        <v>2094</v>
      </c>
      <c r="B9" s="847"/>
      <c r="C9" s="847" t="s">
        <v>2095</v>
      </c>
      <c r="D9" s="847"/>
      <c r="E9" s="847"/>
      <c r="F9" s="987"/>
      <c r="G9" s="987"/>
      <c r="H9" s="987"/>
    </row>
    <row customHeight="1" ht="126">
      <c r="A10" s="847" t="s">
        <v>2096</v>
      </c>
      <c r="B10" s="847"/>
      <c r="C10" s="847" t="s">
        <v>2097</v>
      </c>
      <c r="D10" s="847"/>
      <c r="E10" s="847"/>
      <c r="F10" s="987"/>
      <c r="G10" s="987"/>
      <c r="H10" s="987"/>
    </row>
    <row customHeight="1" ht="108">
      <c r="A11" s="847" t="s">
        <v>2098</v>
      </c>
      <c r="B11" s="847"/>
      <c r="C11" s="847" t="s">
        <v>2099</v>
      </c>
      <c r="D11" s="847"/>
      <c r="E11" s="847"/>
      <c r="F11" s="987"/>
      <c r="G11" s="987"/>
      <c r="H11" s="987"/>
    </row>
    <row customHeight="1" ht="54">
      <c r="A12" s="847" t="s">
        <v>2100</v>
      </c>
      <c r="B12" s="847"/>
      <c r="C12" s="847" t="s">
        <v>2101</v>
      </c>
      <c r="D12" s="847"/>
      <c r="E12" s="847"/>
      <c r="F12" s="987"/>
      <c r="G12" s="987"/>
      <c r="H12" s="987"/>
    </row>
    <row customHeight="1" ht="45">
      <c r="A13" s="847" t="s">
        <v>2102</v>
      </c>
      <c r="B13" s="847"/>
      <c r="C13" s="847" t="s">
        <v>2103</v>
      </c>
      <c r="D13" s="847"/>
      <c r="E13" s="847"/>
      <c r="F13" s="987"/>
      <c r="G13" s="987"/>
      <c r="H13" s="987"/>
    </row>
    <row customHeight="1" ht="117">
      <c r="A14" s="847" t="s">
        <v>2104</v>
      </c>
      <c r="B14" s="847"/>
      <c r="C14" s="847" t="s">
        <v>2105</v>
      </c>
      <c r="D14" s="847"/>
      <c r="E14" s="847"/>
      <c r="F14" s="987"/>
      <c r="G14" s="987"/>
      <c r="H14" s="987"/>
    </row>
    <row customHeight="1" ht="117">
      <c r="A15" s="847" t="s">
        <v>2106</v>
      </c>
      <c r="B15" s="847"/>
      <c r="C15" s="847" t="s">
        <v>2107</v>
      </c>
      <c r="D15" s="847"/>
      <c r="E15" s="847"/>
      <c r="F15" s="987"/>
      <c r="G15" s="987"/>
      <c r="H15" s="987"/>
    </row>
    <row customHeight="1" ht="63">
      <c r="A16" s="847" t="s">
        <v>2108</v>
      </c>
      <c r="B16" s="847"/>
      <c r="C16" s="847" t="s">
        <v>2109</v>
      </c>
      <c r="D16" s="847"/>
      <c r="E16" s="847"/>
      <c r="F16" s="987"/>
      <c r="G16" s="987"/>
      <c r="H16" s="987"/>
    </row>
    <row customHeight="1" ht="54">
      <c r="A17" s="847" t="s">
        <v>2110</v>
      </c>
      <c r="B17" s="847"/>
      <c r="C17" s="985" t="s">
        <v>2111</v>
      </c>
      <c r="D17" s="847"/>
      <c r="E17" s="847"/>
      <c r="F17" s="987"/>
      <c r="G17" s="987"/>
      <c r="H17" s="987"/>
    </row>
    <row customHeight="1" ht="27">
      <c r="A18" s="847" t="s">
        <v>2112</v>
      </c>
      <c r="B18" s="847"/>
      <c r="C18" s="985" t="s">
        <v>2113</v>
      </c>
      <c r="D18" s="847"/>
      <c r="E18" s="847"/>
      <c r="F18" s="987"/>
      <c r="G18" s="987"/>
      <c r="H18" s="987"/>
    </row>
    <row customHeight="1" ht="54">
      <c r="A19" s="847" t="s">
        <v>2114</v>
      </c>
      <c r="B19" s="847"/>
      <c r="C19" s="985" t="s">
        <v>2115</v>
      </c>
      <c r="D19" s="847"/>
      <c r="E19" s="847"/>
      <c r="F19" s="987"/>
      <c r="G19" s="987"/>
      <c r="H19" s="987"/>
    </row>
    <row customHeight="1" ht="36">
      <c r="A20" s="847" t="s">
        <v>2116</v>
      </c>
      <c r="B20" s="847"/>
      <c r="C20" s="985" t="s">
        <v>2117</v>
      </c>
      <c r="D20" s="847"/>
      <c r="E20" s="847"/>
      <c r="F20" s="987"/>
      <c r="G20" s="987"/>
      <c r="H20" s="987"/>
    </row>
    <row customHeight="1" ht="36">
      <c r="A21" s="847" t="s">
        <v>2118</v>
      </c>
      <c r="B21" s="847"/>
      <c r="C21" s="985" t="s">
        <v>2119</v>
      </c>
      <c r="D21" s="847"/>
      <c r="E21" s="847"/>
      <c r="F21" s="987"/>
      <c r="G21" s="987"/>
      <c r="H21" s="987"/>
    </row>
    <row customHeight="1" ht="27">
      <c r="A22" s="847" t="s">
        <v>2120</v>
      </c>
      <c r="B22" s="847"/>
      <c r="C22" s="985" t="s">
        <v>2121</v>
      </c>
      <c r="D22" s="847"/>
      <c r="E22" s="847"/>
      <c r="F22" s="987"/>
      <c r="G22" s="987"/>
      <c r="H22" s="987"/>
    </row>
    <row customHeight="1" ht="36">
      <c r="A23" s="847" t="s">
        <v>2122</v>
      </c>
      <c r="B23" s="847"/>
      <c r="C23" s="985" t="s">
        <v>2123</v>
      </c>
      <c r="D23" s="847"/>
      <c r="E23" s="847"/>
      <c r="F23" s="987"/>
      <c r="G23" s="987"/>
      <c r="H23" s="987"/>
    </row>
    <row customHeight="1" ht="28.5">
      <c r="A24" s="847" t="s">
        <v>2124</v>
      </c>
      <c r="B24" s="847"/>
      <c r="C24" s="985" t="s">
        <v>2125</v>
      </c>
      <c r="D24" s="847"/>
      <c r="E24" s="847"/>
      <c r="F24" s="987"/>
      <c r="G24" s="987"/>
      <c r="H24" s="987"/>
    </row>
    <row customHeight="1" ht="36">
      <c r="A25" s="847" t="s">
        <v>2126</v>
      </c>
      <c r="B25" s="847"/>
      <c r="C25" s="985" t="s">
        <v>2127</v>
      </c>
      <c r="D25" s="847"/>
      <c r="E25" s="847"/>
      <c r="F25" s="987"/>
      <c r="G25" s="987"/>
      <c r="H25" s="987"/>
    </row>
    <row customHeight="1" ht="27">
      <c r="A26" s="847" t="s">
        <v>2128</v>
      </c>
      <c r="B26" s="847"/>
      <c r="C26" s="985" t="s">
        <v>2129</v>
      </c>
      <c r="D26" s="847"/>
      <c r="E26" s="847"/>
      <c r="F26" s="987"/>
      <c r="G26" s="987"/>
      <c r="H26" s="987"/>
    </row>
    <row customHeight="1" ht="36">
      <c r="A27" s="847" t="s">
        <v>2130</v>
      </c>
      <c r="B27" s="847"/>
      <c r="C27" s="985" t="s">
        <v>2131</v>
      </c>
      <c r="D27" s="847"/>
      <c r="E27" s="847"/>
      <c r="F27" s="987"/>
      <c r="G27" s="987"/>
      <c r="H27" s="987"/>
    </row>
    <row customHeight="1" ht="28.5">
      <c r="A28" s="847" t="s">
        <v>2132</v>
      </c>
      <c r="B28" s="847"/>
      <c r="C28" s="985" t="s">
        <v>2133</v>
      </c>
      <c r="D28" s="847"/>
      <c r="E28" s="847"/>
      <c r="F28" s="987"/>
      <c r="G28" s="987"/>
      <c r="H28" s="987"/>
    </row>
    <row customHeight="1" ht="126">
      <c r="A29" s="847" t="s">
        <v>2134</v>
      </c>
      <c r="B29" s="847" t="s">
        <v>114</v>
      </c>
      <c r="C29" s="985" t="str">
        <f>IF(TEMPLATE_SPHERE="HEAT",D29,IF(TEMPLATE_SPHERE="TKO",H29,E29))</f>
        <v>Форма 17. Информация о способах приобретения, стоимости и об объемах товаров, необходимых регулируемой организации для производства товаров (оказания услуг) в сфере теплоснабжения, цены (тарифы) на которые подлежат регулированию, о способах приобретения, стоимости и об объемах товаров, необходимых для производства товаров и (или) оказания услуг единой теплоснабжающей организацией в ценовых зонах теплоснабжения, о способах приобретения, стоимости и об объемах товаров, необходимых для производства товаров и (или) оказания услуг теплоснабжающей организацией в ценовых зонах теплоснабжения и теплосетевой организацией в ценовых зонах теплоснабжения</v>
      </c>
      <c r="D29" s="847" t="s">
        <v>2135</v>
      </c>
      <c r="E29" s="850" t="str">
        <f>"Форма 11. Информация о способах приобретения, стоимости и об объемах товаров (работ, услуг), необходимых организации "&amp;TEMPLATE_SPHERE_RUS&amp;" для производства товаров (оказания услуг) в сфере "&amp;TEMPLATE_SPHERE_RUS&amp;", тарифы на которые подлежат регулированию"</f>
        <v>Форма 11. Информация о способах приобретения, стоимости и об объемах товаров (работ, услуг), необходимых организации теплоснабжения для производства товаров (оказания услуг) в сфере теплоснабжения, тарифы на которые подлежат регулированию</v>
      </c>
      <c r="F29" s="987"/>
      <c r="G29" s="987"/>
      <c r="H29" s="847" t="s">
        <v>2136</v>
      </c>
    </row>
    <row customHeight="1" ht="36">
      <c r="A30" s="847" t="s">
        <v>2137</v>
      </c>
      <c r="B30" s="847"/>
      <c r="C30" s="985" t="str">
        <f>IF(TEMPLATE_SPHERE="HEAT",D30,IF(TEMPLATE_SPHERE="TKO",H30,E30))</f>
        <v>Форма 16. Информация о порядке выполнения технологических, технических и других мероприятий, связанных с подключением (технологическим присоединением) к системе теплоснабжения</v>
      </c>
      <c r="D30" s="847" t="s">
        <v>2138</v>
      </c>
      <c r="E30" s="850" t="str">
        <f>"Форма 10. Информация о порядке выполнения технологических, технических и других мероприятий, связанных с подключением (технологическим присоединением) к централизованной системе "&amp;TEMPLATE_SPHERE_RUS</f>
        <v>Форма 10. Информация о порядке выполнения технологических, технических и других мероприятий, связанных с подключением (технологическим присоединением) к централизованной системе теплоснабжения</v>
      </c>
      <c r="F30" s="987"/>
      <c r="G30" s="987"/>
      <c r="H30" s="987"/>
    </row>
    <row customHeight="1" ht="54">
      <c r="A31" s="847" t="s">
        <v>2139</v>
      </c>
      <c r="B31" s="847"/>
      <c r="C31" s="985" t="str">
        <f>IF(TEMPLATE_SPHERE="HEAT",D31,IF(TEMPLATE_SPHERE="TKO",H31,E31))</f>
        <v>Форма 2. Общая информация об объектах теплоснабжения регулируемой организации, единой теплоснабжающей организации в ценовых зонах теплоснабжения, теплоснабжающей организации в ценовых зонах теплоснабжения и теплосетевой организации в ценовых зонах теплоснабжения</v>
      </c>
      <c r="D31" s="847" t="s">
        <v>2140</v>
      </c>
      <c r="E31" s="850" t="str">
        <f>"Форма 1. Информация об организации, осуществляющей "&amp;TEMPLATE_SPHERE_RUS_2&amp;" (общая информация)"</f>
        <v>Форма 1. Информация об организации, осуществляющей теплоснабжение (общая информация)</v>
      </c>
      <c r="F31" s="987"/>
      <c r="G31" s="987"/>
      <c r="H31" s="987"/>
    </row>
    <row customHeight="1" ht="198">
      <c r="A32" s="847" t="s">
        <v>2141</v>
      </c>
      <c r="B32" s="847"/>
      <c r="C32" s="985" t="str">
        <f>IF(TEMPLATE_SPHERE="HEAT",D32,IF(TEMPLATE_SPHERE="TKO",H32,E32))</f>
        <v>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v>
      </c>
      <c r="D32" s="847" t="s">
        <v>2142</v>
      </c>
      <c r="E32" s="850" t="str">
        <f>"Форма 7. Информация об инвестиционных программах организации "&amp;TEMPLATE_SPHERE_RUS&amp;" и отчетах об их исполнении"</f>
        <v>Форма 7. Информация об инвестиционных программах организации теплоснабжения и отчетах об их исполнении</v>
      </c>
      <c r="F32" s="987"/>
      <c r="G32" s="987"/>
      <c r="H32" s="847" t="s">
        <v>2143</v>
      </c>
    </row>
    <row customHeight="1" ht="9">
      <c r="A33" s="847"/>
      <c r="B33" s="847"/>
      <c r="C33" s="985"/>
      <c r="D33" s="847"/>
      <c r="E33" s="847"/>
      <c r="F33" s="987"/>
      <c r="G33" s="987"/>
      <c r="H33" s="987"/>
    </row>
    <row customHeight="1" ht="9">
      <c r="A34" s="847"/>
      <c r="B34" s="847" t="s">
        <v>1641</v>
      </c>
      <c r="C34" s="985">
        <f>INDEX(TEMPLATE_NAME_FORM_LIST,B34,MATCH(TEMPLATE_SPHERE,TEMPLATE_SPHERE_LIST,0))</f>
        <v>0</v>
      </c>
      <c r="D34" s="847"/>
      <c r="E34" s="847"/>
      <c r="F34" s="987"/>
      <c r="G34" s="987"/>
      <c r="H34" s="987"/>
    </row>
  </sheetData>
  <sheetProtection sort="0" autoFilter="0" insertRows="0" insertColumns="1" deleteRows="0" deleteColumns="0"/>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63.xml><?xml version="1.0" encoding="utf-8"?>
<worksheet xmlns="http://schemas.openxmlformats.org/spreadsheetml/2006/main" xmlns:r="http://schemas.openxmlformats.org/officeDocument/2006/relationships" xmlns:mc="http://schemas.openxmlformats.org/markup-compatibility/2006" xmlns:xdr="http://schemas.openxmlformats.org/drawingml/2006/spreadsheetDrawing" xmlns:x14ac="http://schemas.microsoft.com/office/spreadsheetml/2009/9/ac" xmlns:xr="http://schemas.microsoft.com/office/spreadsheetml/2014/revision" xmlns:xr2="http://schemas.microsoft.com/office/spreadsheetml/2015/revision2" xmlns:xr3="http://schemas.microsoft.com/office/spreadsheetml/2016/revision3" xr:uid="{E364EB18-C24B-ACE5-0F28-9DEB69CE74D5}" mc:Ignorable="x14ac xr xr2 xr3">
  <sheetPr>
    <tabColor rgb="FFFFCC99"/>
  </sheetPr>
  <dimension ref="A1:AY154"/>
  <sheetViews>
    <sheetView topLeftCell="A1" showGridLines="0" workbookViewId="0">
      <selection activeCell="A1" sqref="A1"/>
    </sheetView>
  </sheetViews>
  <sheetFormatPr defaultColWidth="9.140625" customHeight="1" defaultRowHeight="9"/>
  <cols>
    <col min="1" max="2" style="841" width="9.140625"/>
    <col min="3" max="7" style="843" width="8.00390625" customWidth="1"/>
    <col min="8" max="12" style="843" width="8.57421875" customWidth="1"/>
    <col min="13" max="14" style="843" width="27.7109375" customWidth="1"/>
    <col min="15" max="19" style="843" width="5.140625" customWidth="1"/>
    <col min="20" max="24" style="843" width="27.7109375" customWidth="1"/>
    <col min="25" max="25" style="1002" width="1.8515625" customWidth="1"/>
    <col min="26" max="26" style="841" width="27.7109375" customWidth="1"/>
    <col min="27" max="27" style="852" width="27.7109375" customWidth="1"/>
    <col min="28" max="29" style="841" width="27.7109375" customWidth="1"/>
    <col min="30" max="30" style="841" width="3.8515625" customWidth="1"/>
    <col min="31" max="34" style="841" width="9.140625"/>
  </cols>
  <sheetData>
    <row s="840" customFormat="1" customHeight="1" ht="18">
      <c r="A1" s="899"/>
      <c r="B1" s="899"/>
      <c r="C1" s="899" t="s">
        <v>2144</v>
      </c>
      <c r="D1" s="899"/>
      <c r="E1" s="899"/>
      <c r="F1" s="899"/>
      <c r="G1" s="899"/>
      <c r="H1" s="899" t="s">
        <v>2145</v>
      </c>
      <c r="I1" s="899"/>
      <c r="J1" s="899"/>
      <c r="K1" s="899"/>
      <c r="L1" s="899"/>
      <c r="M1" s="899" t="s">
        <v>2146</v>
      </c>
      <c r="N1" s="899" t="s">
        <v>2147</v>
      </c>
      <c r="O1" s="2593" t="s">
        <v>2148</v>
      </c>
      <c r="P1" s="2593"/>
      <c r="Q1" s="2593"/>
      <c r="R1" s="2593"/>
      <c r="S1" s="2593"/>
      <c r="T1" s="2593" t="s">
        <v>2146</v>
      </c>
      <c r="U1" s="2593"/>
      <c r="V1" s="2593"/>
      <c r="W1" s="2593"/>
      <c r="X1" s="2593"/>
      <c r="Y1" s="1000"/>
      <c r="Z1" s="2593" t="s">
        <v>2149</v>
      </c>
      <c r="AA1" s="2593"/>
      <c r="AB1" s="2593"/>
      <c r="AC1" s="2593"/>
      <c r="AD1" s="2593"/>
    </row>
    <row customHeight="1" ht="18">
      <c r="A2" s="847"/>
      <c r="B2" s="847"/>
      <c r="C2" s="842" t="s">
        <v>938</v>
      </c>
      <c r="D2" s="842" t="s">
        <v>984</v>
      </c>
      <c r="E2" s="842" t="s">
        <v>1037</v>
      </c>
      <c r="F2" s="842" t="s">
        <v>1024</v>
      </c>
      <c r="G2" s="842" t="s">
        <v>1749</v>
      </c>
      <c r="H2" s="844"/>
      <c r="I2" s="844"/>
      <c r="J2" s="844"/>
      <c r="K2" s="844"/>
      <c r="L2" s="844"/>
      <c r="M2" s="844"/>
      <c r="N2" s="844"/>
      <c r="O2" s="842" t="s">
        <v>938</v>
      </c>
      <c r="P2" s="842" t="s">
        <v>984</v>
      </c>
      <c r="Q2" s="842" t="s">
        <v>1024</v>
      </c>
      <c r="R2" s="842" t="s">
        <v>1037</v>
      </c>
      <c r="S2" s="842" t="s">
        <v>1749</v>
      </c>
      <c r="T2" s="842" t="s">
        <v>938</v>
      </c>
      <c r="U2" s="842" t="s">
        <v>984</v>
      </c>
      <c r="V2" s="842" t="s">
        <v>1024</v>
      </c>
      <c r="W2" s="842" t="s">
        <v>1037</v>
      </c>
      <c r="X2" s="842" t="s">
        <v>1749</v>
      </c>
      <c r="Y2" s="842"/>
      <c r="Z2" s="842" t="s">
        <v>938</v>
      </c>
      <c r="AA2" s="851" t="s">
        <v>984</v>
      </c>
      <c r="AB2" s="842" t="s">
        <v>1024</v>
      </c>
      <c r="AC2" s="842" t="s">
        <v>1037</v>
      </c>
      <c r="AD2" s="842" t="s">
        <v>1749</v>
      </c>
    </row>
    <row customHeight="1" ht="162">
      <c r="A3" s="846" t="s">
        <v>26</v>
      </c>
      <c r="B3" s="846"/>
      <c r="C3" s="2597" t="s">
        <v>2150</v>
      </c>
      <c r="D3" s="2598"/>
      <c r="E3" s="2598"/>
      <c r="F3" s="2599"/>
      <c r="G3" s="844"/>
      <c r="H3" s="844"/>
      <c r="I3" s="844"/>
      <c r="J3" s="844"/>
      <c r="K3" s="844"/>
      <c r="L3" s="844"/>
      <c r="M3" s="844"/>
      <c r="N3" s="845" t="str">
        <f>INDEX(TEMPLATE_ORG_DATA_POINT,1,MATCH(TEMPLATE_SPHERE,TEMPLATE_SPHERE_LIST_FOR_NOTE,0))</f>
        <v>В случае если регулируемыми организациями,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оказываются услуги по теплоснабжению по нескольким технологически не связанным между собой централизованным системам теплоснабжения, и если в отношении указанных систем устанавливаются различные тарифы в сфере теплоснабжения, то информация раскрывается отдельно по каждой централизованной системе теплоснабжения.</v>
      </c>
      <c r="O3" s="844"/>
      <c r="P3" s="844"/>
      <c r="Q3" s="844"/>
      <c r="R3" s="844"/>
      <c r="S3" s="844"/>
      <c r="T3" s="844"/>
      <c r="U3" s="844"/>
      <c r="V3" s="844"/>
      <c r="W3" s="844"/>
      <c r="X3" s="844"/>
      <c r="Y3" s="1001"/>
      <c r="Z3" s="847" t="s">
        <v>2151</v>
      </c>
      <c r="AA3" s="844" t="s">
        <v>2152</v>
      </c>
      <c r="AB3" s="847" t="s">
        <v>2153</v>
      </c>
      <c r="AC3" s="847" t="s">
        <v>2154</v>
      </c>
      <c r="AD3" s="847"/>
      <c r="AG3" s="847"/>
      <c r="AH3" s="847"/>
    </row>
    <row customHeight="1" ht="9">
      <c r="A4" s="846"/>
      <c r="B4" s="846"/>
      <c r="C4" s="844"/>
      <c r="D4" s="844"/>
      <c r="E4" s="844"/>
      <c r="F4" s="844"/>
      <c r="G4" s="844"/>
      <c r="H4" s="844"/>
      <c r="I4" s="844"/>
      <c r="J4" s="844"/>
      <c r="K4" s="844"/>
      <c r="L4" s="844"/>
      <c r="M4" s="844"/>
      <c r="N4" s="844"/>
      <c r="O4" s="844"/>
      <c r="P4" s="844"/>
      <c r="Q4" s="844"/>
      <c r="R4" s="844"/>
      <c r="S4" s="844"/>
      <c r="T4" s="844"/>
      <c r="U4" s="844"/>
      <c r="V4" s="844"/>
      <c r="W4" s="844"/>
      <c r="X4" s="844"/>
      <c r="Y4" s="1001"/>
      <c r="Z4" s="847"/>
      <c r="AA4" s="850"/>
      <c r="AB4" s="847"/>
      <c r="AC4" s="847"/>
      <c r="AD4" s="847"/>
    </row>
    <row customHeight="1" ht="9">
      <c r="A5" s="846"/>
      <c r="B5" s="846"/>
      <c r="C5" s="844"/>
      <c r="D5" s="844"/>
      <c r="E5" s="844"/>
      <c r="F5" s="844"/>
      <c r="G5" s="844"/>
      <c r="H5" s="844"/>
      <c r="I5" s="844"/>
      <c r="J5" s="844"/>
      <c r="K5" s="844"/>
      <c r="L5" s="844"/>
      <c r="M5" s="844"/>
      <c r="N5" s="844"/>
      <c r="O5" s="844"/>
      <c r="P5" s="844"/>
      <c r="Q5" s="844"/>
      <c r="R5" s="844"/>
      <c r="S5" s="844"/>
      <c r="T5" s="844"/>
      <c r="U5" s="844"/>
      <c r="V5" s="844"/>
      <c r="W5" s="844"/>
      <c r="X5" s="844"/>
      <c r="Y5" s="1001"/>
      <c r="Z5" s="847"/>
      <c r="AA5" s="850"/>
      <c r="AB5" s="847"/>
      <c r="AC5" s="847"/>
      <c r="AD5" s="847"/>
    </row>
    <row customHeight="1" ht="9">
      <c r="A6" s="846"/>
      <c r="B6" s="846"/>
      <c r="C6" s="844"/>
      <c r="D6" s="844"/>
      <c r="E6" s="844"/>
      <c r="F6" s="844"/>
      <c r="G6" s="844"/>
      <c r="H6" s="844"/>
      <c r="I6" s="844"/>
      <c r="J6" s="844"/>
      <c r="K6" s="844"/>
      <c r="L6" s="844"/>
      <c r="M6" s="844"/>
      <c r="N6" s="844"/>
      <c r="O6" s="844"/>
      <c r="P6" s="844"/>
      <c r="Q6" s="844"/>
      <c r="R6" s="844"/>
      <c r="S6" s="844"/>
      <c r="T6" s="844"/>
      <c r="U6" s="844"/>
      <c r="V6" s="844"/>
      <c r="W6" s="844"/>
      <c r="X6" s="844"/>
      <c r="Y6" s="1001"/>
      <c r="Z6" s="847"/>
      <c r="AA6" s="850"/>
      <c r="AB6" s="847"/>
      <c r="AC6" s="847"/>
      <c r="AD6" s="847"/>
    </row>
    <row customHeight="1" ht="9">
      <c r="A7" s="846"/>
      <c r="B7" s="846"/>
      <c r="C7" s="844"/>
      <c r="D7" s="844"/>
      <c r="E7" s="844"/>
      <c r="F7" s="844"/>
      <c r="G7" s="844"/>
      <c r="H7" s="844"/>
      <c r="I7" s="844"/>
      <c r="J7" s="844"/>
      <c r="K7" s="844"/>
      <c r="L7" s="844"/>
      <c r="M7" s="844"/>
      <c r="N7" s="844"/>
      <c r="O7" s="844"/>
      <c r="P7" s="844"/>
      <c r="Q7" s="844"/>
      <c r="R7" s="844"/>
      <c r="S7" s="844"/>
      <c r="T7" s="844"/>
      <c r="U7" s="844"/>
      <c r="V7" s="844"/>
      <c r="W7" s="844"/>
      <c r="X7" s="844"/>
      <c r="Y7" s="1001"/>
      <c r="Z7" s="847"/>
      <c r="AA7" s="850"/>
      <c r="AB7" s="847"/>
      <c r="AC7" s="847"/>
      <c r="AD7" s="847"/>
    </row>
    <row customHeight="1" ht="9">
      <c r="A8" s="846"/>
      <c r="B8" s="846"/>
      <c r="C8" s="844"/>
      <c r="D8" s="844"/>
      <c r="E8" s="844"/>
      <c r="F8" s="844"/>
      <c r="G8" s="844"/>
      <c r="H8" s="844"/>
      <c r="I8" s="844"/>
      <c r="J8" s="844"/>
      <c r="K8" s="844"/>
      <c r="L8" s="844"/>
      <c r="M8" s="844"/>
      <c r="N8" s="844"/>
      <c r="O8" s="844"/>
      <c r="P8" s="844"/>
      <c r="Q8" s="844"/>
      <c r="R8" s="844"/>
      <c r="S8" s="844"/>
      <c r="T8" s="844"/>
      <c r="U8" s="844"/>
      <c r="V8" s="844"/>
      <c r="W8" s="844"/>
      <c r="X8" s="844"/>
      <c r="Y8" s="1001"/>
      <c r="Z8" s="847"/>
      <c r="AA8" s="850"/>
      <c r="AB8" s="847"/>
      <c r="AC8" s="847"/>
      <c r="AD8" s="847"/>
    </row>
    <row customHeight="1" ht="9">
      <c r="A9" s="846"/>
      <c r="B9" s="846"/>
      <c r="C9" s="844"/>
      <c r="D9" s="844"/>
      <c r="E9" s="844"/>
      <c r="F9" s="844"/>
      <c r="G9" s="844"/>
      <c r="H9" s="844"/>
      <c r="I9" s="844"/>
      <c r="J9" s="844"/>
      <c r="K9" s="844"/>
      <c r="L9" s="844"/>
      <c r="M9" s="844"/>
      <c r="N9" s="844"/>
      <c r="O9" s="844"/>
      <c r="P9" s="844"/>
      <c r="Q9" s="844"/>
      <c r="R9" s="844"/>
      <c r="S9" s="844"/>
      <c r="T9" s="844"/>
      <c r="U9" s="844"/>
      <c r="V9" s="844"/>
      <c r="W9" s="844"/>
      <c r="X9" s="844"/>
      <c r="Y9" s="1001"/>
      <c r="Z9" s="847"/>
      <c r="AA9" s="850"/>
      <c r="AB9" s="847"/>
      <c r="AC9" s="847"/>
      <c r="AD9" s="847"/>
    </row>
    <row customHeight="1" ht="9">
      <c r="A10" s="900"/>
      <c r="B10" s="900"/>
      <c r="C10" s="900"/>
      <c r="D10" s="900"/>
      <c r="E10" s="900"/>
      <c r="F10" s="900"/>
      <c r="G10" s="900"/>
      <c r="H10" s="900"/>
      <c r="I10" s="900"/>
      <c r="J10" s="900"/>
      <c r="K10" s="900"/>
      <c r="L10" s="900"/>
      <c r="M10" s="900"/>
      <c r="N10" s="900"/>
      <c r="O10" s="900"/>
      <c r="P10" s="900"/>
      <c r="Q10" s="900"/>
      <c r="R10" s="900"/>
      <c r="S10" s="900"/>
      <c r="T10" s="900"/>
      <c r="U10" s="900"/>
      <c r="V10" s="900"/>
      <c r="W10" s="900"/>
      <c r="X10" s="900"/>
      <c r="Y10" s="900"/>
      <c r="Z10" s="900"/>
      <c r="AA10" s="900"/>
      <c r="AB10" s="900"/>
      <c r="AC10" s="900"/>
      <c r="AD10" s="900"/>
    </row>
    <row customHeight="1" ht="45">
      <c r="A11" s="2594" t="s">
        <v>33</v>
      </c>
      <c r="B11" s="900">
        <v>1</v>
      </c>
      <c r="C11" s="2600" t="s">
        <v>1692</v>
      </c>
      <c r="D11" s="2600" t="s">
        <v>1688</v>
      </c>
      <c r="E11" s="2600" t="s">
        <v>1782</v>
      </c>
      <c r="F11" s="2600" t="s">
        <v>2155</v>
      </c>
      <c r="G11" s="2600"/>
      <c r="H11" s="899" t="s">
        <v>2156</v>
      </c>
      <c r="I11" s="899"/>
      <c r="J11" s="899"/>
      <c r="K11" s="899"/>
      <c r="L11" s="899"/>
      <c r="M11" s="845" t="str">
        <f>IF(TEMPLATE_SPHERE="HEAT",T11,U11)</f>
        <v>Количество поданных заявок</v>
      </c>
      <c r="N11" s="845" t="str">
        <f>IF(TEMPLATE_SPHERE="HEAT",Z11,AA11)</f>
        <v>Указывается количество поданных заявок на подключение (технологическое присоединение) к системе теплоснабжения в течение отчетного квартала.</v>
      </c>
      <c r="O11" s="844"/>
      <c r="P11" s="844"/>
      <c r="Q11" s="844"/>
      <c r="R11" s="844"/>
      <c r="S11" s="844"/>
      <c r="T11" s="844" t="s">
        <v>2157</v>
      </c>
      <c r="U11" s="844" t="s">
        <v>2158</v>
      </c>
      <c r="V11" s="844"/>
      <c r="W11" s="844"/>
      <c r="X11" s="844"/>
      <c r="Y11" s="1001"/>
      <c r="Z11" s="847" t="s">
        <v>2159</v>
      </c>
      <c r="AA11" s="850" t="str">
        <f>"Указывается количество поданных заявлений о заключении договоров о подключении (технологическом присоединении) к централизованной системе "&amp;TEMPLATE_SPHERE_RUS&amp;" в течение одного квартала."</f>
        <v>Указывается количество поданных заявлений о заключении договоров о подключении (технологическом присоединении) к централизованной системе теплоснабжения в течение одного квартала.</v>
      </c>
      <c r="AB11" s="847"/>
      <c r="AC11" s="847"/>
      <c r="AD11" s="847"/>
    </row>
    <row customHeight="1" ht="45">
      <c r="A12" s="2594"/>
      <c r="B12" s="900">
        <v>2</v>
      </c>
      <c r="C12" s="2601"/>
      <c r="D12" s="2601"/>
      <c r="E12" s="2601"/>
      <c r="F12" s="2601"/>
      <c r="G12" s="2601"/>
      <c r="H12" s="899" t="s">
        <v>2160</v>
      </c>
      <c r="I12" s="899"/>
      <c r="J12" s="899"/>
      <c r="K12" s="899"/>
      <c r="L12" s="899"/>
      <c r="M12" s="845" t="str">
        <f>IF(TEMPLATE_SPHERE="HEAT",T12,U12)</f>
        <v>Количество рассмотренных заявок</v>
      </c>
      <c r="N12" s="845" t="str">
        <f>IF(TEMPLATE_SPHERE="HEAT",Z12,AA12)</f>
        <v>Указывается количество исполненных заявок на подключение (технологическое присоединение) к системе теплоснабжения в течение отчетного квартала.</v>
      </c>
      <c r="O12" s="844"/>
      <c r="P12" s="844"/>
      <c r="Q12" s="844"/>
      <c r="R12" s="844"/>
      <c r="S12" s="844"/>
      <c r="T12" s="844" t="s">
        <v>2161</v>
      </c>
      <c r="U12" s="844" t="s">
        <v>2162</v>
      </c>
      <c r="V12" s="844"/>
      <c r="W12" s="844"/>
      <c r="X12" s="844"/>
      <c r="Y12" s="1001"/>
      <c r="Z12" s="847" t="s">
        <v>2163</v>
      </c>
      <c r="AA12" s="850" t="str">
        <f>"Указывается количество исполненных заявлений о заключении договоров о подключении (технологическом присоединении) к централизованной системе "&amp;TEMPLATE_SPHERE_RUS&amp;" в течение одного квартала."</f>
        <v>Указывается количество исполненных заявлений о заключении договоров о подключении (технологическом присоединении) к централизованной системе теплоснабжения в течение одного квартала.</v>
      </c>
      <c r="AB12" s="847"/>
      <c r="AC12" s="847"/>
      <c r="AD12" s="847"/>
    </row>
    <row customHeight="1" ht="72">
      <c r="A13" s="2594"/>
      <c r="B13" s="900">
        <v>3</v>
      </c>
      <c r="C13" s="2601"/>
      <c r="D13" s="2601"/>
      <c r="E13" s="2601"/>
      <c r="F13" s="2601"/>
      <c r="G13" s="2601"/>
      <c r="H13" s="2593" t="s">
        <v>2164</v>
      </c>
      <c r="I13" s="899"/>
      <c r="J13" s="899"/>
      <c r="K13" s="899"/>
      <c r="L13" s="899"/>
      <c r="M13" s="845" t="str">
        <f>IF(TEMPLATE_SPHERE="HEAT",T13,U13)</f>
        <v>Количество заявок на заключение договора о подключении (технологическом присоединении) к системе теплоснабжения, по которым регулируемой организацией отказано в заключении договора о подключении (технологическом присоединении) к системе теплоснабжения</v>
      </c>
      <c r="N13" s="845" t="str">
        <f>IF(TEMPLATE_SPHERE="HEAT",Z13,AA13)</f>
        <v>Указывается количество заявок с решением об отказе в течение отчетного квартала.</v>
      </c>
      <c r="O13" s="844"/>
      <c r="P13" s="845"/>
      <c r="Q13" s="845"/>
      <c r="R13" s="845"/>
      <c r="S13" s="844"/>
      <c r="T13" s="844" t="s">
        <v>2165</v>
      </c>
      <c r="U13" s="845" t="s">
        <v>2166</v>
      </c>
      <c r="V13" s="845"/>
      <c r="W13" s="845"/>
      <c r="X13" s="844"/>
      <c r="Y13" s="1001"/>
      <c r="Z13" s="847" t="s">
        <v>2167</v>
      </c>
      <c r="AA13" s="850" t="str">
        <f>"Указывается количество заявлений о заключении договоров о подключении (технологическом присоединении) к централизованной системе "&amp;TEMPLATE_SPHERE_RUS&amp;", по которым организацией "&amp;TEMPLATE_SPHERE_RUS&amp;" отказано в заключении договора о подключении (технологическом присоединении) к централизованной системе "&amp;TEMPLATE_SPHERE_RUS&amp;" с указанием причин, в течение одного квартала."</f>
        <v>Указывается количество заявлений о заключении договоров о подключении (технологическом присоединении) к централизованной системе теплоснабжения, по которым организацией теплоснабжения отказано в заключении договора о подключении (технологическом присоединении) к централизованной системе теплоснабжения с указанием причин, в течение одного квартала.</v>
      </c>
      <c r="AB13" s="847"/>
      <c r="AC13" s="847"/>
      <c r="AD13" s="847"/>
    </row>
    <row customHeight="1" ht="45">
      <c r="A14" s="2594"/>
      <c r="B14" s="900">
        <v>4</v>
      </c>
      <c r="C14" s="2601"/>
      <c r="D14" s="2601"/>
      <c r="E14" s="2601"/>
      <c r="F14" s="2601"/>
      <c r="G14" s="2601"/>
      <c r="H14" s="2593"/>
      <c r="I14" s="902"/>
      <c r="J14" s="902"/>
      <c r="K14" s="902"/>
      <c r="L14" s="902"/>
      <c r="M14" s="848" t="str">
        <f>IF(TEMPLATE_SPHERE="HEAT",T14,U14)</f>
        <v>Причины отказа в заключении договора о подключении (технологическом присоединении) к системе теплоснабжения</v>
      </c>
      <c r="N14" s="845" t="str">
        <f>IF(TEMPLATE_SPHERE="HEAT",Z14,AA14)</f>
        <v>Указывается текстовое описание причин принятия решений.
Не заполняется в случае, если решения об отказе в течение отчетного периода не принимались.</v>
      </c>
      <c r="O14" s="844"/>
      <c r="P14" s="845"/>
      <c r="Q14" s="845"/>
      <c r="R14" s="845"/>
      <c r="S14" s="844"/>
      <c r="T14" s="844" t="s">
        <v>2168</v>
      </c>
      <c r="U14" s="845" t="str">
        <f>"Причины отказа в заключении договора о подключении (технологическом присоединении) к централизованной системе "&amp;TEMPLATE_SPHERE_RUS</f>
        <v>Причины отказа в заключении договора о подключении (технологическом присоединении) к централизованной системе теплоснабжения</v>
      </c>
      <c r="V14" s="845"/>
      <c r="W14" s="845"/>
      <c r="X14" s="844"/>
      <c r="Y14" s="1001"/>
      <c r="Z14" s="847" t="s">
        <v>2169</v>
      </c>
      <c r="AA14" s="850" t="s">
        <v>2169</v>
      </c>
      <c r="AB14" s="847"/>
      <c r="AC14" s="847"/>
      <c r="AD14" s="847"/>
    </row>
    <row customHeight="1" ht="108">
      <c r="A15" s="2594"/>
      <c r="B15" s="900">
        <v>5</v>
      </c>
      <c r="C15" s="2601"/>
      <c r="D15" s="2601"/>
      <c r="E15" s="2601"/>
      <c r="F15" s="2601"/>
      <c r="G15" s="2601"/>
      <c r="H15" s="2595" t="s">
        <v>2170</v>
      </c>
      <c r="I15" s="901"/>
      <c r="J15" s="901"/>
      <c r="K15" s="901"/>
      <c r="L15" s="901"/>
      <c r="M15" s="850" t="str">
        <f>IF(TEMPLATE_SPHERE="HEAT",T15,U15)</f>
        <v>Резерв мощности источников тепловой энергии, входящих в систему теплоснабжения, в течение одного квартала, в том числе:</v>
      </c>
      <c r="N15" s="849" t="str">
        <f>IF(TEMPLATE_SPHERE="HEAT",Z15,AA15)</f>
        <v>Указывается резерв мощности для системы теплоснабжения, тариф для которой не является отличным от тарифов других систем теплоснабжения регулируемой организации.
При использовании регулируемой организацией нескольких систем теплоснабжения информация о резерве мощности источников тепловой энергии таких систем раскрывается в отношении каждой системы теплоснабжения в отдельных строках. </v>
      </c>
      <c r="O15" s="844"/>
      <c r="P15" s="845"/>
      <c r="Q15" s="845"/>
      <c r="R15" s="845"/>
      <c r="S15" s="844"/>
      <c r="T15" s="844" t="s">
        <v>2171</v>
      </c>
      <c r="U15" s="845" t="str">
        <f>"Наличие свободной мощности (резерва мощности) на соответствующих объектах централизованных систем "&amp;TEMPLATE_SPHERE_RUS&amp;" в течение одного квартала, в том числе:"</f>
        <v>Наличие свободной мощности (резерва мощности) на соответствующих объектах централизованных систем теплоснабжения в течение одного квартала, в том числе:</v>
      </c>
      <c r="V15" s="845"/>
      <c r="W15" s="845"/>
      <c r="X15" s="844"/>
      <c r="Y15" s="1001"/>
      <c r="Z15" s="847" t="s">
        <v>2172</v>
      </c>
      <c r="AA15" s="850" t="str">
        <f>"Указывается наличие свободной мощности (резерв мощности) на соответствующих объектах централизованной системы "&amp;TEMPLATE_SPHERE_RUS&amp;" (совокупности централизованных систем "&amp;TEMPLATE_SPHERE_RUS&amp;") в случае, если для них установлены одинаковые тарифы в сфере "&amp;TEMPLATE_SPHERE_RUS&amp;".
В случае если регулируемыми организациями оказываются услуги "&amp;TEMPLATE_SPHERE_RUS&amp;" по нескольким технологически не связанным между собой централизованным системам "&amp;TEMPLATE_SPHERE_RUS&amp;", и если в отношении указанных систем устанавливаются различные тарифы в сфере "&amp;TEMPLATE_SPHERE_RUS&amp;", то информация раскрывается отдельно по каждой централизованной системе "&amp;TEMPLATE_SPHERE_RUS&amp;"."</f>
        <v>Указывается наличие свободной мощности (резерв мощности) на соответствующих объектах централизованной системы теплоснабжения (совокупности централизованных систем теплоснабжения) в случае, если для них установлены одинаковые тарифы в сфере теплоснабжения.
В случае если регулируемыми организациями оказываются услуги теплоснабжения по нескольким технологически не связанным между собой централизованным системам теплоснабжения, и если в отношении указанных систем устанавливаются различные тарифы в сфере теплоснабжения, то информация раскрывается отдельно по каждой централизованной системе теплоснабжения.</v>
      </c>
      <c r="AB15" s="847"/>
      <c r="AC15" s="847"/>
      <c r="AD15" s="847"/>
    </row>
    <row customHeight="1" ht="108">
      <c r="A16" s="900"/>
      <c r="B16" s="900">
        <v>6</v>
      </c>
      <c r="C16" s="2602"/>
      <c r="D16" s="2602"/>
      <c r="E16" s="2602"/>
      <c r="F16" s="2602"/>
      <c r="G16" s="2602"/>
      <c r="H16" s="2596"/>
      <c r="I16" s="963"/>
      <c r="J16" s="963"/>
      <c r="K16" s="963"/>
      <c r="L16" s="963"/>
      <c r="M16" s="893"/>
      <c r="N16" s="849" t="str">
        <f>IF(TEMPLATE_SPHERE="HEAT",Z16,AA16)</f>
        <v>Указывается резерв мощности для системы теплоснабжения, тариф для которой не является отличным от тарифов других систем теплоснабжения регулируемой организации.
При использовании регулируемой организацией нескольких систем теплоснабжения информация о резерве мощности источников тепловой энергии таких систем раскрывается в отношении каждой системы теплоснабжения в отдельных строках. </v>
      </c>
      <c r="O16" s="844"/>
      <c r="P16" s="845"/>
      <c r="Q16" s="845"/>
      <c r="R16" s="845"/>
      <c r="S16" s="844"/>
      <c r="T16" s="844"/>
      <c r="U16" s="845"/>
      <c r="V16" s="845"/>
      <c r="W16" s="845"/>
      <c r="X16" s="844"/>
      <c r="Y16" s="1001"/>
      <c r="Z16" s="847" t="s">
        <v>2172</v>
      </c>
      <c r="AA16" s="850" t="str">
        <f>"Указывается наличие свободной мощности (резерв мощности) для централизованной системы "&amp;TEMPLATE_SPHERE_RUS&amp;", тариф для которой не является отличным от тарифов других централизованных систем "&amp;TEMPLATE_SPHERE_RUS&amp;" регулируемой организации.
При использовании регулируемой организацией нескольких централизованных систем "&amp;TEMPLATE_SPHERE_RUS&amp;" информация о наличии свободной мощности (резерве мощности) на соответствующих объектах централизованных систем "&amp;TEMPLATE_SPHERE_RUS&amp;" публикуется в отношении каждой централизованной системы "&amp;TEMPLATE_SPHERE_RUS&amp;" в отдельных строках."</f>
        <v>Указывается наличие свободной мощности (резерв мощности) для централизованной системы теплоснабжения, тариф для которой не является отличным от тарифов других централизованных систем теплоснабжения регулируемой организации.
При использовании регулируемой организацией нескольких централизованных систем теплоснабжения информация о наличии свободной мощности (резерве мощности) на соответствующих объектах централизованных систем теплоснабжения публикуется в отношении каждой централизованной системы теплоснабжения в отдельных строках.</v>
      </c>
      <c r="AB16" s="847"/>
      <c r="AC16" s="847"/>
      <c r="AD16" s="847"/>
    </row>
    <row customHeight="1" ht="9">
      <c r="A17" s="900"/>
      <c r="B17" s="900"/>
      <c r="C17" s="900">
        <v>22</v>
      </c>
      <c r="D17" s="900">
        <v>21</v>
      </c>
      <c r="E17" s="900">
        <v>42</v>
      </c>
      <c r="F17" s="900">
        <v>63</v>
      </c>
      <c r="G17" s="900"/>
      <c r="H17" s="900"/>
      <c r="I17" s="900"/>
      <c r="J17" s="900"/>
      <c r="K17" s="900"/>
      <c r="L17" s="900"/>
      <c r="M17" s="900"/>
      <c r="N17" s="900"/>
      <c r="O17" s="900"/>
      <c r="P17" s="900"/>
      <c r="Q17" s="900"/>
      <c r="R17" s="900"/>
      <c r="S17" s="900"/>
      <c r="T17" s="900"/>
      <c r="U17" s="900"/>
      <c r="V17" s="900"/>
      <c r="W17" s="900"/>
      <c r="X17" s="900"/>
      <c r="Y17" s="900"/>
      <c r="Z17" s="900"/>
      <c r="AA17" s="900"/>
      <c r="AB17" s="900"/>
      <c r="AC17" s="900"/>
      <c r="AD17" s="900"/>
    </row>
    <row customHeight="1" ht="27">
      <c r="A18" s="846" t="s">
        <v>1785</v>
      </c>
      <c r="B18" s="900">
        <v>1</v>
      </c>
      <c r="C18" s="844" t="s">
        <v>2156</v>
      </c>
      <c r="D18" s="968" t="s">
        <v>2156</v>
      </c>
      <c r="E18" s="844" t="s">
        <v>2156</v>
      </c>
      <c r="F18" s="844" t="s">
        <v>2156</v>
      </c>
      <c r="G18" s="844"/>
      <c r="H18" s="1003"/>
      <c r="I18" s="1006">
        <f>INDEX(TEMPLATE_NUMBER_POINT_FHD,B18,MATCH(TEMPLATE_SPHERE,TEMPLATE_SPHERE_LIST_FOR_NOTE,0))</f>
        <v>1</v>
      </c>
      <c r="J18" s="1006" t="str">
        <f>INDEX(TEMPLATE_DATA_POINT_FHD,B18,MATCH(TEMPLATE_SPHERE,TEMPLATE_SPHERE_LIST_FOR_NOTE,0))</f>
        <v>Выручка от регулируемого вида деятельности с распределением по видам деятельности</v>
      </c>
      <c r="K18" s="1006" t="str">
        <f>INDEX(TEMPLATE_NOTE_POINT_FHD,B18,MATCH(TEMPLATE_SPHERE,TEMPLATE_SPHERE_LIST_FOR_NOTE,0))</f>
        <v>Указывается выручка от регулируемого вида деятельности с распределением по видам деятельности.</v>
      </c>
      <c r="L18" s="845">
        <f>IF(I18=0,"",I18)</f>
        <v>1</v>
      </c>
      <c r="M18" s="845" t="str">
        <f>IF(J18=0,"",J18)</f>
        <v>Выручка от регулируемого вида деятельности с распределением по видам деятельности</v>
      </c>
      <c r="N18" s="845" t="str">
        <f>IF(K18=0,"",K18)</f>
        <v>Указывается выручка от регулируемого вида деятельности с распределением по видам деятельности.</v>
      </c>
      <c r="O18" s="958">
        <v>1</v>
      </c>
      <c r="P18" s="958">
        <v>1</v>
      </c>
      <c r="Q18" s="958">
        <v>1</v>
      </c>
      <c r="R18" s="958">
        <v>1</v>
      </c>
      <c r="S18" s="958"/>
      <c r="T18" s="965" t="s">
        <v>2173</v>
      </c>
      <c r="U18" s="847" t="s">
        <v>2174</v>
      </c>
      <c r="V18" s="847" t="s">
        <v>2175</v>
      </c>
      <c r="W18" s="847" t="s">
        <v>2176</v>
      </c>
      <c r="X18" s="844"/>
      <c r="Y18" s="1001"/>
      <c r="Z18" s="847" t="s">
        <v>2177</v>
      </c>
      <c r="AA18" s="850" t="s">
        <v>2178</v>
      </c>
      <c r="AB18" s="850" t="s">
        <v>2178</v>
      </c>
      <c r="AC18" s="850" t="s">
        <v>2178</v>
      </c>
      <c r="AD18" s="847"/>
    </row>
    <row customHeight="1" ht="36">
      <c r="A19" s="846"/>
      <c r="B19" s="900">
        <v>2</v>
      </c>
      <c r="C19" s="844" t="s">
        <v>2160</v>
      </c>
      <c r="D19" s="968" t="s">
        <v>2160</v>
      </c>
      <c r="E19" s="844" t="s">
        <v>2160</v>
      </c>
      <c r="F19" s="844" t="s">
        <v>2160</v>
      </c>
      <c r="G19" s="844"/>
      <c r="H19" s="1003"/>
      <c r="I19" s="1006">
        <f>INDEX(TEMPLATE_NUMBER_POINT_FHD,B19,MATCH(TEMPLATE_SPHERE,TEMPLATE_SPHERE_LIST_FOR_NOTE,0))</f>
        <v>2</v>
      </c>
      <c r="J19" s="1006" t="str">
        <f>INDEX(TEMPLATE_DATA_POINT_FHD,B19,MATCH(TEMPLATE_SPHERE,TEMPLATE_SPHERE_LIST_FOR_NOTE,0))</f>
        <v>Себестоимость производимых товаров (оказываемых услуг) по регулируемому виду деятельности, включая:</v>
      </c>
      <c r="K19" s="1006" t="str">
        <f>INDEX(TEMPLATE_NOTE_POINT_FHD,B19,MATCH(TEMPLATE_SPHERE,TEMPLATE_SPHERE_LIST_FOR_NOTE,0))</f>
        <v>Указывается суммарная себестоимость производимых товаров.</v>
      </c>
      <c r="L19" s="845">
        <f>IF(I19=0,"",I19)</f>
        <v>2</v>
      </c>
      <c r="M19" s="845" t="str">
        <f>IF(J19=0,"",J19)</f>
        <v>Себестоимость производимых товаров (оказываемых услуг) по регулируемому виду деятельности, включая:</v>
      </c>
      <c r="N19" s="845" t="str">
        <f>IF(K19=0,"",K19)</f>
        <v>Указывается суммарная себестоимость производимых товаров.</v>
      </c>
      <c r="O19" s="958">
        <v>2</v>
      </c>
      <c r="P19" s="958">
        <v>2</v>
      </c>
      <c r="Q19" s="958">
        <v>2</v>
      </c>
      <c r="R19" s="958">
        <v>2</v>
      </c>
      <c r="S19" s="958"/>
      <c r="T19" s="965" t="s">
        <v>2179</v>
      </c>
      <c r="U19" s="847" t="s">
        <v>2180</v>
      </c>
      <c r="V19" s="847" t="s">
        <v>2181</v>
      </c>
      <c r="W19" s="847" t="s">
        <v>2182</v>
      </c>
      <c r="X19" s="844"/>
      <c r="Y19" s="1001"/>
      <c r="Z19" s="847" t="s">
        <v>2183</v>
      </c>
      <c r="AA19" s="850" t="s">
        <v>2183</v>
      </c>
      <c r="AB19" s="850" t="s">
        <v>2183</v>
      </c>
      <c r="AC19" s="850" t="s">
        <v>2183</v>
      </c>
      <c r="AD19" s="847"/>
    </row>
    <row customHeight="1" ht="27">
      <c r="A20" s="846"/>
      <c r="B20" s="900">
        <v>3</v>
      </c>
      <c r="C20" s="844">
        <v>1</v>
      </c>
      <c r="D20" s="968"/>
      <c r="E20" s="844"/>
      <c r="F20" s="844"/>
      <c r="G20" s="844"/>
      <c r="H20" s="1003"/>
      <c r="I20" s="1006" t="str">
        <f>INDEX(TEMPLATE_NUMBER_POINT_FHD,B20,MATCH(TEMPLATE_SPHERE,TEMPLATE_SPHERE_LIST_FOR_NOTE,0))</f>
        <v>2.1</v>
      </c>
      <c r="J20" s="1006" t="str">
        <f>INDEX(TEMPLATE_DATA_POINT_FHD,B20,MATCH(TEMPLATE_SPHERE,TEMPLATE_SPHERE_LIST_FOR_NOTE,0))</f>
        <v>Расходы на приобретаемую тепловую энергию (мощность), теплоноситель</v>
      </c>
      <c r="K20" s="1006">
        <f>INDEX(TEMPLATE_NOTE_POINT_FHD,B20,MATCH(TEMPLATE_SPHERE,TEMPLATE_SPHERE_LIST_FOR_NOTE,0))</f>
        <v>0</v>
      </c>
      <c r="L20" s="845" t="str">
        <f>IF(I20=0,"",I20)</f>
        <v>2.1</v>
      </c>
      <c r="M20" s="845" t="str">
        <f>IF(J20=0,"",J20)</f>
        <v>Расходы на приобретаемую тепловую энергию (мощность), теплоноситель</v>
      </c>
      <c r="N20" s="845" t="str">
        <f>IF(K20=0,"",K20)</f>
        <v/>
      </c>
      <c r="O20" s="958" t="s">
        <v>839</v>
      </c>
      <c r="P20" s="958" t="s">
        <v>839</v>
      </c>
      <c r="Q20" s="958" t="s">
        <v>839</v>
      </c>
      <c r="R20" s="958" t="s">
        <v>839</v>
      </c>
      <c r="S20" s="958"/>
      <c r="T20" s="965" t="s">
        <v>2184</v>
      </c>
      <c r="U20" s="847" t="s">
        <v>2185</v>
      </c>
      <c r="V20" s="847" t="s">
        <v>2186</v>
      </c>
      <c r="W20" s="847" t="s">
        <v>2187</v>
      </c>
      <c r="X20" s="844"/>
      <c r="Y20" s="1001"/>
      <c r="Z20" s="847"/>
      <c r="AA20" s="850"/>
      <c r="AB20" s="847"/>
      <c r="AC20" s="847"/>
      <c r="AD20" s="847"/>
    </row>
    <row customHeight="1" ht="36">
      <c r="A21" s="846"/>
      <c r="B21" s="900">
        <v>4</v>
      </c>
      <c r="C21" s="844">
        <v>2</v>
      </c>
      <c r="D21" s="968"/>
      <c r="E21" s="844"/>
      <c r="F21" s="844"/>
      <c r="G21" s="844"/>
      <c r="H21" s="1003"/>
      <c r="I21" s="1006" t="str">
        <f>INDEX(TEMPLATE_NUMBER_POINT_FHD,B21,MATCH(TEMPLATE_SPHERE,TEMPLATE_SPHERE_LIST_FOR_NOTE,0))</f>
        <v>2.2</v>
      </c>
      <c r="J21" s="1006" t="str">
        <f>INDEX(TEMPLATE_DATA_POINT_FHD,B21,MATCH(TEMPLATE_SPHERE,TEMPLATE_SPHERE_LIST_FOR_NOTE,0))</f>
        <v>Расходы на топливо с указанием по каждому виду топлива стоимости (за единицу объема), объема и способа его приобретения, стоимости его доставки</v>
      </c>
      <c r="K21" s="1006" t="str">
        <f>INDEX(TEMPLATE_NOTE_POINT_FHD,B21,MATCH(TEMPLATE_SPHERE,TEMPLATE_SPHERE_LIST_FOR_NOTE,0))</f>
        <v>Указываются суммарные расходы на приобретение топлива всех видов.</v>
      </c>
      <c r="L21" s="845" t="str">
        <f>IF(I21=0,"",I21)</f>
        <v>2.2</v>
      </c>
      <c r="M21" s="845" t="str">
        <f>IF(J21=0,"",J21)</f>
        <v>Расходы на топливо с указанием по каждому виду топлива стоимости (за единицу объема), объема и способа его приобретения, стоимости его доставки</v>
      </c>
      <c r="N21" s="845" t="str">
        <f>IF(K21=0,"",K21)</f>
        <v>Указываются суммарные расходы на приобретение топлива всех видов.</v>
      </c>
      <c r="O21" s="958" t="s">
        <v>437</v>
      </c>
      <c r="P21" s="958"/>
      <c r="Q21" s="958"/>
      <c r="R21" s="958"/>
      <c r="S21" s="958"/>
      <c r="T21" s="965" t="s">
        <v>2188</v>
      </c>
      <c r="U21" s="847"/>
      <c r="V21" s="847"/>
      <c r="W21" s="847"/>
      <c r="X21" s="844"/>
      <c r="Y21" s="1001"/>
      <c r="Z21" s="847" t="s">
        <v>2189</v>
      </c>
      <c r="AA21" s="850"/>
      <c r="AB21" s="847"/>
      <c r="AC21" s="847"/>
      <c r="AD21" s="847"/>
    </row>
    <row customHeight="1" ht="36">
      <c r="A22" s="846"/>
      <c r="B22" s="900">
        <v>5</v>
      </c>
      <c r="C22" s="844">
        <v>3</v>
      </c>
      <c r="D22" s="968"/>
      <c r="E22" s="844"/>
      <c r="F22" s="844"/>
      <c r="G22" s="892"/>
      <c r="H22" s="959"/>
      <c r="I22" s="1006">
        <f>INDEX(TEMPLATE_NUMBER_POINT_FHD,B22,MATCH(TEMPLATE_SPHERE,TEMPLATE_SPHERE_LIST_FOR_NOTE,0))</f>
        <v>0</v>
      </c>
      <c r="J22" s="1006">
        <f>INDEX(TEMPLATE_DATA_POINT_FHD,B22,MATCH(TEMPLATE_SPHERE,TEMPLATE_SPHERE_LIST_FOR_NOTE,0))</f>
        <v>0</v>
      </c>
      <c r="K22" s="1006">
        <f>INDEX(TEMPLATE_NOTE_POINT_FHD,B22,MATCH(TEMPLATE_SPHERE,TEMPLATE_SPHERE_LIST_FOR_NOTE,0))</f>
        <v>0</v>
      </c>
      <c r="L22" s="845" t="str">
        <f>IF(I22=0,"",I22)</f>
        <v/>
      </c>
      <c r="M22" s="845" t="str">
        <f>IF(J22=0,"",J22)</f>
        <v/>
      </c>
      <c r="N22" s="845" t="str">
        <f>IF(K22=0,"",K22)</f>
        <v/>
      </c>
      <c r="O22" s="958"/>
      <c r="P22" s="958"/>
      <c r="Q22" s="958" t="s">
        <v>437</v>
      </c>
      <c r="R22" s="958"/>
      <c r="S22" s="958"/>
      <c r="T22" s="965"/>
      <c r="U22" s="847"/>
      <c r="V22" s="847" t="s">
        <v>2190</v>
      </c>
      <c r="W22" s="847"/>
      <c r="X22" s="844"/>
      <c r="Y22" s="1001"/>
      <c r="Z22" s="847"/>
      <c r="AA22" s="850"/>
      <c r="AB22" s="847"/>
      <c r="AC22" s="847"/>
      <c r="AD22" s="847"/>
    </row>
    <row customHeight="1" ht="27">
      <c r="A23" s="846"/>
      <c r="B23" s="900">
        <v>6</v>
      </c>
      <c r="C23" s="844">
        <v>4</v>
      </c>
      <c r="D23" s="968"/>
      <c r="E23" s="844"/>
      <c r="F23" s="844"/>
      <c r="G23" s="892"/>
      <c r="H23" s="959"/>
      <c r="I23" s="1006">
        <f>INDEX(TEMPLATE_NUMBER_POINT_FHD,B23,MATCH(TEMPLATE_SPHERE,TEMPLATE_SPHERE_LIST_FOR_NOTE,0))</f>
        <v>0</v>
      </c>
      <c r="J23" s="1006">
        <f>INDEX(TEMPLATE_DATA_POINT_FHD,B23,MATCH(TEMPLATE_SPHERE,TEMPLATE_SPHERE_LIST_FOR_NOTE,0))</f>
        <v>0</v>
      </c>
      <c r="K23" s="1006">
        <f>INDEX(TEMPLATE_NOTE_POINT_FHD,B23,MATCH(TEMPLATE_SPHERE,TEMPLATE_SPHERE_LIST_FOR_NOTE,0))</f>
        <v>0</v>
      </c>
      <c r="L23" s="845" t="str">
        <f>IF(I23=0,"",I23)</f>
        <v/>
      </c>
      <c r="M23" s="845" t="str">
        <f>IF(J23=0,"",J23)</f>
        <v/>
      </c>
      <c r="N23" s="845" t="str">
        <f>IF(K23=0,"",K23)</f>
        <v/>
      </c>
      <c r="O23" s="958"/>
      <c r="P23" s="958"/>
      <c r="Q23" s="958" t="s">
        <v>440</v>
      </c>
      <c r="R23" s="958"/>
      <c r="S23" s="958"/>
      <c r="T23" s="965"/>
      <c r="U23" s="847"/>
      <c r="V23" s="847" t="s">
        <v>2191</v>
      </c>
      <c r="W23" s="847"/>
      <c r="X23" s="844"/>
      <c r="Y23" s="1001"/>
      <c r="Z23" s="847"/>
      <c r="AA23" s="850"/>
      <c r="AB23" s="847"/>
      <c r="AC23" s="847"/>
      <c r="AD23" s="847"/>
    </row>
    <row customHeight="1" ht="36">
      <c r="A24" s="846"/>
      <c r="B24" s="900">
        <v>7</v>
      </c>
      <c r="C24" s="844">
        <v>5</v>
      </c>
      <c r="D24" s="968"/>
      <c r="E24" s="844"/>
      <c r="F24" s="844"/>
      <c r="G24" s="892"/>
      <c r="H24" s="959"/>
      <c r="I24" s="1006">
        <f>INDEX(TEMPLATE_NUMBER_POINT_FHD,B24,MATCH(TEMPLATE_SPHERE,TEMPLATE_SPHERE_LIST_FOR_NOTE,0))</f>
        <v>0</v>
      </c>
      <c r="J24" s="1006">
        <f>INDEX(TEMPLATE_DATA_POINT_FHD,B24,MATCH(TEMPLATE_SPHERE,TEMPLATE_SPHERE_LIST_FOR_NOTE,0))</f>
        <v>0</v>
      </c>
      <c r="K24" s="1006">
        <f>INDEX(TEMPLATE_NOTE_POINT_FHD,B24,MATCH(TEMPLATE_SPHERE,TEMPLATE_SPHERE_LIST_FOR_NOTE,0))</f>
        <v>0</v>
      </c>
      <c r="L24" s="845" t="str">
        <f>IF(I24=0,"",I24)</f>
        <v/>
      </c>
      <c r="M24" s="845" t="str">
        <f>IF(J24=0,"",J24)</f>
        <v/>
      </c>
      <c r="N24" s="845" t="str">
        <f>IF(K24=0,"",K24)</f>
        <v/>
      </c>
      <c r="O24" s="958"/>
      <c r="P24" s="958"/>
      <c r="Q24" s="958" t="s">
        <v>859</v>
      </c>
      <c r="R24" s="958"/>
      <c r="S24" s="958"/>
      <c r="T24" s="965"/>
      <c r="U24" s="847"/>
      <c r="V24" s="847" t="s">
        <v>2192</v>
      </c>
      <c r="W24" s="847"/>
      <c r="X24" s="844"/>
      <c r="Y24" s="1001"/>
      <c r="Z24" s="847"/>
      <c r="AA24" s="850"/>
      <c r="AB24" s="847"/>
      <c r="AC24" s="847"/>
      <c r="AD24" s="847"/>
    </row>
    <row customHeight="1" ht="36">
      <c r="A25" s="846"/>
      <c r="B25" s="900">
        <v>8</v>
      </c>
      <c r="C25" s="844">
        <v>6</v>
      </c>
      <c r="D25" s="968"/>
      <c r="E25" s="844"/>
      <c r="F25" s="844"/>
      <c r="G25" s="892"/>
      <c r="H25" s="959"/>
      <c r="I25" s="1006" t="str">
        <f>INDEX(TEMPLATE_NUMBER_POINT_FHD,B25,MATCH(TEMPLATE_SPHERE,TEMPLATE_SPHERE_LIST_FOR_NOTE,0))</f>
        <v>2.3</v>
      </c>
      <c r="J25" s="1006" t="str">
        <f>INDEX(TEMPLATE_DATA_POINT_FHD,B25,MATCH(TEMPLATE_SPHERE,TEMPLATE_SPHERE_LIST_FOR_NOTE,0))</f>
        <v>Расходы на приобретаемую электрическую энергию (мощность), используемую в технологическом процессе</v>
      </c>
      <c r="K25" s="1006">
        <f>INDEX(TEMPLATE_NOTE_POINT_FHD,B25,MATCH(TEMPLATE_SPHERE,TEMPLATE_SPHERE_LIST_FOR_NOTE,0))</f>
        <v>0</v>
      </c>
      <c r="L25" s="845" t="str">
        <f>IF(I25=0,"",I25)</f>
        <v>2.3</v>
      </c>
      <c r="M25" s="845" t="str">
        <f>IF(J25=0,"",J25)</f>
        <v>Расходы на приобретаемую электрическую энергию (мощность), используемую в технологическом процессе</v>
      </c>
      <c r="N25" s="845" t="str">
        <f>IF(K25=0,"",K25)</f>
        <v/>
      </c>
      <c r="O25" s="958" t="s">
        <v>440</v>
      </c>
      <c r="P25" s="958" t="s">
        <v>437</v>
      </c>
      <c r="Q25" s="958" t="s">
        <v>866</v>
      </c>
      <c r="R25" s="958" t="s">
        <v>437</v>
      </c>
      <c r="S25" s="958"/>
      <c r="T25" s="965" t="s">
        <v>2193</v>
      </c>
      <c r="U25" s="847" t="s">
        <v>2193</v>
      </c>
      <c r="V25" s="847" t="s">
        <v>2193</v>
      </c>
      <c r="W25" s="847" t="s">
        <v>2193</v>
      </c>
      <c r="X25" s="844"/>
      <c r="Y25" s="1001"/>
      <c r="Z25" s="847"/>
      <c r="AA25" s="850"/>
      <c r="AB25" s="847"/>
      <c r="AC25" s="847"/>
      <c r="AD25" s="847"/>
    </row>
    <row customHeight="1" ht="18">
      <c r="A26" s="846"/>
      <c r="B26" s="900">
        <v>9</v>
      </c>
      <c r="C26" s="844" t="s">
        <v>783</v>
      </c>
      <c r="D26" s="968"/>
      <c r="E26" s="844"/>
      <c r="F26" s="844"/>
      <c r="G26" s="892"/>
      <c r="H26" s="959"/>
      <c r="I26" s="1006" t="str">
        <f>INDEX(TEMPLATE_NUMBER_POINT_FHD,B26,MATCH(TEMPLATE_SPHERE,TEMPLATE_SPHERE_LIST_FOR_NOTE,0))</f>
        <v>2.3.1</v>
      </c>
      <c r="J26" s="1006" t="str">
        <f>INDEX(TEMPLATE_DATA_POINT_FHD,B26,MATCH(TEMPLATE_SPHERE,TEMPLATE_SPHERE_LIST_FOR_NOTE,0))</f>
        <v>Средневзвешенная стоимость 1 кВт.ч</v>
      </c>
      <c r="K26" s="1006">
        <f>INDEX(TEMPLATE_NOTE_POINT_FHD,B26,MATCH(TEMPLATE_SPHERE,TEMPLATE_SPHERE_LIST_FOR_NOTE,0))</f>
        <v>0</v>
      </c>
      <c r="L26" s="845" t="str">
        <f>IF(I26=0,"",I26)</f>
        <v>2.3.1</v>
      </c>
      <c r="M26" s="845" t="str">
        <f>IF(J26=0,"",J26)</f>
        <v>Средневзвешенная стоимость 1 кВт.ч</v>
      </c>
      <c r="N26" s="845" t="str">
        <f>IF(K26=0,"",K26)</f>
        <v/>
      </c>
      <c r="O26" s="958" t="s">
        <v>855</v>
      </c>
      <c r="P26" s="958" t="s">
        <v>849</v>
      </c>
      <c r="Q26" s="958" t="s">
        <v>2194</v>
      </c>
      <c r="R26" s="958" t="s">
        <v>849</v>
      </c>
      <c r="S26" s="958"/>
      <c r="T26" s="965" t="str">
        <f>"Средневзвешенная стоимость 1 кВт.ч"&amp;IF(TITLE_TYPE_ORG="Регулируемая организация"," (с учетом мощности)","")</f>
        <v>Средневзвешенная стоимость 1 кВт.ч</v>
      </c>
      <c r="U26" s="965" t="s">
        <v>2195</v>
      </c>
      <c r="V26" s="965" t="s">
        <v>2195</v>
      </c>
      <c r="W26" s="965" t="s">
        <v>2195</v>
      </c>
      <c r="X26" s="844"/>
      <c r="Y26" s="1001"/>
      <c r="Z26" s="847"/>
      <c r="AA26" s="850"/>
      <c r="AB26" s="847"/>
      <c r="AC26" s="847"/>
      <c r="AD26" s="847"/>
    </row>
    <row customHeight="1" ht="18">
      <c r="A27" s="846"/>
      <c r="B27" s="900">
        <v>10</v>
      </c>
      <c r="C27" s="844" t="s">
        <v>787</v>
      </c>
      <c r="D27" s="968"/>
      <c r="E27" s="844"/>
      <c r="F27" s="844"/>
      <c r="G27" s="892"/>
      <c r="H27" s="959"/>
      <c r="I27" s="1006" t="str">
        <f>INDEX(TEMPLATE_NUMBER_POINT_FHD,B27,MATCH(TEMPLATE_SPHERE,TEMPLATE_SPHERE_LIST_FOR_NOTE,0))</f>
        <v>2.3.2</v>
      </c>
      <c r="J27" s="1006" t="str">
        <f>INDEX(TEMPLATE_DATA_POINT_FHD,B27,MATCH(TEMPLATE_SPHERE,TEMPLATE_SPHERE_LIST_FOR_NOTE,0))</f>
        <v>Объём приобретения электрической энергии</v>
      </c>
      <c r="K27" s="1006">
        <f>INDEX(TEMPLATE_NOTE_POINT_FHD,B27,MATCH(TEMPLATE_SPHERE,TEMPLATE_SPHERE_LIST_FOR_NOTE,0))</f>
        <v>0</v>
      </c>
      <c r="L27" s="845" t="str">
        <f>IF(I27=0,"",I27)</f>
        <v>2.3.2</v>
      </c>
      <c r="M27" s="845" t="str">
        <f>IF(J27=0,"",J27)</f>
        <v>Объём приобретения электрической энергии</v>
      </c>
      <c r="N27" s="845" t="str">
        <f>IF(K27=0,"",K27)</f>
        <v/>
      </c>
      <c r="O27" s="958" t="s">
        <v>857</v>
      </c>
      <c r="P27" s="958" t="s">
        <v>851</v>
      </c>
      <c r="Q27" s="958" t="s">
        <v>2196</v>
      </c>
      <c r="R27" s="958" t="s">
        <v>851</v>
      </c>
      <c r="S27" s="958"/>
      <c r="T27" s="965" t="s">
        <v>2197</v>
      </c>
      <c r="U27" s="965" t="s">
        <v>2197</v>
      </c>
      <c r="V27" s="965" t="s">
        <v>2197</v>
      </c>
      <c r="W27" s="965" t="s">
        <v>2197</v>
      </c>
      <c r="X27" s="844"/>
      <c r="Y27" s="1001"/>
      <c r="Z27" s="847"/>
      <c r="AA27" s="850"/>
      <c r="AB27" s="847"/>
      <c r="AC27" s="847"/>
      <c r="AD27" s="847"/>
    </row>
    <row customHeight="1" ht="27">
      <c r="A28" s="846"/>
      <c r="B28" s="900">
        <v>11</v>
      </c>
      <c r="C28" s="844">
        <v>7</v>
      </c>
      <c r="D28" s="968"/>
      <c r="E28" s="844"/>
      <c r="F28" s="844"/>
      <c r="G28" s="892"/>
      <c r="H28" s="959"/>
      <c r="I28" s="1006" t="str">
        <f>INDEX(TEMPLATE_NUMBER_POINT_FHD,B28,MATCH(TEMPLATE_SPHERE,TEMPLATE_SPHERE_LIST_FOR_NOTE,0))</f>
        <v>2.4</v>
      </c>
      <c r="J28" s="1006" t="str">
        <f>INDEX(TEMPLATE_DATA_POINT_FHD,B28,MATCH(TEMPLATE_SPHERE,TEMPLATE_SPHERE_LIST_FOR_NOTE,0))</f>
        <v>Расходы на приобретение холодной воды, используемой в технологическом процессе</v>
      </c>
      <c r="K28" s="1006">
        <f>INDEX(TEMPLATE_NOTE_POINT_FHD,B28,MATCH(TEMPLATE_SPHERE,TEMPLATE_SPHERE_LIST_FOR_NOTE,0))</f>
        <v>0</v>
      </c>
      <c r="L28" s="845" t="str">
        <f>IF(I28=0,"",I28)</f>
        <v>2.4</v>
      </c>
      <c r="M28" s="845" t="str">
        <f>IF(J28=0,"",J28)</f>
        <v>Расходы на приобретение холодной воды, используемой в технологическом процессе</v>
      </c>
      <c r="N28" s="845" t="str">
        <f>IF(K28=0,"",K28)</f>
        <v/>
      </c>
      <c r="O28" s="958" t="s">
        <v>859</v>
      </c>
      <c r="P28" s="958"/>
      <c r="Q28" s="958"/>
      <c r="R28" s="958"/>
      <c r="S28" s="958"/>
      <c r="T28" s="965" t="s">
        <v>2198</v>
      </c>
      <c r="U28" s="847"/>
      <c r="V28" s="847"/>
      <c r="W28" s="847"/>
      <c r="X28" s="844"/>
      <c r="Y28" s="1001"/>
      <c r="Z28" s="847"/>
      <c r="AA28" s="850"/>
      <c r="AB28" s="847"/>
      <c r="AC28" s="847"/>
      <c r="AD28" s="847"/>
    </row>
    <row customHeight="1" ht="27">
      <c r="A29" s="846"/>
      <c r="B29" s="900">
        <v>12</v>
      </c>
      <c r="C29" s="844">
        <v>8</v>
      </c>
      <c r="D29" s="968"/>
      <c r="E29" s="844"/>
      <c r="F29" s="844"/>
      <c r="G29" s="892"/>
      <c r="H29" s="959"/>
      <c r="I29" s="1006" t="str">
        <f>INDEX(TEMPLATE_NUMBER_POINT_FHD,B29,MATCH(TEMPLATE_SPHERE,TEMPLATE_SPHERE_LIST_FOR_NOTE,0))</f>
        <v>2.5</v>
      </c>
      <c r="J29" s="1006" t="str">
        <f>INDEX(TEMPLATE_DATA_POINT_FHD,B29,MATCH(TEMPLATE_SPHERE,TEMPLATE_SPHERE_LIST_FOR_NOTE,0))</f>
        <v>Расходы на  хим. реагенты, используемые в технологическом процессе</v>
      </c>
      <c r="K29" s="1006">
        <f>INDEX(TEMPLATE_NOTE_POINT_FHD,B29,MATCH(TEMPLATE_SPHERE,TEMPLATE_SPHERE_LIST_FOR_NOTE,0))</f>
        <v>0</v>
      </c>
      <c r="L29" s="845" t="str">
        <f>IF(I29=0,"",I29)</f>
        <v>2.5</v>
      </c>
      <c r="M29" s="845" t="str">
        <f>IF(J29=0,"",J29)</f>
        <v>Расходы на  хим. реагенты, используемые в технологическом процессе</v>
      </c>
      <c r="N29" s="845" t="str">
        <f>IF(K29=0,"",K29)</f>
        <v/>
      </c>
      <c r="O29" s="958" t="s">
        <v>866</v>
      </c>
      <c r="P29" s="958" t="s">
        <v>440</v>
      </c>
      <c r="Q29" s="958"/>
      <c r="R29" s="958" t="s">
        <v>440</v>
      </c>
      <c r="S29" s="958"/>
      <c r="T29" s="965" t="str">
        <f>"Расходы на  хим"&amp;IF(TITLE_TYPE_ORG="Регулируемая организация","ические",".")&amp;" реагенты, используемые в технологическом процессе"</f>
        <v>Расходы на  хим. реагенты, используемые в технологическом процессе</v>
      </c>
      <c r="U29" s="847" t="s">
        <v>2199</v>
      </c>
      <c r="V29" s="847"/>
      <c r="W29" s="847" t="s">
        <v>2199</v>
      </c>
      <c r="X29" s="844"/>
      <c r="Y29" s="1001"/>
      <c r="Z29" s="847"/>
      <c r="AA29" s="850"/>
      <c r="AB29" s="847"/>
      <c r="AC29" s="847"/>
      <c r="AD29" s="847"/>
    </row>
    <row customHeight="1" ht="54">
      <c r="A30" s="846"/>
      <c r="B30" s="900">
        <v>13</v>
      </c>
      <c r="C30" s="844">
        <v>9</v>
      </c>
      <c r="D30" s="968"/>
      <c r="E30" s="844"/>
      <c r="F30" s="844"/>
      <c r="G30" s="892"/>
      <c r="H30" s="959"/>
      <c r="I30" s="1006" t="str">
        <f>INDEX(TEMPLATE_NUMBER_POINT_FHD,B30,MATCH(TEMPLATE_SPHERE,TEMPLATE_SPHERE_LIST_FOR_NOTE,0))</f>
        <v>2.6</v>
      </c>
      <c r="J30" s="1006" t="str">
        <f>INDEX(TEMPLATE_DATA_POINT_FHD,B30,MATCH(TEMPLATE_SPHERE,TEMPLATE_SPHERE_LIST_FOR_NOTE,0))</f>
        <v>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v>
      </c>
      <c r="K30" s="1006">
        <f>INDEX(TEMPLATE_NOTE_POINT_FHD,B30,MATCH(TEMPLATE_SPHERE,TEMPLATE_SPHERE_LIST_FOR_NOTE,0))</f>
        <v>0</v>
      </c>
      <c r="L30" s="845" t="str">
        <f>IF(I30=0,"",I30)</f>
        <v>2.6</v>
      </c>
      <c r="M30" s="845" t="str">
        <f>IF(J30=0,"",J30)</f>
        <v>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v>
      </c>
      <c r="N30" s="845" t="str">
        <f>IF(K30=0,"",K30)</f>
        <v/>
      </c>
      <c r="O30" s="958" t="s">
        <v>868</v>
      </c>
      <c r="P30" s="958" t="s">
        <v>859</v>
      </c>
      <c r="Q30" s="958" t="s">
        <v>868</v>
      </c>
      <c r="R30" s="958" t="s">
        <v>859</v>
      </c>
      <c r="S30" s="958"/>
      <c r="T30" s="965" t="s">
        <v>2200</v>
      </c>
      <c r="U30" s="847" t="s">
        <v>2200</v>
      </c>
      <c r="V30" s="847" t="s">
        <v>2200</v>
      </c>
      <c r="W30" s="847" t="s">
        <v>2200</v>
      </c>
      <c r="X30" s="844"/>
      <c r="Y30" s="1001"/>
      <c r="Z30" s="847"/>
      <c r="AA30" s="850" t="s">
        <v>2201</v>
      </c>
      <c r="AB30" s="850" t="s">
        <v>2201</v>
      </c>
      <c r="AC30" s="850" t="s">
        <v>2201</v>
      </c>
      <c r="AD30" s="847"/>
    </row>
    <row customHeight="1" ht="18">
      <c r="A31" s="846"/>
      <c r="B31" s="900">
        <v>14</v>
      </c>
      <c r="C31" s="844" t="s">
        <v>2202</v>
      </c>
      <c r="D31" s="968"/>
      <c r="E31" s="844"/>
      <c r="F31" s="844"/>
      <c r="G31" s="892"/>
      <c r="H31" s="959"/>
      <c r="I31" s="1006" t="str">
        <f>INDEX(TEMPLATE_NUMBER_POINT_FHD,B31,MATCH(TEMPLATE_SPHERE,TEMPLATE_SPHERE_LIST_FOR_NOTE,0))</f>
        <v>2.6.1</v>
      </c>
      <c r="J31" s="1006" t="str">
        <f>INDEX(TEMPLATE_DATA_POINT_FHD,B31,MATCH(TEMPLATE_SPHERE,TEMPLATE_SPHERE_LIST_FOR_NOTE,0))</f>
        <v>Расходы на оплату труда основного производственного персонала</v>
      </c>
      <c r="K31" s="1006">
        <f>INDEX(TEMPLATE_NOTE_POINT_FHD,B31,MATCH(TEMPLATE_SPHERE,TEMPLATE_SPHERE_LIST_FOR_NOTE,0))</f>
        <v>0</v>
      </c>
      <c r="L31" s="845" t="str">
        <f>IF(I31=0,"",I31)</f>
        <v>2.6.1</v>
      </c>
      <c r="M31" s="845" t="str">
        <f>IF(J31=0,"",J31)</f>
        <v>Расходы на оплату труда основного производственного персонала</v>
      </c>
      <c r="N31" s="845" t="str">
        <f>IF(K31=0,"",K31)</f>
        <v/>
      </c>
      <c r="O31" s="958" t="s">
        <v>2203</v>
      </c>
      <c r="P31" s="958" t="s">
        <v>862</v>
      </c>
      <c r="Q31" s="958" t="s">
        <v>2203</v>
      </c>
      <c r="R31" s="958" t="s">
        <v>862</v>
      </c>
      <c r="S31" s="958"/>
      <c r="T31" s="966" t="s">
        <v>2204</v>
      </c>
      <c r="U31" s="847" t="s">
        <v>2204</v>
      </c>
      <c r="V31" s="847" t="s">
        <v>2204</v>
      </c>
      <c r="W31" s="847" t="s">
        <v>2204</v>
      </c>
      <c r="X31" s="844"/>
      <c r="Y31" s="1001"/>
      <c r="Z31" s="847"/>
      <c r="AA31" s="850"/>
      <c r="AB31" s="850"/>
      <c r="AC31" s="850"/>
      <c r="AD31" s="847"/>
    </row>
    <row customHeight="1" ht="36">
      <c r="A32" s="846"/>
      <c r="B32" s="900">
        <v>15</v>
      </c>
      <c r="C32" s="844" t="s">
        <v>2205</v>
      </c>
      <c r="D32" s="968"/>
      <c r="E32" s="844"/>
      <c r="F32" s="844"/>
      <c r="G32" s="892"/>
      <c r="H32" s="959"/>
      <c r="I32" s="1006" t="str">
        <f>INDEX(TEMPLATE_NUMBER_POINT_FHD,B32,MATCH(TEMPLATE_SPHERE,TEMPLATE_SPHERE_LIST_FOR_NOTE,0))</f>
        <v>2.6.2</v>
      </c>
      <c r="J32" s="1006" t="str">
        <f>INDEX(TEMPLATE_DATA_POINT_FHD,B32,MATCH(TEMPLATE_SPHERE,TEMPLATE_SPHERE_LIST_FOR_NOTE,0))</f>
        <v>Расходы на страховые взносы на обязательное социальное страхование, выплачиваемые из фонда оплаты труда основного производственного персонала</v>
      </c>
      <c r="K32" s="1006">
        <f>INDEX(TEMPLATE_NOTE_POINT_FHD,B32,MATCH(TEMPLATE_SPHERE,TEMPLATE_SPHERE_LIST_FOR_NOTE,0))</f>
        <v>0</v>
      </c>
      <c r="L32" s="845" t="str">
        <f>IF(I32=0,"",I32)</f>
        <v>2.6.2</v>
      </c>
      <c r="M32" s="845" t="str">
        <f>IF(J32=0,"",J32)</f>
        <v>Расходы на страховые взносы на обязательное социальное страхование, выплачиваемые из фонда оплаты труда основного производственного персонала</v>
      </c>
      <c r="N32" s="845" t="str">
        <f>IF(K32=0,"",K32)</f>
        <v/>
      </c>
      <c r="O32" s="958" t="s">
        <v>2206</v>
      </c>
      <c r="P32" s="958" t="s">
        <v>864</v>
      </c>
      <c r="Q32" s="958" t="s">
        <v>2206</v>
      </c>
      <c r="R32" s="958" t="s">
        <v>864</v>
      </c>
      <c r="S32" s="958"/>
      <c r="T32" s="967" t="str">
        <f>IF(TITLE_TYPE_ORG="Регулируемая организация","С","Расходы на с")&amp;"траховые взносы на обязательное социальное страхование, выплачиваемые из фонда оплаты труда основного производственного персонала"</f>
        <v>Расходы на страховые взносы на обязательное социальное страхование, выплачиваемые из фонда оплаты труда основного производственного персонала</v>
      </c>
      <c r="U32" s="847" t="s">
        <v>2207</v>
      </c>
      <c r="V32" s="847" t="s">
        <v>2207</v>
      </c>
      <c r="W32" s="847" t="s">
        <v>2207</v>
      </c>
      <c r="X32" s="844"/>
      <c r="Y32" s="1001"/>
      <c r="Z32" s="847"/>
      <c r="AA32" s="850"/>
      <c r="AB32" s="850"/>
      <c r="AC32" s="850"/>
      <c r="AD32" s="847"/>
    </row>
    <row customHeight="1" ht="45">
      <c r="A33" s="846"/>
      <c r="B33" s="900">
        <v>16</v>
      </c>
      <c r="C33" s="844">
        <v>10</v>
      </c>
      <c r="D33" s="968"/>
      <c r="E33" s="844"/>
      <c r="F33" s="844"/>
      <c r="G33" s="892"/>
      <c r="H33" s="959"/>
      <c r="I33" s="1006" t="str">
        <f>INDEX(TEMPLATE_NUMBER_POINT_FHD,B33,MATCH(TEMPLATE_SPHERE,TEMPLATE_SPHERE_LIST_FOR_NOTE,0))</f>
        <v>2.7</v>
      </c>
      <c r="J33" s="1006" t="str">
        <f>INDEX(TEMPLATE_DATA_POINT_FHD,B33,MATCH(TEMPLATE_SPHERE,TEMPLATE_SPHERE_LIST_FOR_NOTE,0))</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v>
      </c>
      <c r="K33" s="1006">
        <f>INDEX(TEMPLATE_NOTE_POINT_FHD,B33,MATCH(TEMPLATE_SPHERE,TEMPLATE_SPHERE_LIST_FOR_NOTE,0))</f>
        <v>0</v>
      </c>
      <c r="L33" s="845" t="str">
        <f>IF(I33=0,"",I33)</f>
        <v>2.7</v>
      </c>
      <c r="M33" s="845" t="str">
        <f>IF(J33=0,"",J33)</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v>
      </c>
      <c r="N33" s="845" t="str">
        <f>IF(K33=0,"",K33)</f>
        <v/>
      </c>
      <c r="O33" s="958" t="s">
        <v>870</v>
      </c>
      <c r="P33" s="958" t="s">
        <v>866</v>
      </c>
      <c r="Q33" s="958" t="s">
        <v>870</v>
      </c>
      <c r="R33" s="958" t="s">
        <v>866</v>
      </c>
      <c r="S33" s="958"/>
      <c r="T33" s="966" t="str">
        <f>"Расходы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персонала"&amp;IF(TITLE_TYPE_ORG="Регулируемая организация",", в том числе","")&amp;":"</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v>
      </c>
      <c r="U33" s="847" t="s">
        <v>2208</v>
      </c>
      <c r="V33" s="847" t="s">
        <v>2208</v>
      </c>
      <c r="W33" s="847" t="s">
        <v>2209</v>
      </c>
      <c r="X33" s="844"/>
      <c r="Y33" s="1001"/>
      <c r="Z33" s="847"/>
      <c r="AA33" s="850" t="s">
        <v>2210</v>
      </c>
      <c r="AB33" s="850" t="s">
        <v>2210</v>
      </c>
      <c r="AC33" s="850" t="s">
        <v>2210</v>
      </c>
      <c r="AD33" s="847"/>
    </row>
    <row customHeight="1" ht="27">
      <c r="A34" s="846"/>
      <c r="B34" s="900">
        <v>17</v>
      </c>
      <c r="C34" s="844" t="s">
        <v>2211</v>
      </c>
      <c r="D34" s="968"/>
      <c r="E34" s="844"/>
      <c r="F34" s="844"/>
      <c r="G34" s="892"/>
      <c r="H34" s="959"/>
      <c r="I34" s="1006" t="str">
        <f>INDEX(TEMPLATE_NUMBER_POINT_FHD,B34,MATCH(TEMPLATE_SPHERE,TEMPLATE_SPHERE_LIST_FOR_NOTE,0))</f>
        <v>2.7.1</v>
      </c>
      <c r="J34" s="1006" t="str">
        <f>INDEX(TEMPLATE_DATA_POINT_FHD,B34,MATCH(TEMPLATE_SPHERE,TEMPLATE_SPHERE_LIST_FOR_NOTE,0))</f>
        <v>Расходы на оплату труда административно-управленческого персонала</v>
      </c>
      <c r="K34" s="1006">
        <f>INDEX(TEMPLATE_NOTE_POINT_FHD,B34,MATCH(TEMPLATE_SPHERE,TEMPLATE_SPHERE_LIST_FOR_NOTE,0))</f>
        <v>0</v>
      </c>
      <c r="L34" s="845" t="str">
        <f>IF(I34=0,"",I34)</f>
        <v>2.7.1</v>
      </c>
      <c r="M34" s="845" t="str">
        <f>IF(J34=0,"",J34)</f>
        <v>Расходы на оплату труда административно-управленческого персонала</v>
      </c>
      <c r="N34" s="845" t="str">
        <f>IF(K34=0,"",K34)</f>
        <v/>
      </c>
      <c r="O34" s="958" t="s">
        <v>2212</v>
      </c>
      <c r="P34" s="958" t="s">
        <v>2194</v>
      </c>
      <c r="Q34" s="958" t="s">
        <v>2212</v>
      </c>
      <c r="R34" s="958" t="s">
        <v>2194</v>
      </c>
      <c r="S34" s="958"/>
      <c r="T34" s="967" t="s">
        <v>2213</v>
      </c>
      <c r="U34" s="847" t="s">
        <v>2213</v>
      </c>
      <c r="V34" s="847" t="s">
        <v>2213</v>
      </c>
      <c r="W34" s="847" t="s">
        <v>2214</v>
      </c>
      <c r="X34" s="844"/>
      <c r="Y34" s="1001"/>
      <c r="Z34" s="847"/>
      <c r="AA34" s="850"/>
      <c r="AB34" s="847"/>
      <c r="AC34" s="847"/>
      <c r="AD34" s="847"/>
    </row>
    <row customHeight="1" ht="45">
      <c r="A35" s="846"/>
      <c r="B35" s="900">
        <v>18</v>
      </c>
      <c r="C35" s="844" t="s">
        <v>2215</v>
      </c>
      <c r="D35" s="968"/>
      <c r="E35" s="844"/>
      <c r="F35" s="844"/>
      <c r="G35" s="892"/>
      <c r="H35" s="959"/>
      <c r="I35" s="1006" t="str">
        <f>INDEX(TEMPLATE_NUMBER_POINT_FHD,B35,MATCH(TEMPLATE_SPHERE,TEMPLATE_SPHERE_LIST_FOR_NOTE,0))</f>
        <v>2.7.2</v>
      </c>
      <c r="J35" s="1006" t="str">
        <f>INDEX(TEMPLATE_DATA_POINT_FHD,B35,MATCH(TEMPLATE_SPHERE,TEMPLATE_SPHERE_LIST_FOR_NOTE,0))</f>
        <v>Расходы на страховые взносы на обязательное социальное страхование, выплачиваемые из фонда оплаты труда административно-управленческого персонала</v>
      </c>
      <c r="K35" s="1006">
        <f>INDEX(TEMPLATE_NOTE_POINT_FHD,B35,MATCH(TEMPLATE_SPHERE,TEMPLATE_SPHERE_LIST_FOR_NOTE,0))</f>
        <v>0</v>
      </c>
      <c r="L35" s="845" t="str">
        <f>IF(I35=0,"",I35)</f>
        <v>2.7.2</v>
      </c>
      <c r="M35" s="845" t="str">
        <f>IF(J35=0,"",J35)</f>
        <v>Расходы на страховые взносы на обязательное социальное страхование, выплачиваемые из фонда оплаты труда административно-управленческого персонала</v>
      </c>
      <c r="N35" s="845" t="str">
        <f>IF(K35=0,"",K35)</f>
        <v/>
      </c>
      <c r="O35" s="958" t="s">
        <v>2216</v>
      </c>
      <c r="P35" s="958" t="s">
        <v>2196</v>
      </c>
      <c r="Q35" s="958" t="s">
        <v>2216</v>
      </c>
      <c r="R35" s="958" t="s">
        <v>2196</v>
      </c>
      <c r="S35" s="958"/>
      <c r="T35" s="965" t="str">
        <f>IF(TITLE_TYPE_ORG="Регулируемая организация","С","Расходы на с")&amp;"траховые взносы на обязательное социальное страхование, выплачиваемые из фонда оплаты труда административно-управленческого персонала"</f>
        <v>Расходы на страховые взносы на обязательное социальное страхование, выплачиваемые из фонда оплаты труда административно-управленческого персонала</v>
      </c>
      <c r="U35" s="847" t="s">
        <v>2217</v>
      </c>
      <c r="V35" s="847" t="s">
        <v>2217</v>
      </c>
      <c r="W35" s="847" t="s">
        <v>2217</v>
      </c>
      <c r="X35" s="844"/>
      <c r="Y35" s="1001"/>
      <c r="Z35" s="847"/>
      <c r="AA35" s="850"/>
      <c r="AB35" s="847"/>
      <c r="AC35" s="847"/>
      <c r="AD35" s="847"/>
    </row>
    <row customHeight="1" ht="18">
      <c r="A36" s="846"/>
      <c r="B36" s="900">
        <v>19</v>
      </c>
      <c r="C36" s="844">
        <v>11</v>
      </c>
      <c r="D36" s="968"/>
      <c r="E36" s="844"/>
      <c r="F36" s="844"/>
      <c r="G36" s="892"/>
      <c r="H36" s="959"/>
      <c r="I36" s="1006" t="str">
        <f>INDEX(TEMPLATE_NUMBER_POINT_FHD,B36,MATCH(TEMPLATE_SPHERE,TEMPLATE_SPHERE_LIST_FOR_NOTE,0))</f>
        <v>2.8</v>
      </c>
      <c r="J36" s="1006" t="str">
        <f>INDEX(TEMPLATE_DATA_POINT_FHD,B36,MATCH(TEMPLATE_SPHERE,TEMPLATE_SPHERE_LIST_FOR_NOTE,0))</f>
        <v>Расходы на амортизацию основных средств и нематериальных активов</v>
      </c>
      <c r="K36" s="1006">
        <f>INDEX(TEMPLATE_NOTE_POINT_FHD,B36,MATCH(TEMPLATE_SPHERE,TEMPLATE_SPHERE_LIST_FOR_NOTE,0))</f>
        <v>0</v>
      </c>
      <c r="L36" s="845" t="str">
        <f>IF(I36=0,"",I36)</f>
        <v>2.8</v>
      </c>
      <c r="M36" s="845" t="str">
        <f>IF(J36=0,"",J36)</f>
        <v>Расходы на амортизацию основных средств и нематериальных активов</v>
      </c>
      <c r="N36" s="845" t="str">
        <f>IF(K36=0,"",K36)</f>
        <v/>
      </c>
      <c r="O36" s="958" t="s">
        <v>872</v>
      </c>
      <c r="P36" s="958" t="s">
        <v>868</v>
      </c>
      <c r="Q36" s="958" t="s">
        <v>872</v>
      </c>
      <c r="R36" s="958" t="s">
        <v>868</v>
      </c>
      <c r="S36" s="958"/>
      <c r="T36" s="965" t="s">
        <v>2218</v>
      </c>
      <c r="U36" s="847" t="s">
        <v>2218</v>
      </c>
      <c r="V36" s="847" t="s">
        <v>2218</v>
      </c>
      <c r="W36" s="847" t="s">
        <v>2218</v>
      </c>
      <c r="X36" s="844"/>
      <c r="Y36" s="1001"/>
      <c r="Z36" s="847"/>
      <c r="AA36" s="850"/>
      <c r="AB36" s="847"/>
      <c r="AC36" s="847"/>
      <c r="AD36" s="847"/>
    </row>
    <row customHeight="1" ht="18">
      <c r="A37" s="846"/>
      <c r="B37" s="900">
        <v>20</v>
      </c>
      <c r="C37" s="844" t="s">
        <v>2219</v>
      </c>
      <c r="D37" s="968"/>
      <c r="E37" s="844"/>
      <c r="F37" s="844"/>
      <c r="G37" s="892"/>
      <c r="H37" s="959"/>
      <c r="I37" s="1006" t="str">
        <f>INDEX(TEMPLATE_NUMBER_POINT_FHD,B37,MATCH(TEMPLATE_SPHERE,TEMPLATE_SPHERE_LIST_FOR_NOTE,0))</f>
        <v>2.8.1</v>
      </c>
      <c r="J37" s="1006" t="str">
        <f>INDEX(TEMPLATE_DATA_POINT_FHD,B37,MATCH(TEMPLATE_SPHERE,TEMPLATE_SPHERE_LIST_FOR_NOTE,0))</f>
        <v>Расходы на амортизацию основных средств</v>
      </c>
      <c r="K37" s="1006">
        <f>INDEX(TEMPLATE_NOTE_POINT_FHD,B37,MATCH(TEMPLATE_SPHERE,TEMPLATE_SPHERE_LIST_FOR_NOTE,0))</f>
        <v>0</v>
      </c>
      <c r="L37" s="845" t="str">
        <f>IF(I37=0,"",I37)</f>
        <v>2.8.1</v>
      </c>
      <c r="M37" s="845" t="str">
        <f>IF(J37=0,"",J37)</f>
        <v>Расходы на амортизацию основных средств</v>
      </c>
      <c r="N37" s="845" t="str">
        <f>IF(K37=0,"",K37)</f>
        <v/>
      </c>
      <c r="O37" s="958" t="s">
        <v>2220</v>
      </c>
      <c r="P37" s="958" t="s">
        <v>2203</v>
      </c>
      <c r="Q37" s="958" t="s">
        <v>2220</v>
      </c>
      <c r="R37" s="958" t="s">
        <v>2203</v>
      </c>
      <c r="S37" s="958"/>
      <c r="T37" s="965" t="s">
        <v>2221</v>
      </c>
      <c r="U37" s="847" t="s">
        <v>2221</v>
      </c>
      <c r="V37" s="847" t="s">
        <v>2221</v>
      </c>
      <c r="W37" s="847" t="s">
        <v>2221</v>
      </c>
      <c r="X37" s="844"/>
      <c r="Y37" s="1001"/>
      <c r="Z37" s="847"/>
      <c r="AA37" s="850"/>
      <c r="AB37" s="847"/>
      <c r="AC37" s="847"/>
      <c r="AD37" s="847"/>
    </row>
    <row customHeight="1" ht="18">
      <c r="A38" s="846"/>
      <c r="B38" s="900">
        <v>21</v>
      </c>
      <c r="C38" s="844" t="s">
        <v>2222</v>
      </c>
      <c r="D38" s="968"/>
      <c r="E38" s="844"/>
      <c r="F38" s="844"/>
      <c r="G38" s="892"/>
      <c r="H38" s="959"/>
      <c r="I38" s="1006" t="str">
        <f>INDEX(TEMPLATE_NUMBER_POINT_FHD,B38,MATCH(TEMPLATE_SPHERE,TEMPLATE_SPHERE_LIST_FOR_NOTE,0))</f>
        <v>2.8.2</v>
      </c>
      <c r="J38" s="1006" t="str">
        <f>INDEX(TEMPLATE_DATA_POINT_FHD,B38,MATCH(TEMPLATE_SPHERE,TEMPLATE_SPHERE_LIST_FOR_NOTE,0))</f>
        <v>Расходы на амортизацию нематериальных активов</v>
      </c>
      <c r="K38" s="1006">
        <f>INDEX(TEMPLATE_NOTE_POINT_FHD,B38,MATCH(TEMPLATE_SPHERE,TEMPLATE_SPHERE_LIST_FOR_NOTE,0))</f>
        <v>0</v>
      </c>
      <c r="L38" s="845" t="str">
        <f>IF(I38=0,"",I38)</f>
        <v>2.8.2</v>
      </c>
      <c r="M38" s="845" t="str">
        <f>IF(J38=0,"",J38)</f>
        <v>Расходы на амортизацию нематериальных активов</v>
      </c>
      <c r="N38" s="845" t="str">
        <f>IF(K38=0,"",K38)</f>
        <v/>
      </c>
      <c r="O38" s="958" t="s">
        <v>2223</v>
      </c>
      <c r="P38" s="958" t="s">
        <v>2206</v>
      </c>
      <c r="Q38" s="958" t="s">
        <v>2223</v>
      </c>
      <c r="R38" s="958" t="s">
        <v>2206</v>
      </c>
      <c r="S38" s="958"/>
      <c r="T38" s="965" t="s">
        <v>2224</v>
      </c>
      <c r="U38" s="847" t="s">
        <v>2224</v>
      </c>
      <c r="V38" s="847" t="s">
        <v>2224</v>
      </c>
      <c r="W38" s="847" t="s">
        <v>2224</v>
      </c>
      <c r="X38" s="844"/>
      <c r="Y38" s="1001"/>
      <c r="Z38" s="847"/>
      <c r="AA38" s="850"/>
      <c r="AB38" s="847"/>
      <c r="AC38" s="847"/>
      <c r="AD38" s="847"/>
    </row>
    <row customHeight="1" ht="36">
      <c r="A39" s="846"/>
      <c r="B39" s="900">
        <v>22</v>
      </c>
      <c r="C39" s="844">
        <v>12</v>
      </c>
      <c r="D39" s="968"/>
      <c r="E39" s="844"/>
      <c r="F39" s="844"/>
      <c r="G39" s="892"/>
      <c r="H39" s="959"/>
      <c r="I39" s="1006" t="str">
        <f>INDEX(TEMPLATE_NUMBER_POINT_FHD,B39,MATCH(TEMPLATE_SPHERE,TEMPLATE_SPHERE_LIST_FOR_NOTE,0))</f>
        <v>2.9</v>
      </c>
      <c r="J39" s="1006" t="str">
        <f>INDEX(TEMPLATE_DATA_POINT_FHD,B39,MATCH(TEMPLATE_SPHERE,TEMPLATE_SPHERE_LIST_FOR_NOTE,0))</f>
        <v>Расходы на аренду имущества, используемого для осуществления регулируемого вида деятельности</v>
      </c>
      <c r="K39" s="1006">
        <f>INDEX(TEMPLATE_NOTE_POINT_FHD,B39,MATCH(TEMPLATE_SPHERE,TEMPLATE_SPHERE_LIST_FOR_NOTE,0))</f>
        <v>0</v>
      </c>
      <c r="L39" s="845" t="str">
        <f>IF(I39=0,"",I39)</f>
        <v>2.9</v>
      </c>
      <c r="M39" s="845" t="str">
        <f>IF(J39=0,"",J39)</f>
        <v>Расходы на аренду имущества, используемого для осуществления регулируемого вида деятельности</v>
      </c>
      <c r="N39" s="845" t="str">
        <f>IF(K39=0,"",K39)</f>
        <v/>
      </c>
      <c r="O39" s="958" t="s">
        <v>876</v>
      </c>
      <c r="P39" s="958" t="s">
        <v>870</v>
      </c>
      <c r="Q39" s="958" t="s">
        <v>876</v>
      </c>
      <c r="R39" s="958" t="s">
        <v>870</v>
      </c>
      <c r="S39" s="958"/>
      <c r="T39" s="965" t="s">
        <v>2225</v>
      </c>
      <c r="U39" s="847" t="s">
        <v>2226</v>
      </c>
      <c r="V39" s="847" t="s">
        <v>2227</v>
      </c>
      <c r="W39" s="847" t="s">
        <v>2228</v>
      </c>
      <c r="X39" s="844"/>
      <c r="Y39" s="1001"/>
      <c r="Z39" s="847"/>
      <c r="AA39" s="850"/>
      <c r="AB39" s="847"/>
      <c r="AC39" s="847"/>
      <c r="AD39" s="847"/>
    </row>
    <row customHeight="1" ht="18">
      <c r="A40" s="846"/>
      <c r="B40" s="900">
        <v>23</v>
      </c>
      <c r="C40" s="844">
        <v>13</v>
      </c>
      <c r="D40" s="968"/>
      <c r="E40" s="844"/>
      <c r="F40" s="844"/>
      <c r="G40" s="844"/>
      <c r="H40" s="895"/>
      <c r="I40" s="1006" t="str">
        <f>INDEX(TEMPLATE_NUMBER_POINT_FHD,B40,MATCH(TEMPLATE_SPHERE,TEMPLATE_SPHERE_LIST_FOR_NOTE,0))</f>
        <v>2.10</v>
      </c>
      <c r="J40" s="1006" t="str">
        <f>INDEX(TEMPLATE_DATA_POINT_FHD,B40,MATCH(TEMPLATE_SPHERE,TEMPLATE_SPHERE_LIST_FOR_NOTE,0))</f>
        <v>Общепроизводственные расходы, в том числе:</v>
      </c>
      <c r="K40" s="1006" t="str">
        <f>INDEX(TEMPLATE_NOTE_POINT_FHD,B40,MATCH(TEMPLATE_SPHERE,TEMPLATE_SPHERE_LIST_FOR_NOTE,0))</f>
        <v>Указывается общая сумма общепроизводственных расходов.</v>
      </c>
      <c r="L40" s="845" t="str">
        <f>IF(I40=0,"",I40)</f>
        <v>2.10</v>
      </c>
      <c r="M40" s="845" t="str">
        <f>IF(J40=0,"",J40)</f>
        <v>Общепроизводственные расходы, в том числе:</v>
      </c>
      <c r="N40" s="845" t="str">
        <f>IF(K40=0,"",K40)</f>
        <v>Указывается общая сумма общепроизводственных расходов.</v>
      </c>
      <c r="O40" s="958" t="s">
        <v>2229</v>
      </c>
      <c r="P40" s="958" t="s">
        <v>872</v>
      </c>
      <c r="Q40" s="958" t="s">
        <v>2229</v>
      </c>
      <c r="R40" s="958" t="s">
        <v>872</v>
      </c>
      <c r="S40" s="958"/>
      <c r="T40" s="844" t="s">
        <v>2230</v>
      </c>
      <c r="U40" s="844" t="s">
        <v>2230</v>
      </c>
      <c r="V40" s="844" t="s">
        <v>2230</v>
      </c>
      <c r="W40" s="844" t="s">
        <v>2230</v>
      </c>
      <c r="X40" s="844"/>
      <c r="Y40" s="1001"/>
      <c r="Z40" s="847" t="s">
        <v>2231</v>
      </c>
      <c r="AA40" s="850" t="s">
        <v>2231</v>
      </c>
      <c r="AB40" s="850" t="s">
        <v>2231</v>
      </c>
      <c r="AC40" s="850" t="s">
        <v>2231</v>
      </c>
      <c r="AD40" s="847"/>
    </row>
    <row customHeight="1" ht="27">
      <c r="A41" s="846"/>
      <c r="B41" s="900">
        <v>24</v>
      </c>
      <c r="C41" s="844" t="s">
        <v>2232</v>
      </c>
      <c r="D41" s="968"/>
      <c r="E41" s="844"/>
      <c r="F41" s="844"/>
      <c r="G41" s="844"/>
      <c r="H41" s="892"/>
      <c r="I41" s="1006" t="str">
        <f>INDEX(TEMPLATE_NUMBER_POINT_FHD,B41,MATCH(TEMPLATE_SPHERE,TEMPLATE_SPHERE_LIST_FOR_NOTE,0))</f>
        <v>2.10.1</v>
      </c>
      <c r="J41" s="1006" t="str">
        <f>INDEX(TEMPLATE_DATA_POINT_FHD,B41,MATCH(TEMPLATE_SPHERE,TEMPLATE_SPHERE_LIST_FOR_NOTE,0))</f>
        <v>Расходы на текущий ремонт</v>
      </c>
      <c r="K41" s="1006" t="str">
        <f>INDEX(TEMPLATE_NOTE_POINT_FHD,B41,MATCH(TEMPLATE_SPHERE,TEMPLATE_SPHERE_LIST_FOR_NOTE,0))</f>
        <v>Указываются расходы на текущий ремонт, отнесенные к общепроизводственным расходам.</v>
      </c>
      <c r="L41" s="845" t="str">
        <f>IF(I41=0,"",I41)</f>
        <v>2.10.1</v>
      </c>
      <c r="M41" s="845" t="str">
        <f>IF(J41=0,"",J41)</f>
        <v>Расходы на текущий ремонт</v>
      </c>
      <c r="N41" s="845" t="str">
        <f>IF(K41=0,"",K41)</f>
        <v>Указываются расходы на текущий ремонт, отнесенные к общепроизводственным расходам.</v>
      </c>
      <c r="O41" s="958" t="s">
        <v>2233</v>
      </c>
      <c r="P41" s="958" t="s">
        <v>2220</v>
      </c>
      <c r="Q41" s="958" t="s">
        <v>2233</v>
      </c>
      <c r="R41" s="958" t="s">
        <v>2220</v>
      </c>
      <c r="S41" s="958"/>
      <c r="T41" s="844" t="s">
        <v>2234</v>
      </c>
      <c r="U41" s="844" t="s">
        <v>2234</v>
      </c>
      <c r="V41" s="844" t="s">
        <v>2234</v>
      </c>
      <c r="W41" s="844" t="s">
        <v>2234</v>
      </c>
      <c r="X41" s="844"/>
      <c r="Y41" s="1001"/>
      <c r="Z41" s="847" t="s">
        <v>2235</v>
      </c>
      <c r="AA41" s="847" t="s">
        <v>2235</v>
      </c>
      <c r="AB41" s="847" t="s">
        <v>2235</v>
      </c>
      <c r="AC41" s="847" t="s">
        <v>2235</v>
      </c>
      <c r="AD41" s="847"/>
    </row>
    <row customHeight="1" ht="27">
      <c r="A42" s="846"/>
      <c r="B42" s="900">
        <v>25</v>
      </c>
      <c r="C42" s="844" t="s">
        <v>2236</v>
      </c>
      <c r="D42" s="968"/>
      <c r="E42" s="844"/>
      <c r="F42" s="844"/>
      <c r="G42" s="844"/>
      <c r="H42" s="892"/>
      <c r="I42" s="1006" t="str">
        <f>INDEX(TEMPLATE_NUMBER_POINT_FHD,B42,MATCH(TEMPLATE_SPHERE,TEMPLATE_SPHERE_LIST_FOR_NOTE,0))</f>
        <v>2.10.2</v>
      </c>
      <c r="J42" s="1006" t="str">
        <f>INDEX(TEMPLATE_DATA_POINT_FHD,B42,MATCH(TEMPLATE_SPHERE,TEMPLATE_SPHERE_LIST_FOR_NOTE,0))</f>
        <v>Расходы на капитальный ремонт</v>
      </c>
      <c r="K42" s="1006" t="str">
        <f>INDEX(TEMPLATE_NOTE_POINT_FHD,B42,MATCH(TEMPLATE_SPHERE,TEMPLATE_SPHERE_LIST_FOR_NOTE,0))</f>
        <v>Указываются расходы на капитальный ремонт, отнесенные к общепроизводственным расходам.</v>
      </c>
      <c r="L42" s="845" t="str">
        <f>IF(I42=0,"",I42)</f>
        <v>2.10.2</v>
      </c>
      <c r="M42" s="845" t="str">
        <f>IF(J42=0,"",J42)</f>
        <v>Расходы на капитальный ремонт</v>
      </c>
      <c r="N42" s="845" t="str">
        <f>IF(K42=0,"",K42)</f>
        <v>Указываются расходы на капитальный ремонт, отнесенные к общепроизводственным расходам.</v>
      </c>
      <c r="O42" s="958" t="s">
        <v>2237</v>
      </c>
      <c r="P42" s="958" t="s">
        <v>2223</v>
      </c>
      <c r="Q42" s="958" t="s">
        <v>2237</v>
      </c>
      <c r="R42" s="958" t="s">
        <v>2223</v>
      </c>
      <c r="S42" s="958"/>
      <c r="T42" s="844" t="s">
        <v>2238</v>
      </c>
      <c r="U42" s="844" t="s">
        <v>2238</v>
      </c>
      <c r="V42" s="844" t="s">
        <v>2238</v>
      </c>
      <c r="W42" s="844" t="s">
        <v>2238</v>
      </c>
      <c r="X42" s="844"/>
      <c r="Y42" s="1001"/>
      <c r="Z42" s="847" t="s">
        <v>2239</v>
      </c>
      <c r="AA42" s="847" t="s">
        <v>2239</v>
      </c>
      <c r="AB42" s="847" t="s">
        <v>2239</v>
      </c>
      <c r="AC42" s="847" t="s">
        <v>2239</v>
      </c>
      <c r="AD42" s="847"/>
    </row>
    <row customHeight="1" ht="18">
      <c r="A43" s="846"/>
      <c r="B43" s="900">
        <v>26</v>
      </c>
      <c r="C43" s="844">
        <v>14</v>
      </c>
      <c r="D43" s="968"/>
      <c r="E43" s="844"/>
      <c r="F43" s="844"/>
      <c r="G43" s="844"/>
      <c r="H43" s="892"/>
      <c r="I43" s="1006" t="str">
        <f>INDEX(TEMPLATE_NUMBER_POINT_FHD,B43,MATCH(TEMPLATE_SPHERE,TEMPLATE_SPHERE_LIST_FOR_NOTE,0))</f>
        <v>2.11</v>
      </c>
      <c r="J43" s="1006" t="str">
        <f>INDEX(TEMPLATE_DATA_POINT_FHD,B43,MATCH(TEMPLATE_SPHERE,TEMPLATE_SPHERE_LIST_FOR_NOTE,0))</f>
        <v>Общехозяйственные расходы, в том числе:</v>
      </c>
      <c r="K43" s="1006" t="str">
        <f>INDEX(TEMPLATE_NOTE_POINT_FHD,B43,MATCH(TEMPLATE_SPHERE,TEMPLATE_SPHERE_LIST_FOR_NOTE,0))</f>
        <v>Указывается общая сумма общехозяйственных расходов.</v>
      </c>
      <c r="L43" s="845" t="str">
        <f>IF(I43=0,"",I43)</f>
        <v>2.11</v>
      </c>
      <c r="M43" s="845" t="str">
        <f>IF(J43=0,"",J43)</f>
        <v>Общехозяйственные расходы, в том числе:</v>
      </c>
      <c r="N43" s="845" t="str">
        <f>IF(K43=0,"",K43)</f>
        <v>Указывается общая сумма общехозяйственных расходов.</v>
      </c>
      <c r="O43" s="958" t="s">
        <v>2240</v>
      </c>
      <c r="P43" s="958" t="s">
        <v>876</v>
      </c>
      <c r="Q43" s="958" t="s">
        <v>2240</v>
      </c>
      <c r="R43" s="958" t="s">
        <v>876</v>
      </c>
      <c r="S43" s="958"/>
      <c r="T43" s="844" t="s">
        <v>2241</v>
      </c>
      <c r="U43" s="844" t="s">
        <v>2241</v>
      </c>
      <c r="V43" s="844" t="s">
        <v>2241</v>
      </c>
      <c r="W43" s="844" t="s">
        <v>2241</v>
      </c>
      <c r="X43" s="844"/>
      <c r="Y43" s="1001"/>
      <c r="Z43" s="847" t="s">
        <v>2242</v>
      </c>
      <c r="AA43" s="847" t="s">
        <v>2242</v>
      </c>
      <c r="AB43" s="847" t="s">
        <v>2242</v>
      </c>
      <c r="AC43" s="847" t="s">
        <v>2242</v>
      </c>
      <c r="AD43" s="847"/>
    </row>
    <row customHeight="1" ht="27">
      <c r="A44" s="846"/>
      <c r="B44" s="900">
        <v>27</v>
      </c>
      <c r="C44" s="844" t="s">
        <v>2243</v>
      </c>
      <c r="D44" s="968"/>
      <c r="E44" s="844"/>
      <c r="F44" s="844"/>
      <c r="G44" s="844"/>
      <c r="H44" s="892"/>
      <c r="I44" s="1006" t="str">
        <f>INDEX(TEMPLATE_NUMBER_POINT_FHD,B44,MATCH(TEMPLATE_SPHERE,TEMPLATE_SPHERE_LIST_FOR_NOTE,0))</f>
        <v>2.11.1</v>
      </c>
      <c r="J44" s="1006" t="str">
        <f>INDEX(TEMPLATE_DATA_POINT_FHD,B44,MATCH(TEMPLATE_SPHERE,TEMPLATE_SPHERE_LIST_FOR_NOTE,0))</f>
        <v>Расходы на текущий ремонт</v>
      </c>
      <c r="K44" s="1006" t="str">
        <f>INDEX(TEMPLATE_NOTE_POINT_FHD,B44,MATCH(TEMPLATE_SPHERE,TEMPLATE_SPHERE_LIST_FOR_NOTE,0))</f>
        <v>Указываются расходы на текущий ремонт, отнесенные к общехозяйственным расходам.</v>
      </c>
      <c r="L44" s="845" t="str">
        <f>IF(I44=0,"",I44)</f>
        <v>2.11.1</v>
      </c>
      <c r="M44" s="845" t="str">
        <f>IF(J44=0,"",J44)</f>
        <v>Расходы на текущий ремонт</v>
      </c>
      <c r="N44" s="845" t="str">
        <f>IF(K44=0,"",K44)</f>
        <v>Указываются расходы на текущий ремонт, отнесенные к общехозяйственным расходам.</v>
      </c>
      <c r="O44" s="958" t="s">
        <v>2244</v>
      </c>
      <c r="P44" s="958" t="s">
        <v>2245</v>
      </c>
      <c r="Q44" s="958" t="s">
        <v>2244</v>
      </c>
      <c r="R44" s="958" t="s">
        <v>2245</v>
      </c>
      <c r="S44" s="958"/>
      <c r="T44" s="844" t="s">
        <v>2234</v>
      </c>
      <c r="U44" s="844" t="s">
        <v>2234</v>
      </c>
      <c r="V44" s="844" t="s">
        <v>2234</v>
      </c>
      <c r="W44" s="844" t="s">
        <v>2234</v>
      </c>
      <c r="X44" s="844"/>
      <c r="Y44" s="1001"/>
      <c r="Z44" s="847" t="s">
        <v>2246</v>
      </c>
      <c r="AA44" s="847" t="s">
        <v>2246</v>
      </c>
      <c r="AB44" s="847" t="s">
        <v>2246</v>
      </c>
      <c r="AC44" s="847" t="s">
        <v>2246</v>
      </c>
      <c r="AD44" s="847"/>
    </row>
    <row customHeight="1" ht="27">
      <c r="A45" s="846"/>
      <c r="B45" s="900">
        <v>28</v>
      </c>
      <c r="C45" s="844" t="s">
        <v>2247</v>
      </c>
      <c r="D45" s="968"/>
      <c r="E45" s="844"/>
      <c r="F45" s="844"/>
      <c r="G45" s="844"/>
      <c r="H45" s="892"/>
      <c r="I45" s="1006" t="str">
        <f>INDEX(TEMPLATE_NUMBER_POINT_FHD,B45,MATCH(TEMPLATE_SPHERE,TEMPLATE_SPHERE_LIST_FOR_NOTE,0))</f>
        <v>2.11.2</v>
      </c>
      <c r="J45" s="1006" t="str">
        <f>INDEX(TEMPLATE_DATA_POINT_FHD,B45,MATCH(TEMPLATE_SPHERE,TEMPLATE_SPHERE_LIST_FOR_NOTE,0))</f>
        <v>Расходы на капитальный ремонт</v>
      </c>
      <c r="K45" s="1006" t="str">
        <f>INDEX(TEMPLATE_NOTE_POINT_FHD,B45,MATCH(TEMPLATE_SPHERE,TEMPLATE_SPHERE_LIST_FOR_NOTE,0))</f>
        <v>Указываются расходы на капитальный ремонт, отнесенные к общехозяйственным расходам.</v>
      </c>
      <c r="L45" s="845" t="str">
        <f>IF(I45=0,"",I45)</f>
        <v>2.11.2</v>
      </c>
      <c r="M45" s="845" t="str">
        <f>IF(J45=0,"",J45)</f>
        <v>Расходы на капитальный ремонт</v>
      </c>
      <c r="N45" s="845" t="str">
        <f>IF(K45=0,"",K45)</f>
        <v>Указываются расходы на капитальный ремонт, отнесенные к общехозяйственным расходам.</v>
      </c>
      <c r="O45" s="958" t="s">
        <v>2248</v>
      </c>
      <c r="P45" s="958" t="s">
        <v>2249</v>
      </c>
      <c r="Q45" s="958" t="s">
        <v>2248</v>
      </c>
      <c r="R45" s="958" t="s">
        <v>2249</v>
      </c>
      <c r="S45" s="958"/>
      <c r="T45" s="844" t="s">
        <v>2238</v>
      </c>
      <c r="U45" s="844" t="s">
        <v>2238</v>
      </c>
      <c r="V45" s="844" t="s">
        <v>2238</v>
      </c>
      <c r="W45" s="844" t="s">
        <v>2238</v>
      </c>
      <c r="X45" s="844"/>
      <c r="Y45" s="1001"/>
      <c r="Z45" s="847" t="s">
        <v>2250</v>
      </c>
      <c r="AA45" s="847" t="s">
        <v>2250</v>
      </c>
      <c r="AB45" s="847" t="s">
        <v>2250</v>
      </c>
      <c r="AC45" s="847" t="s">
        <v>2250</v>
      </c>
      <c r="AD45" s="847"/>
    </row>
    <row customHeight="1" ht="54">
      <c r="A46" s="846"/>
      <c r="B46" s="900">
        <v>29</v>
      </c>
      <c r="C46" s="844">
        <v>15</v>
      </c>
      <c r="D46" s="968"/>
      <c r="E46" s="844"/>
      <c r="F46" s="844"/>
      <c r="G46" s="844"/>
      <c r="H46" s="892"/>
      <c r="I46" s="1006" t="str">
        <f>INDEX(TEMPLATE_NUMBER_POINT_FHD,B46,MATCH(TEMPLATE_SPHERE,TEMPLATE_SPHERE_LIST_FOR_NOTE,0))</f>
        <v>2.12</v>
      </c>
      <c r="J46" s="1006" t="str">
        <f>INDEX(TEMPLATE_DATA_POINT_FHD,B46,MATCH(TEMPLATE_SPHERE,TEMPLATE_SPHERE_LIST_FOR_NOTE,0))</f>
        <v>Расходы на капитальный и текущий ремонт основных производственных средств</v>
      </c>
      <c r="K46" s="1006" t="str">
        <f>INDEX(TEMPLATE_NOTE_POINT_FHD,B46,MATCH(TEMPLATE_SPHERE,TEMPLATE_SPHERE_LIST_FOR_NOTE,0))</f>
        <v>Указывается информация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L46" s="845" t="str">
        <f>IF(I46=0,"",I46)</f>
        <v>2.12</v>
      </c>
      <c r="M46" s="845" t="str">
        <f>IF(J46=0,"",J46)</f>
        <v>Расходы на капитальный и текущий ремонт основных производственных средств</v>
      </c>
      <c r="N46" s="845" t="str">
        <f>IF(K46=0,"",K46)</f>
        <v>Указывается информация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O46" s="958" t="s">
        <v>2251</v>
      </c>
      <c r="P46" s="958" t="s">
        <v>2229</v>
      </c>
      <c r="Q46" s="958" t="s">
        <v>2251</v>
      </c>
      <c r="R46" s="958" t="s">
        <v>2229</v>
      </c>
      <c r="S46" s="958"/>
      <c r="T46" s="845" t="str">
        <f>"Расходы на капитальный и текущий ремонт основных"&amp;IF(TITLE_TYPE_ORG="Регулируемая организация",""," производственных")&amp;" средств"</f>
        <v>Расходы на капитальный и текущий ремонт основных производственных средств</v>
      </c>
      <c r="U46" s="844" t="s">
        <v>2252</v>
      </c>
      <c r="V46" s="844" t="s">
        <v>2252</v>
      </c>
      <c r="W46" s="844" t="s">
        <v>2252</v>
      </c>
      <c r="X46" s="844"/>
      <c r="Y46" s="1001"/>
      <c r="Z46" s="847" t="s">
        <v>2253</v>
      </c>
      <c r="AA46" s="847" t="s">
        <v>2254</v>
      </c>
      <c r="AB46" s="847" t="s">
        <v>2254</v>
      </c>
      <c r="AC46" s="847" t="s">
        <v>2254</v>
      </c>
      <c r="AD46" s="847"/>
    </row>
    <row customHeight="1" ht="54">
      <c r="A47" s="846"/>
      <c r="B47" s="900">
        <v>30</v>
      </c>
      <c r="C47" s="844" t="s">
        <v>2255</v>
      </c>
      <c r="D47" s="968"/>
      <c r="E47" s="844"/>
      <c r="F47" s="844"/>
      <c r="G47" s="844"/>
      <c r="H47" s="892"/>
      <c r="I47" s="1006" t="str">
        <f>INDEX(TEMPLATE_NUMBER_POINT_FHD,B47,MATCH(TEMPLATE_SPHERE,TEMPLATE_SPHERE_LIST_FOR_NOTE,0))</f>
        <v>2.12.1</v>
      </c>
      <c r="J47" s="1006" t="str">
        <f>INDEX(TEMPLATE_DATA_POINT_FHD,B47,MATCH(TEMPLATE_SPHERE,TEMPLATE_SPHERE_LIST_FOR_NOTE,0))</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K47" s="1006">
        <f>INDEX(TEMPLATE_NOTE_POINT_FHD,B47,MATCH(TEMPLATE_SPHERE,TEMPLATE_SPHERE_LIST_FOR_NOTE,0))</f>
        <v>0</v>
      </c>
      <c r="L47" s="845" t="str">
        <f>IF(I47=0,"",I47)</f>
        <v>2.12.1</v>
      </c>
      <c r="M47" s="845" t="str">
        <f>IF(J47=0,"",J47)</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N47" s="845" t="str">
        <f>IF(K47=0,"",K47)</f>
        <v/>
      </c>
      <c r="O47" s="958" t="s">
        <v>2256</v>
      </c>
      <c r="P47" s="958" t="s">
        <v>2233</v>
      </c>
      <c r="Q47" s="958" t="s">
        <v>2256</v>
      </c>
      <c r="R47" s="958" t="s">
        <v>2233</v>
      </c>
      <c r="S47" s="958"/>
      <c r="T47" s="844" t="s">
        <v>2257</v>
      </c>
      <c r="U47" s="844" t="s">
        <v>2257</v>
      </c>
      <c r="V47" s="844" t="s">
        <v>2257</v>
      </c>
      <c r="W47" s="844" t="s">
        <v>2257</v>
      </c>
      <c r="X47" s="844"/>
      <c r="Y47" s="1001"/>
      <c r="Z47" s="847"/>
      <c r="AA47" s="850"/>
      <c r="AB47" s="850"/>
      <c r="AC47" s="850"/>
      <c r="AD47" s="847"/>
    </row>
    <row customHeight="1" ht="54">
      <c r="A48" s="846"/>
      <c r="B48" s="900">
        <v>31</v>
      </c>
      <c r="C48" s="844">
        <v>16</v>
      </c>
      <c r="D48" s="968"/>
      <c r="E48" s="844"/>
      <c r="F48" s="844"/>
      <c r="G48" s="844"/>
      <c r="H48" s="892"/>
      <c r="I48" s="1006">
        <f>INDEX(TEMPLATE_NUMBER_POINT_FHD,B48,MATCH(TEMPLATE_SPHERE,TEMPLATE_SPHERE_LIST_FOR_NOTE,0))</f>
        <v>0</v>
      </c>
      <c r="J48" s="1006">
        <f>INDEX(TEMPLATE_DATA_POINT_FHD,B48,MATCH(TEMPLATE_SPHERE,TEMPLATE_SPHERE_LIST_FOR_NOTE,0))</f>
        <v>0</v>
      </c>
      <c r="K48" s="1006">
        <f>INDEX(TEMPLATE_NOTE_POINT_FHD,B48,MATCH(TEMPLATE_SPHERE,TEMPLATE_SPHERE_LIST_FOR_NOTE,0))</f>
        <v>0</v>
      </c>
      <c r="L48" s="845" t="str">
        <f>IF(I48=0,"",I48)</f>
        <v/>
      </c>
      <c r="M48" s="845" t="str">
        <f>IF(J48=0,"",J48)</f>
        <v/>
      </c>
      <c r="N48" s="845" t="str">
        <f>IF(K48=0,"",K48)</f>
        <v/>
      </c>
      <c r="O48" s="958"/>
      <c r="P48" s="958" t="s">
        <v>2240</v>
      </c>
      <c r="Q48" s="958" t="s">
        <v>2258</v>
      </c>
      <c r="R48" s="958" t="s">
        <v>2240</v>
      </c>
      <c r="S48" s="958"/>
      <c r="T48" s="844"/>
      <c r="U48" s="844" t="s">
        <v>2259</v>
      </c>
      <c r="V48" s="844" t="s">
        <v>2260</v>
      </c>
      <c r="W48" s="844" t="s">
        <v>2260</v>
      </c>
      <c r="X48" s="844"/>
      <c r="Y48" s="1001"/>
      <c r="Z48" s="847"/>
      <c r="AA48" s="850" t="s">
        <v>2254</v>
      </c>
      <c r="AB48" s="850" t="s">
        <v>2254</v>
      </c>
      <c r="AC48" s="850" t="s">
        <v>2254</v>
      </c>
      <c r="AD48" s="847"/>
    </row>
    <row customHeight="1" ht="54">
      <c r="A49" s="846"/>
      <c r="B49" s="900">
        <v>32</v>
      </c>
      <c r="C49" s="844" t="s">
        <v>2261</v>
      </c>
      <c r="D49" s="968"/>
      <c r="E49" s="844"/>
      <c r="F49" s="844"/>
      <c r="G49" s="844"/>
      <c r="H49" s="892"/>
      <c r="I49" s="1006">
        <f>INDEX(TEMPLATE_NUMBER_POINT_FHD,B49,MATCH(TEMPLATE_SPHERE,TEMPLATE_SPHERE_LIST_FOR_NOTE,0))</f>
        <v>0</v>
      </c>
      <c r="J49" s="1006">
        <f>INDEX(TEMPLATE_DATA_POINT_FHD,B49,MATCH(TEMPLATE_SPHERE,TEMPLATE_SPHERE_LIST_FOR_NOTE,0))</f>
        <v>0</v>
      </c>
      <c r="K49" s="1006">
        <f>INDEX(TEMPLATE_NOTE_POINT_FHD,B49,MATCH(TEMPLATE_SPHERE,TEMPLATE_SPHERE_LIST_FOR_NOTE,0))</f>
        <v>0</v>
      </c>
      <c r="L49" s="845" t="str">
        <f>IF(I49=0,"",I49)</f>
        <v/>
      </c>
      <c r="M49" s="845" t="str">
        <f>IF(J49=0,"",J49)</f>
        <v/>
      </c>
      <c r="N49" s="845" t="str">
        <f>IF(K49=0,"",K49)</f>
        <v/>
      </c>
      <c r="O49" s="958"/>
      <c r="P49" s="958" t="s">
        <v>2244</v>
      </c>
      <c r="Q49" s="958" t="s">
        <v>2262</v>
      </c>
      <c r="R49" s="958" t="s">
        <v>2244</v>
      </c>
      <c r="S49" s="958"/>
      <c r="T49" s="844"/>
      <c r="U49" s="844" t="s">
        <v>2257</v>
      </c>
      <c r="V49" s="844" t="s">
        <v>2257</v>
      </c>
      <c r="W49" s="844" t="s">
        <v>2257</v>
      </c>
      <c r="X49" s="844"/>
      <c r="Y49" s="1001"/>
      <c r="Z49" s="847"/>
      <c r="AA49" s="850"/>
      <c r="AB49" s="850"/>
      <c r="AC49" s="850"/>
      <c r="AD49" s="847"/>
    </row>
    <row customHeight="1" ht="126">
      <c r="A50" s="846"/>
      <c r="B50" s="900">
        <v>33</v>
      </c>
      <c r="C50" s="844">
        <v>17</v>
      </c>
      <c r="D50" s="968"/>
      <c r="E50" s="844"/>
      <c r="F50" s="844"/>
      <c r="G50" s="844"/>
      <c r="H50" s="892"/>
      <c r="I50" s="1006" t="str">
        <f>INDEX(TEMPLATE_NUMBER_POINT_FHD,B50,MATCH(TEMPLATE_SPHERE,TEMPLATE_SPHERE_LIST_FOR_NOTE,0))</f>
        <v>2.13</v>
      </c>
      <c r="J50" s="1006" t="str">
        <f>INDEX(TEMPLATE_DATA_POINT_FHD,B50,MATCH(TEMPLATE_SPHERE,TEMPLATE_SPHERE_LIST_FOR_NOTE,0))</f>
        <v>Прочие расходы, которые подлежат отнесению на регулируемые виды деятельности в соответствии с законодательством Российской Федерации</v>
      </c>
      <c r="K50" s="1006" t="str">
        <f>INDEX(TEMPLATE_NOTE_POINT_FHD,B50,MATCH(TEMPLATE_SPHERE,TEMPLATE_SPHERE_LIST_FOR_NOTE,0))</f>
        <v>Указывается общая сумма прочих расходов, которые подлежат отнесению на регулируемые виды деятельности в соответствии с законодательством в сфере теплоснабжения.</v>
      </c>
      <c r="L50" s="845" t="str">
        <f>IF(I50=0,"",I50)</f>
        <v>2.13</v>
      </c>
      <c r="M50" s="845" t="str">
        <f>IF(J50=0,"",J50)</f>
        <v>Прочие расходы, которые подлежат отнесению на регулируемые виды деятельности в соответствии с законодательством Российской Федерации</v>
      </c>
      <c r="N50" s="845" t="str">
        <f>IF(K50=0,"",K50)</f>
        <v>Указывается общая сумма прочих расходов, которые подлежат отнесению на регулируемые виды деятельности в соответствии с законодательством в сфере теплоснабжения.</v>
      </c>
      <c r="O50" s="958" t="s">
        <v>2258</v>
      </c>
      <c r="P50" s="958" t="s">
        <v>2251</v>
      </c>
      <c r="Q50" s="958" t="s">
        <v>2263</v>
      </c>
      <c r="R50" s="958" t="s">
        <v>2251</v>
      </c>
      <c r="S50" s="958"/>
      <c r="T50" s="844" t="s">
        <v>2264</v>
      </c>
      <c r="U50" s="844" t="s">
        <v>2265</v>
      </c>
      <c r="V50" s="844" t="s">
        <v>2266</v>
      </c>
      <c r="W50" s="844" t="s">
        <v>2267</v>
      </c>
      <c r="X50" s="844"/>
      <c r="Y50" s="1001"/>
      <c r="Z50" s="847" t="s">
        <v>2268</v>
      </c>
      <c r="AA50" s="850" t="s">
        <v>2269</v>
      </c>
      <c r="AB50" s="850" t="s">
        <v>2269</v>
      </c>
      <c r="AC50" s="850" t="s">
        <v>2269</v>
      </c>
      <c r="AD50" s="847"/>
    </row>
    <row customHeight="1" ht="27">
      <c r="A51" s="846"/>
      <c r="B51" s="900">
        <v>34</v>
      </c>
      <c r="C51" s="844" t="s">
        <v>2270</v>
      </c>
      <c r="D51" s="968"/>
      <c r="E51" s="844"/>
      <c r="F51" s="844"/>
      <c r="G51" s="844"/>
      <c r="H51" s="892"/>
      <c r="I51" s="1006" t="str">
        <f>INDEX(TEMPLATE_NUMBER_POINT_FHD,B51,MATCH(TEMPLATE_SPHERE,TEMPLATE_SPHERE_LIST_FOR_NOTE,0))</f>
        <v>3</v>
      </c>
      <c r="J51" s="1006" t="str">
        <f>INDEX(TEMPLATE_DATA_POINT_FHD,B51,MATCH(TEMPLATE_SPHERE,TEMPLATE_SPHERE_LIST_FOR_NOTE,0))</f>
        <v>Валовая прибыль (убытки) от реализации товаров и оказания услуг по регулируемому виду деятельности</v>
      </c>
      <c r="K51" s="1006">
        <f>INDEX(TEMPLATE_NOTE_POINT_FHD,B51,MATCH(TEMPLATE_SPHERE,TEMPLATE_SPHERE_LIST_FOR_NOTE,0))</f>
        <v>0</v>
      </c>
      <c r="L51" s="845" t="str">
        <f>IF(I51=0,"",I51)</f>
        <v>3</v>
      </c>
      <c r="M51" s="845" t="str">
        <f>IF(J51=0,"",J51)</f>
        <v>Валовая прибыль (убытки) от реализации товаров и оказания услуг по регулируемому виду деятельности</v>
      </c>
      <c r="N51" s="845" t="str">
        <f>IF(K51=0,"",K51)</f>
        <v/>
      </c>
      <c r="O51" s="958" t="s">
        <v>94</v>
      </c>
      <c r="P51" s="958"/>
      <c r="Q51" s="958"/>
      <c r="R51" s="958"/>
      <c r="S51" s="958"/>
      <c r="T51" s="844" t="s">
        <v>2271</v>
      </c>
      <c r="U51" s="844"/>
      <c r="V51" s="844"/>
      <c r="W51" s="844"/>
      <c r="X51" s="844"/>
      <c r="Y51" s="1001"/>
      <c r="Z51" s="847"/>
      <c r="AA51" s="850"/>
      <c r="AB51" s="850"/>
      <c r="AC51" s="850"/>
      <c r="AD51" s="847"/>
    </row>
    <row customHeight="1" ht="36">
      <c r="A52" s="846"/>
      <c r="B52" s="900">
        <v>35</v>
      </c>
      <c r="C52" s="844" t="s">
        <v>2164</v>
      </c>
      <c r="D52" s="968" t="s">
        <v>2164</v>
      </c>
      <c r="E52" s="844" t="s">
        <v>2164</v>
      </c>
      <c r="F52" s="844" t="s">
        <v>2164</v>
      </c>
      <c r="G52" s="844"/>
      <c r="H52" s="892"/>
      <c r="I52" s="1006" t="str">
        <f>INDEX(TEMPLATE_NUMBER_POINT_FHD,B52,MATCH(TEMPLATE_SPHERE,TEMPLATE_SPHERE_LIST_FOR_NOTE,0))</f>
        <v>4</v>
      </c>
      <c r="J52" s="1006" t="str">
        <f>INDEX(TEMPLATE_DATA_POINT_FHD,B52,MATCH(TEMPLATE_SPHERE,TEMPLATE_SPHERE_LIST_FOR_NOTE,0))</f>
        <v>Чистая прибыль, полученная от регулируемого вида деятельности, в том числе:</v>
      </c>
      <c r="K52" s="1006" t="str">
        <f>INDEX(TEMPLATE_NOTE_POINT_FHD,B52,MATCH(TEMPLATE_SPHERE,TEMPLATE_SPHERE_LIST_FOR_NOTE,0))</f>
        <v>Указывается общая сумма чистой прибыли, полученной от регулируемого вида деятельности.</v>
      </c>
      <c r="L52" s="845" t="str">
        <f>IF(I52=0,"",I52)</f>
        <v>4</v>
      </c>
      <c r="M52" s="845" t="str">
        <f>IF(J52=0,"",J52)</f>
        <v>Чистая прибыль, полученная от регулируемого вида деятельности, в том числе:</v>
      </c>
      <c r="N52" s="845" t="str">
        <f>IF(K52=0,"",K52)</f>
        <v>Указывается общая сумма чистой прибыли, полученной от регулируемого вида деятельности.</v>
      </c>
      <c r="O52" s="958" t="s">
        <v>95</v>
      </c>
      <c r="P52" s="958" t="s">
        <v>94</v>
      </c>
      <c r="Q52" s="958" t="s">
        <v>94</v>
      </c>
      <c r="R52" s="958" t="s">
        <v>94</v>
      </c>
      <c r="S52" s="958"/>
      <c r="T52" s="844" t="s">
        <v>2272</v>
      </c>
      <c r="U52" s="844" t="s">
        <v>2273</v>
      </c>
      <c r="V52" s="844" t="s">
        <v>2274</v>
      </c>
      <c r="W52" s="844" t="s">
        <v>2275</v>
      </c>
      <c r="X52" s="844"/>
      <c r="Y52" s="1001"/>
      <c r="Z52" s="847" t="s">
        <v>880</v>
      </c>
      <c r="AA52" s="850" t="s">
        <v>880</v>
      </c>
      <c r="AB52" s="850" t="s">
        <v>880</v>
      </c>
      <c r="AC52" s="850" t="s">
        <v>880</v>
      </c>
      <c r="AD52" s="847"/>
    </row>
    <row customHeight="1" ht="36">
      <c r="A53" s="846"/>
      <c r="B53" s="900">
        <v>36</v>
      </c>
      <c r="C53" s="844">
        <v>1</v>
      </c>
      <c r="D53" s="968"/>
      <c r="E53" s="844"/>
      <c r="F53" s="844"/>
      <c r="G53" s="844"/>
      <c r="H53" s="892"/>
      <c r="I53" s="1006" t="str">
        <f>INDEX(TEMPLATE_NUMBER_POINT_FHD,B53,MATCH(TEMPLATE_SPHERE,TEMPLATE_SPHERE_LIST_FOR_NOTE,0))</f>
        <v>4.1</v>
      </c>
      <c r="J53" s="1006" t="str">
        <f>INDEX(TEMPLATE_DATA_POINT_FHD,B53,MATCH(TEMPLATE_SPHERE,TEMPLATE_SPHERE_LIST_FOR_NOTE,0))</f>
        <v>Размер расходования чистой прибыли на финансирование мероприятий, предусмотренных инвестиционной программой регулируемой организации</v>
      </c>
      <c r="K53" s="1006">
        <f>INDEX(TEMPLATE_NOTE_POINT_FHD,B53,MATCH(TEMPLATE_SPHERE,TEMPLATE_SPHERE_LIST_FOR_NOTE,0))</f>
        <v>0</v>
      </c>
      <c r="L53" s="845" t="str">
        <f>IF(I53=0,"",I53)</f>
        <v>4.1</v>
      </c>
      <c r="M53" s="845" t="str">
        <f>IF(J53=0,"",J53)</f>
        <v>Размер расходования чистой прибыли на финансирование мероприятий, предусмотренных инвестиционной программой регулируемой организации</v>
      </c>
      <c r="N53" s="845" t="str">
        <f>IF(K53=0,"",K53)</f>
        <v/>
      </c>
      <c r="O53" s="958" t="s">
        <v>884</v>
      </c>
      <c r="P53" s="958" t="s">
        <v>454</v>
      </c>
      <c r="Q53" s="958" t="s">
        <v>454</v>
      </c>
      <c r="R53" s="958" t="s">
        <v>454</v>
      </c>
      <c r="S53" s="958"/>
      <c r="T53" s="844" t="s">
        <v>2276</v>
      </c>
      <c r="U53" s="844" t="s">
        <v>2276</v>
      </c>
      <c r="V53" s="844" t="s">
        <v>2276</v>
      </c>
      <c r="W53" s="844" t="s">
        <v>2276</v>
      </c>
      <c r="X53" s="844"/>
      <c r="Y53" s="1001"/>
      <c r="Z53" s="847"/>
      <c r="AA53" s="850"/>
      <c r="AB53" s="847"/>
      <c r="AC53" s="847"/>
      <c r="AD53" s="847"/>
    </row>
    <row customHeight="1" ht="18">
      <c r="A54" s="846"/>
      <c r="B54" s="900">
        <v>37</v>
      </c>
      <c r="C54" s="844" t="s">
        <v>2170</v>
      </c>
      <c r="D54" s="968" t="s">
        <v>2170</v>
      </c>
      <c r="E54" s="844" t="s">
        <v>2170</v>
      </c>
      <c r="F54" s="844" t="s">
        <v>2170</v>
      </c>
      <c r="G54" s="844"/>
      <c r="H54" s="892"/>
      <c r="I54" s="1006" t="str">
        <f>INDEX(TEMPLATE_NUMBER_POINT_FHD,B54,MATCH(TEMPLATE_SPHERE,TEMPLATE_SPHERE_LIST_FOR_NOTE,0))</f>
        <v>5</v>
      </c>
      <c r="J54" s="1006" t="str">
        <f>INDEX(TEMPLATE_DATA_POINT_FHD,B54,MATCH(TEMPLATE_SPHERE,TEMPLATE_SPHERE_LIST_FOR_NOTE,0))</f>
        <v>Изменение стоимости основных фондов, в том числе:</v>
      </c>
      <c r="K54" s="1006" t="str">
        <f>INDEX(TEMPLATE_NOTE_POINT_FHD,B54,MATCH(TEMPLATE_SPHERE,TEMPLATE_SPHERE_LIST_FOR_NOTE,0))</f>
        <v>Указывается общее изменение стоимости основных фондов.</v>
      </c>
      <c r="L54" s="845" t="str">
        <f>IF(I54=0,"",I54)</f>
        <v>5</v>
      </c>
      <c r="M54" s="845" t="str">
        <f>IF(J54=0,"",J54)</f>
        <v>Изменение стоимости основных фондов, в том числе:</v>
      </c>
      <c r="N54" s="845" t="str">
        <f>IF(K54=0,"",K54)</f>
        <v>Указывается общее изменение стоимости основных фондов.</v>
      </c>
      <c r="O54" s="958" t="s">
        <v>124</v>
      </c>
      <c r="P54" s="958" t="s">
        <v>95</v>
      </c>
      <c r="Q54" s="958" t="s">
        <v>95</v>
      </c>
      <c r="R54" s="958" t="s">
        <v>95</v>
      </c>
      <c r="S54" s="958"/>
      <c r="T54" s="844" t="s">
        <v>882</v>
      </c>
      <c r="U54" s="844" t="s">
        <v>882</v>
      </c>
      <c r="V54" s="844" t="s">
        <v>882</v>
      </c>
      <c r="W54" s="844" t="s">
        <v>882</v>
      </c>
      <c r="X54" s="844"/>
      <c r="Y54" s="1001"/>
      <c r="Z54" s="847" t="s">
        <v>883</v>
      </c>
      <c r="AA54" s="847" t="s">
        <v>883</v>
      </c>
      <c r="AB54" s="847" t="s">
        <v>883</v>
      </c>
      <c r="AC54" s="847" t="s">
        <v>883</v>
      </c>
      <c r="AD54" s="847"/>
    </row>
    <row customHeight="1" ht="36">
      <c r="A55" s="846"/>
      <c r="B55" s="900">
        <v>38</v>
      </c>
      <c r="C55" s="844">
        <v>1</v>
      </c>
      <c r="D55" s="968"/>
      <c r="E55" s="844"/>
      <c r="F55" s="844"/>
      <c r="G55" s="844"/>
      <c r="H55" s="892"/>
      <c r="I55" s="1006" t="str">
        <f>INDEX(TEMPLATE_NUMBER_POINT_FHD,B55,MATCH(TEMPLATE_SPHERE,TEMPLATE_SPHERE_LIST_FOR_NOTE,0))</f>
        <v>5.1</v>
      </c>
      <c r="J55" s="1006" t="str">
        <f>INDEX(TEMPLATE_DATA_POINT_FHD,B55,MATCH(TEMPLATE_SPHERE,TEMPLATE_SPHERE_LIST_FOR_NOTE,0))</f>
        <v>за счет их ввода в эксплуатацию (вывода из эксплуатации)</v>
      </c>
      <c r="K55" s="1006" t="str">
        <f>INDEX(TEMPLATE_NOTE_POINT_FHD,B55,MATCH(TEMPLATE_SPHERE,TEMPLATE_SPHERE_LIST_FOR_NOTE,0))</f>
        <v>Указываются общее изменение стоимости основных фондов за счет их ввода в эксплуатацию и вывода из эксплуатации.</v>
      </c>
      <c r="L55" s="845" t="str">
        <f>IF(I55=0,"",I55)</f>
        <v>5.1</v>
      </c>
      <c r="M55" s="845" t="str">
        <f>IF(J55=0,"",J55)</f>
        <v>за счет их ввода в эксплуатацию (вывода из эксплуатации)</v>
      </c>
      <c r="N55" s="845" t="str">
        <f>IF(K55=0,"",K55)</f>
        <v>Указываются общее изменение стоимости основных фондов за счет их ввода в эксплуатацию и вывода из эксплуатации.</v>
      </c>
      <c r="O55" s="958" t="s">
        <v>443</v>
      </c>
      <c r="P55" s="958" t="s">
        <v>884</v>
      </c>
      <c r="Q55" s="958" t="s">
        <v>884</v>
      </c>
      <c r="R55" s="958" t="s">
        <v>884</v>
      </c>
      <c r="S55" s="958"/>
      <c r="T55" s="845" t="str">
        <f>IF(TITLE_TYPE_ORG="Регулируемая организация","Изменение стоимости основных фондов за счет:","за счет их ввода в эксплуатацию (вывода из эксплуатации)")</f>
        <v>за счет их ввода в эксплуатацию (вывода из эксплуатации)</v>
      </c>
      <c r="U55" s="844" t="s">
        <v>2277</v>
      </c>
      <c r="V55" s="844" t="s">
        <v>2277</v>
      </c>
      <c r="W55" s="844" t="s">
        <v>2277</v>
      </c>
      <c r="X55" s="844"/>
      <c r="Y55" s="1001"/>
      <c r="Z55" s="847" t="s">
        <v>2278</v>
      </c>
      <c r="AA55" s="847" t="s">
        <v>2278</v>
      </c>
      <c r="AB55" s="847" t="s">
        <v>2278</v>
      </c>
      <c r="AC55" s="847" t="s">
        <v>2278</v>
      </c>
      <c r="AD55" s="847"/>
    </row>
    <row customHeight="1" ht="27">
      <c r="A56" s="846"/>
      <c r="B56" s="900">
        <v>39</v>
      </c>
      <c r="C56" s="844" t="s">
        <v>1152</v>
      </c>
      <c r="D56" s="968"/>
      <c r="E56" s="844"/>
      <c r="F56" s="844"/>
      <c r="G56" s="844"/>
      <c r="H56" s="892"/>
      <c r="I56" s="1006" t="str">
        <f>INDEX(TEMPLATE_NUMBER_POINT_FHD,B56,MATCH(TEMPLATE_SPHERE,TEMPLATE_SPHERE_LIST_FOR_NOTE,0))</f>
        <v>5.1.1</v>
      </c>
      <c r="J56" s="1006" t="str">
        <f>INDEX(TEMPLATE_DATA_POINT_FHD,B56,MATCH(TEMPLATE_SPHERE,TEMPLATE_SPHERE_LIST_FOR_NOTE,0))</f>
        <v>за счет их ввода в эксплуатацию</v>
      </c>
      <c r="K56" s="1006" t="str">
        <f>INDEX(TEMPLATE_NOTE_POINT_FHD,B56,MATCH(TEMPLATE_SPHERE,TEMPLATE_SPHERE_LIST_FOR_NOTE,0))</f>
        <v>Указываются изменение стоимости основных фондов за счет их ввода в эксплуатацию.</v>
      </c>
      <c r="L56" s="845" t="str">
        <f>IF(I56=0,"",I56)</f>
        <v>5.1.1</v>
      </c>
      <c r="M56" s="845" t="str">
        <f>IF(J56=0,"",J56)</f>
        <v>за счет их ввода в эксплуатацию</v>
      </c>
      <c r="N56" s="845" t="str">
        <f>IF(K56=0,"",K56)</f>
        <v>Указываются изменение стоимости основных фондов за счет их ввода в эксплуатацию.</v>
      </c>
      <c r="O56" s="958" t="s">
        <v>1275</v>
      </c>
      <c r="P56" s="958" t="s">
        <v>887</v>
      </c>
      <c r="Q56" s="958" t="s">
        <v>887</v>
      </c>
      <c r="R56" s="958" t="s">
        <v>887</v>
      </c>
      <c r="S56" s="958"/>
      <c r="T56" s="845" t="str">
        <f>IF(TITLE_TYPE_ORG="Регулируемая организация","Изменения стоимости основных фондов за счет их ввода в эксплуатацию","за счет их ввода в эксплуатацию")</f>
        <v>за счет их ввода в эксплуатацию</v>
      </c>
      <c r="U56" s="844" t="s">
        <v>2279</v>
      </c>
      <c r="V56" s="844" t="s">
        <v>2279</v>
      </c>
      <c r="W56" s="844" t="s">
        <v>2279</v>
      </c>
      <c r="X56" s="844"/>
      <c r="Y56" s="1001"/>
      <c r="Z56" s="847" t="s">
        <v>889</v>
      </c>
      <c r="AA56" s="847" t="s">
        <v>889</v>
      </c>
      <c r="AB56" s="847" t="s">
        <v>889</v>
      </c>
      <c r="AC56" s="847" t="s">
        <v>889</v>
      </c>
      <c r="AD56" s="847"/>
    </row>
    <row customHeight="1" ht="27">
      <c r="A57" s="846"/>
      <c r="B57" s="900">
        <v>40</v>
      </c>
      <c r="C57" s="844" t="s">
        <v>1154</v>
      </c>
      <c r="D57" s="968"/>
      <c r="E57" s="844"/>
      <c r="F57" s="844"/>
      <c r="G57" s="844"/>
      <c r="H57" s="892"/>
      <c r="I57" s="1006" t="str">
        <f>INDEX(TEMPLATE_NUMBER_POINT_FHD,B57,MATCH(TEMPLATE_SPHERE,TEMPLATE_SPHERE_LIST_FOR_NOTE,0))</f>
        <v>5.1.2</v>
      </c>
      <c r="J57" s="1006" t="str">
        <f>INDEX(TEMPLATE_DATA_POINT_FHD,B57,MATCH(TEMPLATE_SPHERE,TEMPLATE_SPHERE_LIST_FOR_NOTE,0))</f>
        <v>за счет их вывода в эксплуатацию</v>
      </c>
      <c r="K57" s="1006" t="str">
        <f>INDEX(TEMPLATE_NOTE_POINT_FHD,B57,MATCH(TEMPLATE_SPHERE,TEMPLATE_SPHERE_LIST_FOR_NOTE,0))</f>
        <v>Указываются изменение стоимости основных фондов за счет их вывода из эксплуатации.</v>
      </c>
      <c r="L57" s="845" t="str">
        <f>IF(I57=0,"",I57)</f>
        <v>5.1.2</v>
      </c>
      <c r="M57" s="845" t="str">
        <f>IF(J57=0,"",J57)</f>
        <v>за счет их вывода в эксплуатацию</v>
      </c>
      <c r="N57" s="845" t="str">
        <f>IF(K57=0,"",K57)</f>
        <v>Указываются изменение стоимости основных фондов за счет их вывода из эксплуатации.</v>
      </c>
      <c r="O57" s="958" t="s">
        <v>2280</v>
      </c>
      <c r="P57" s="958" t="s">
        <v>890</v>
      </c>
      <c r="Q57" s="958" t="s">
        <v>890</v>
      </c>
      <c r="R57" s="958" t="s">
        <v>890</v>
      </c>
      <c r="S57" s="958"/>
      <c r="T57" s="845" t="str">
        <f>IF(TITLE_TYPE_ORG="Регулируемая организация","Изменения стоимости основных фондов за счет их вывода в эксплуатацию","за счет их вывода в эксплуатацию")</f>
        <v>за счет их вывода в эксплуатацию</v>
      </c>
      <c r="U57" s="844" t="s">
        <v>2281</v>
      </c>
      <c r="V57" s="844" t="s">
        <v>2281</v>
      </c>
      <c r="W57" s="844" t="s">
        <v>2281</v>
      </c>
      <c r="X57" s="844"/>
      <c r="Y57" s="1001"/>
      <c r="Z57" s="847" t="s">
        <v>892</v>
      </c>
      <c r="AA57" s="847" t="s">
        <v>892</v>
      </c>
      <c r="AB57" s="847" t="s">
        <v>892</v>
      </c>
      <c r="AC57" s="847" t="s">
        <v>892</v>
      </c>
      <c r="AD57" s="847"/>
    </row>
    <row customHeight="1" ht="18">
      <c r="A58" s="846"/>
      <c r="B58" s="900">
        <v>41</v>
      </c>
      <c r="C58" s="844">
        <v>2</v>
      </c>
      <c r="D58" s="968"/>
      <c r="E58" s="844"/>
      <c r="F58" s="844"/>
      <c r="G58" s="844"/>
      <c r="H58" s="892"/>
      <c r="I58" s="1006" t="str">
        <f>INDEX(TEMPLATE_NUMBER_POINT_FHD,B58,MATCH(TEMPLATE_SPHERE,TEMPLATE_SPHERE_LIST_FOR_NOTE,0))</f>
        <v>5.2</v>
      </c>
      <c r="J58" s="1006" t="str">
        <f>INDEX(TEMPLATE_DATA_POINT_FHD,B58,MATCH(TEMPLATE_SPHERE,TEMPLATE_SPHERE_LIST_FOR_NOTE,0))</f>
        <v>за счет их переоценки</v>
      </c>
      <c r="K58" s="1006">
        <f>INDEX(TEMPLATE_NOTE_POINT_FHD,B58,MATCH(TEMPLATE_SPHERE,TEMPLATE_SPHERE_LIST_FOR_NOTE,0))</f>
        <v>0</v>
      </c>
      <c r="L58" s="845" t="str">
        <f>IF(I58=0,"",I58)</f>
        <v>5.2</v>
      </c>
      <c r="M58" s="845" t="str">
        <f>IF(J58=0,"",J58)</f>
        <v>за счет их переоценки</v>
      </c>
      <c r="N58" s="845" t="str">
        <f>IF(K58=0,"",K58)</f>
        <v/>
      </c>
      <c r="O58" s="958" t="s">
        <v>1012</v>
      </c>
      <c r="P58" s="958" t="s">
        <v>926</v>
      </c>
      <c r="Q58" s="958" t="s">
        <v>926</v>
      </c>
      <c r="R58" s="958" t="s">
        <v>926</v>
      </c>
      <c r="S58" s="958"/>
      <c r="T58" s="845" t="str">
        <f>IF(TITLE_TYPE_ORG="Регулируемая организация","Изменение стоимости основных фондов за счет их переоценки","за счет их переоценки")</f>
        <v>за счет их переоценки</v>
      </c>
      <c r="U58" s="844" t="s">
        <v>2282</v>
      </c>
      <c r="V58" s="844" t="s">
        <v>2282</v>
      </c>
      <c r="W58" s="844" t="s">
        <v>2282</v>
      </c>
      <c r="X58" s="844"/>
      <c r="Y58" s="1001"/>
      <c r="Z58" s="847"/>
      <c r="AA58" s="850"/>
      <c r="AB58" s="847"/>
      <c r="AC58" s="847"/>
      <c r="AD58" s="847"/>
    </row>
    <row customHeight="1" ht="36">
      <c r="A59" s="846"/>
      <c r="B59" s="900">
        <v>42</v>
      </c>
      <c r="C59" s="844">
        <v>3</v>
      </c>
      <c r="D59" s="968" t="s">
        <v>2270</v>
      </c>
      <c r="E59" s="844" t="s">
        <v>2270</v>
      </c>
      <c r="F59" s="844" t="s">
        <v>2270</v>
      </c>
      <c r="G59" s="844"/>
      <c r="H59" s="892"/>
      <c r="I59" s="1006">
        <f>INDEX(TEMPLATE_NUMBER_POINT_FHD,B59,MATCH(TEMPLATE_SPHERE,TEMPLATE_SPHERE_LIST_FOR_NOTE,0))</f>
        <v>0</v>
      </c>
      <c r="J59" s="1006">
        <f>INDEX(TEMPLATE_DATA_POINT_FHD,B59,MATCH(TEMPLATE_SPHERE,TEMPLATE_SPHERE_LIST_FOR_NOTE,0))</f>
        <v>0</v>
      </c>
      <c r="K59" s="1006">
        <f>INDEX(TEMPLATE_NOTE_POINT_FHD,B59,MATCH(TEMPLATE_SPHERE,TEMPLATE_SPHERE_LIST_FOR_NOTE,0))</f>
        <v>0</v>
      </c>
      <c r="L59" s="845" t="str">
        <f>IF(I59=0,"",I59)</f>
        <v/>
      </c>
      <c r="M59" s="845" t="str">
        <f>IF(J59=0,"",J59)</f>
        <v/>
      </c>
      <c r="N59" s="845" t="str">
        <f>IF(K59=0,"",K59)</f>
        <v/>
      </c>
      <c r="O59" s="958"/>
      <c r="P59" s="958" t="s">
        <v>124</v>
      </c>
      <c r="Q59" s="958" t="s">
        <v>124</v>
      </c>
      <c r="R59" s="958" t="s">
        <v>124</v>
      </c>
      <c r="S59" s="958"/>
      <c r="T59" s="844"/>
      <c r="U59" s="844" t="s">
        <v>2283</v>
      </c>
      <c r="V59" s="844" t="s">
        <v>2284</v>
      </c>
      <c r="W59" s="844" t="s">
        <v>2285</v>
      </c>
      <c r="X59" s="844"/>
      <c r="Y59" s="1001"/>
      <c r="Z59" s="847"/>
      <c r="AA59" s="850"/>
      <c r="AB59" s="847"/>
      <c r="AC59" s="847"/>
      <c r="AD59" s="847"/>
    </row>
    <row customHeight="1" ht="81">
      <c r="A60" s="846"/>
      <c r="B60" s="900">
        <v>43</v>
      </c>
      <c r="C60" s="844" t="s">
        <v>2286</v>
      </c>
      <c r="D60" s="968" t="s">
        <v>2286</v>
      </c>
      <c r="E60" s="844" t="s">
        <v>2286</v>
      </c>
      <c r="F60" s="844" t="s">
        <v>2286</v>
      </c>
      <c r="G60" s="844"/>
      <c r="H60" s="892"/>
      <c r="I60" s="1006" t="str">
        <f>INDEX(TEMPLATE_NUMBER_POINT_FHD,B60,MATCH(TEMPLATE_SPHERE,TEMPLATE_SPHERE_LIST_FOR_NOTE,0))</f>
        <v>6</v>
      </c>
      <c r="J60" s="1006" t="str">
        <f>INDEX(TEMPLATE_DATA_POINT_FHD,B60,MATCH(TEMPLATE_SPHERE,TEMPLATE_SPHERE_LIST_FOR_NOTE,0))</f>
        <v>Годовая бухгалтерская (финансовая) отчетность, включая бухгалтерский баланс и приложения к нему</v>
      </c>
      <c r="K60" s="1006" t="str">
        <f>INDEX(TEMPLATE_NOTE_POINT_FHD,B60,MATCH(TEMPLATE_SPHERE,TEMPLATE_SPHERE_LIST_FOR_NOTE,0))</f>
        <v>Указывается ссылка на документ, предварительно загруженный в хранилище файлов ФГИС ЕИАС.
Регулируемыми организациями информация раскрывается в случае, если выручка от регулируемых видов деятельности превышает 80 процентов совокупной выручки за отчетный год.</v>
      </c>
      <c r="L60" s="845" t="str">
        <f>IF(I60=0,"",I60)</f>
        <v>6</v>
      </c>
      <c r="M60" s="845" t="str">
        <f>IF(J60=0,"",J60)</f>
        <v>Годовая бухгалтерская (финансовая) отчетность, включая бухгалтерский баланс и приложения к нему</v>
      </c>
      <c r="N60" s="845" t="str">
        <f>IF(K60=0,"",K60)</f>
        <v>Указывается ссылка на документ, предварительно загруженный в хранилище файлов ФГИС ЕИАС.
Регулируемыми организациями информация раскрывается в случае, если выручка от регулируемых видов деятельности превышает 80 процентов совокупной выручки за отчетный год.</v>
      </c>
      <c r="O60" s="958" t="s">
        <v>96</v>
      </c>
      <c r="P60" s="958" t="s">
        <v>96</v>
      </c>
      <c r="Q60" s="958" t="s">
        <v>96</v>
      </c>
      <c r="R60" s="958" t="s">
        <v>96</v>
      </c>
      <c r="S60" s="958"/>
      <c r="T60" s="844" t="s">
        <v>760</v>
      </c>
      <c r="U60" s="844" t="s">
        <v>760</v>
      </c>
      <c r="V60" s="844" t="s">
        <v>760</v>
      </c>
      <c r="W60" s="844" t="s">
        <v>760</v>
      </c>
      <c r="X60" s="844"/>
      <c r="Y60" s="1001"/>
      <c r="Z60" s="847" t="s">
        <v>2287</v>
      </c>
      <c r="AA60" s="850" t="s">
        <v>2288</v>
      </c>
      <c r="AB60" s="847" t="s">
        <v>2289</v>
      </c>
      <c r="AC60" s="847" t="s">
        <v>2288</v>
      </c>
      <c r="AD60" s="847"/>
    </row>
    <row customHeight="1" ht="9">
      <c r="A61" s="846"/>
      <c r="B61" s="900">
        <v>44</v>
      </c>
      <c r="C61" s="844"/>
      <c r="D61" s="968" t="s">
        <v>2290</v>
      </c>
      <c r="E61" s="844"/>
      <c r="F61" s="844"/>
      <c r="G61" s="844"/>
      <c r="H61" s="892"/>
      <c r="I61" s="1006">
        <f>INDEX(TEMPLATE_NUMBER_POINT_FHD,B61,MATCH(TEMPLATE_SPHERE,TEMPLATE_SPHERE_LIST_FOR_NOTE,0))</f>
        <v>0</v>
      </c>
      <c r="J61" s="1006">
        <f>INDEX(TEMPLATE_DATA_POINT_FHD,B61,MATCH(TEMPLATE_SPHERE,TEMPLATE_SPHERE_LIST_FOR_NOTE,0))</f>
        <v>0</v>
      </c>
      <c r="K61" s="1006">
        <f>INDEX(TEMPLATE_NOTE_POINT_FHD,B61,MATCH(TEMPLATE_SPHERE,TEMPLATE_SPHERE_LIST_FOR_NOTE,0))</f>
        <v>0</v>
      </c>
      <c r="L61" s="845" t="str">
        <f>IF(I61=0,"",I61)</f>
        <v/>
      </c>
      <c r="M61" s="845" t="str">
        <f>IF(J61=0,"",J61)</f>
        <v/>
      </c>
      <c r="N61" s="845" t="str">
        <f>IF(K61=0,"",K61)</f>
        <v/>
      </c>
      <c r="O61" s="958"/>
      <c r="P61" s="958" t="s">
        <v>97</v>
      </c>
      <c r="Q61" s="958"/>
      <c r="R61" s="958"/>
      <c r="S61" s="958"/>
      <c r="T61" s="844"/>
      <c r="U61" s="844" t="s">
        <v>2291</v>
      </c>
      <c r="V61" s="844"/>
      <c r="W61" s="844"/>
      <c r="X61" s="844"/>
      <c r="Y61" s="1001"/>
      <c r="Z61" s="847"/>
      <c r="AA61" s="850"/>
      <c r="AB61" s="847"/>
      <c r="AC61" s="847"/>
      <c r="AD61" s="847"/>
    </row>
    <row customHeight="1" ht="9">
      <c r="A62" s="846"/>
      <c r="B62" s="900">
        <v>45</v>
      </c>
      <c r="C62" s="844"/>
      <c r="D62" s="968" t="s">
        <v>2292</v>
      </c>
      <c r="E62" s="844"/>
      <c r="F62" s="844"/>
      <c r="G62" s="844"/>
      <c r="H62" s="892"/>
      <c r="I62" s="1006">
        <f>INDEX(TEMPLATE_NUMBER_POINT_FHD,B62,MATCH(TEMPLATE_SPHERE,TEMPLATE_SPHERE_LIST_FOR_NOTE,0))</f>
        <v>0</v>
      </c>
      <c r="J62" s="1006">
        <f>INDEX(TEMPLATE_DATA_POINT_FHD,B62,MATCH(TEMPLATE_SPHERE,TEMPLATE_SPHERE_LIST_FOR_NOTE,0))</f>
        <v>0</v>
      </c>
      <c r="K62" s="1006">
        <f>INDEX(TEMPLATE_NOTE_POINT_FHD,B62,MATCH(TEMPLATE_SPHERE,TEMPLATE_SPHERE_LIST_FOR_NOTE,0))</f>
        <v>0</v>
      </c>
      <c r="L62" s="845" t="str">
        <f>IF(I62=0,"",I62)</f>
        <v/>
      </c>
      <c r="M62" s="845" t="str">
        <f>IF(J62=0,"",J62)</f>
        <v/>
      </c>
      <c r="N62" s="845" t="str">
        <f>IF(K62=0,"",K62)</f>
        <v/>
      </c>
      <c r="O62" s="958"/>
      <c r="P62" s="958" t="s">
        <v>125</v>
      </c>
      <c r="Q62" s="958"/>
      <c r="R62" s="958"/>
      <c r="S62" s="958"/>
      <c r="T62" s="844"/>
      <c r="U62" s="844" t="s">
        <v>2293</v>
      </c>
      <c r="V62" s="844"/>
      <c r="W62" s="844"/>
      <c r="X62" s="844"/>
      <c r="Y62" s="1001"/>
      <c r="Z62" s="847"/>
      <c r="AA62" s="850"/>
      <c r="AB62" s="847"/>
      <c r="AC62" s="847"/>
      <c r="AD62" s="847"/>
    </row>
    <row customHeight="1" ht="18">
      <c r="A63" s="846"/>
      <c r="B63" s="900">
        <v>46</v>
      </c>
      <c r="C63" s="844"/>
      <c r="D63" s="968" t="s">
        <v>2294</v>
      </c>
      <c r="E63" s="844"/>
      <c r="F63" s="844"/>
      <c r="G63" s="844"/>
      <c r="H63" s="892"/>
      <c r="I63" s="1006">
        <f>INDEX(TEMPLATE_NUMBER_POINT_FHD,B63,MATCH(TEMPLATE_SPHERE,TEMPLATE_SPHERE_LIST_FOR_NOTE,0))</f>
        <v>0</v>
      </c>
      <c r="J63" s="1006">
        <f>INDEX(TEMPLATE_DATA_POINT_FHD,B63,MATCH(TEMPLATE_SPHERE,TEMPLATE_SPHERE_LIST_FOR_NOTE,0))</f>
        <v>0</v>
      </c>
      <c r="K63" s="1006">
        <f>INDEX(TEMPLATE_NOTE_POINT_FHD,B63,MATCH(TEMPLATE_SPHERE,TEMPLATE_SPHERE_LIST_FOR_NOTE,0))</f>
        <v>0</v>
      </c>
      <c r="L63" s="845" t="str">
        <f>IF(I63=0,"",I63)</f>
        <v/>
      </c>
      <c r="M63" s="845" t="str">
        <f>IF(J63=0,"",J63)</f>
        <v/>
      </c>
      <c r="N63" s="845" t="str">
        <f>IF(K63=0,"",K63)</f>
        <v/>
      </c>
      <c r="O63" s="958"/>
      <c r="P63" s="958" t="s">
        <v>161</v>
      </c>
      <c r="Q63" s="958"/>
      <c r="R63" s="958"/>
      <c r="S63" s="958"/>
      <c r="T63" s="844"/>
      <c r="U63" s="844" t="s">
        <v>2295</v>
      </c>
      <c r="V63" s="844"/>
      <c r="W63" s="844"/>
      <c r="X63" s="844"/>
      <c r="Y63" s="1001"/>
      <c r="Z63" s="847"/>
      <c r="AA63" s="850"/>
      <c r="AB63" s="847"/>
      <c r="AC63" s="847"/>
      <c r="AD63" s="847"/>
    </row>
    <row customHeight="1" ht="18">
      <c r="A64" s="846"/>
      <c r="B64" s="900">
        <v>47</v>
      </c>
      <c r="C64" s="844"/>
      <c r="D64" s="968" t="s">
        <v>2296</v>
      </c>
      <c r="E64" s="844"/>
      <c r="F64" s="844"/>
      <c r="G64" s="844"/>
      <c r="H64" s="892"/>
      <c r="I64" s="1006">
        <f>INDEX(TEMPLATE_NUMBER_POINT_FHD,B64,MATCH(TEMPLATE_SPHERE,TEMPLATE_SPHERE_LIST_FOR_NOTE,0))</f>
        <v>0</v>
      </c>
      <c r="J64" s="1006">
        <f>INDEX(TEMPLATE_DATA_POINT_FHD,B64,MATCH(TEMPLATE_SPHERE,TEMPLATE_SPHERE_LIST_FOR_NOTE,0))</f>
        <v>0</v>
      </c>
      <c r="K64" s="1006">
        <f>INDEX(TEMPLATE_NOTE_POINT_FHD,B64,MATCH(TEMPLATE_SPHERE,TEMPLATE_SPHERE_LIST_FOR_NOTE,0))</f>
        <v>0</v>
      </c>
      <c r="L64" s="845" t="str">
        <f>IF(I64=0,"",I64)</f>
        <v/>
      </c>
      <c r="M64" s="845" t="str">
        <f>IF(J64=0,"",J64)</f>
        <v/>
      </c>
      <c r="N64" s="845" t="str">
        <f>IF(K64=0,"",K64)</f>
        <v/>
      </c>
      <c r="O64" s="958"/>
      <c r="P64" s="958" t="s">
        <v>162</v>
      </c>
      <c r="Q64" s="958"/>
      <c r="R64" s="958"/>
      <c r="S64" s="958"/>
      <c r="T64" s="844"/>
      <c r="U64" s="844" t="s">
        <v>2297</v>
      </c>
      <c r="V64" s="844"/>
      <c r="W64" s="844"/>
      <c r="X64" s="844"/>
      <c r="Y64" s="1001"/>
      <c r="Z64" s="847"/>
      <c r="AA64" s="850" t="s">
        <v>2298</v>
      </c>
      <c r="AB64" s="847"/>
      <c r="AC64" s="847"/>
      <c r="AD64" s="847"/>
    </row>
    <row customHeight="1" ht="18">
      <c r="A65" s="846"/>
      <c r="B65" s="900">
        <v>48</v>
      </c>
      <c r="C65" s="844"/>
      <c r="D65" s="968"/>
      <c r="E65" s="844"/>
      <c r="F65" s="844"/>
      <c r="G65" s="844"/>
      <c r="H65" s="892"/>
      <c r="I65" s="1006">
        <f>INDEX(TEMPLATE_NUMBER_POINT_FHD,B65,MATCH(TEMPLATE_SPHERE,TEMPLATE_SPHERE_LIST_FOR_NOTE,0))</f>
        <v>0</v>
      </c>
      <c r="J65" s="1006">
        <f>INDEX(TEMPLATE_DATA_POINT_FHD,B65,MATCH(TEMPLATE_SPHERE,TEMPLATE_SPHERE_LIST_FOR_NOTE,0))</f>
        <v>0</v>
      </c>
      <c r="K65" s="1006">
        <f>INDEX(TEMPLATE_NOTE_POINT_FHD,B65,MATCH(TEMPLATE_SPHERE,TEMPLATE_SPHERE_LIST_FOR_NOTE,0))</f>
        <v>0</v>
      </c>
      <c r="L65" s="845" t="str">
        <f>IF(I65=0,"",I65)</f>
        <v/>
      </c>
      <c r="M65" s="845" t="str">
        <f>IF(J65=0,"",J65)</f>
        <v/>
      </c>
      <c r="N65" s="845" t="str">
        <f>IF(K65=0,"",K65)</f>
        <v/>
      </c>
      <c r="O65" s="958"/>
      <c r="P65" s="958" t="s">
        <v>2211</v>
      </c>
      <c r="Q65" s="958"/>
      <c r="R65" s="958"/>
      <c r="S65" s="958"/>
      <c r="T65" s="844"/>
      <c r="U65" s="844" t="s">
        <v>2299</v>
      </c>
      <c r="V65" s="844"/>
      <c r="W65" s="844"/>
      <c r="X65" s="844"/>
      <c r="Y65" s="1001"/>
      <c r="Z65" s="847"/>
      <c r="AA65" s="850"/>
      <c r="AB65" s="847"/>
      <c r="AC65" s="847"/>
      <c r="AD65" s="847"/>
    </row>
    <row customHeight="1" ht="18">
      <c r="A66" s="846"/>
      <c r="B66" s="900">
        <v>49</v>
      </c>
      <c r="C66" s="844"/>
      <c r="D66" s="968"/>
      <c r="E66" s="844"/>
      <c r="F66" s="844"/>
      <c r="G66" s="844"/>
      <c r="H66" s="892"/>
      <c r="I66" s="1006">
        <f>INDEX(TEMPLATE_NUMBER_POINT_FHD,B66,MATCH(TEMPLATE_SPHERE,TEMPLATE_SPHERE_LIST_FOR_NOTE,0))</f>
        <v>0</v>
      </c>
      <c r="J66" s="1006">
        <f>INDEX(TEMPLATE_DATA_POINT_FHD,B66,MATCH(TEMPLATE_SPHERE,TEMPLATE_SPHERE_LIST_FOR_NOTE,0))</f>
        <v>0</v>
      </c>
      <c r="K66" s="1006">
        <f>INDEX(TEMPLATE_NOTE_POINT_FHD,B66,MATCH(TEMPLATE_SPHERE,TEMPLATE_SPHERE_LIST_FOR_NOTE,0))</f>
        <v>0</v>
      </c>
      <c r="L66" s="845" t="str">
        <f>IF(I66=0,"",I66)</f>
        <v/>
      </c>
      <c r="M66" s="845" t="str">
        <f>IF(J66=0,"",J66)</f>
        <v/>
      </c>
      <c r="N66" s="845" t="str">
        <f>IF(K66=0,"",K66)</f>
        <v/>
      </c>
      <c r="O66" s="958"/>
      <c r="P66" s="958" t="s">
        <v>2215</v>
      </c>
      <c r="Q66" s="958"/>
      <c r="R66" s="958"/>
      <c r="S66" s="958"/>
      <c r="T66" s="844"/>
      <c r="U66" s="844" t="s">
        <v>2300</v>
      </c>
      <c r="V66" s="844"/>
      <c r="W66" s="844"/>
      <c r="X66" s="844"/>
      <c r="Y66" s="1001"/>
      <c r="Z66" s="847"/>
      <c r="AA66" s="850"/>
      <c r="AB66" s="847"/>
      <c r="AC66" s="847"/>
      <c r="AD66" s="847"/>
    </row>
    <row customHeight="1" ht="27">
      <c r="A67" s="846"/>
      <c r="B67" s="900">
        <v>50</v>
      </c>
      <c r="C67" s="844"/>
      <c r="D67" s="968"/>
      <c r="E67" s="844"/>
      <c r="F67" s="844"/>
      <c r="G67" s="844"/>
      <c r="H67" s="892"/>
      <c r="I67" s="1006">
        <f>INDEX(TEMPLATE_NUMBER_POINT_FHD,B67,MATCH(TEMPLATE_SPHERE,TEMPLATE_SPHERE_LIST_FOR_NOTE,0))</f>
        <v>0</v>
      </c>
      <c r="J67" s="1006">
        <f>INDEX(TEMPLATE_DATA_POINT_FHD,B67,MATCH(TEMPLATE_SPHERE,TEMPLATE_SPHERE_LIST_FOR_NOTE,0))</f>
        <v>0</v>
      </c>
      <c r="K67" s="1006">
        <f>INDEX(TEMPLATE_NOTE_POINT_FHD,B67,MATCH(TEMPLATE_SPHERE,TEMPLATE_SPHERE_LIST_FOR_NOTE,0))</f>
        <v>0</v>
      </c>
      <c r="L67" s="845" t="str">
        <f>IF(I67=0,"",I67)</f>
        <v/>
      </c>
      <c r="M67" s="845" t="str">
        <f>IF(J67=0,"",J67)</f>
        <v/>
      </c>
      <c r="N67" s="845" t="str">
        <f>IF(K67=0,"",K67)</f>
        <v/>
      </c>
      <c r="O67" s="958"/>
      <c r="P67" s="958" t="s">
        <v>2301</v>
      </c>
      <c r="Q67" s="958"/>
      <c r="R67" s="958"/>
      <c r="S67" s="958"/>
      <c r="T67" s="844"/>
      <c r="U67" s="844" t="s">
        <v>2302</v>
      </c>
      <c r="V67" s="844"/>
      <c r="W67" s="844"/>
      <c r="X67" s="844"/>
      <c r="Y67" s="1001"/>
      <c r="Z67" s="847"/>
      <c r="AA67" s="850"/>
      <c r="AB67" s="847"/>
      <c r="AC67" s="847"/>
      <c r="AD67" s="847"/>
    </row>
    <row customHeight="1" ht="27">
      <c r="A68" s="846"/>
      <c r="B68" s="900">
        <v>51</v>
      </c>
      <c r="C68" s="844"/>
      <c r="D68" s="968"/>
      <c r="E68" s="844"/>
      <c r="F68" s="844"/>
      <c r="G68" s="844"/>
      <c r="H68" s="892"/>
      <c r="I68" s="1006">
        <f>INDEX(TEMPLATE_NUMBER_POINT_FHD,B68,MATCH(TEMPLATE_SPHERE,TEMPLATE_SPHERE_LIST_FOR_NOTE,0))</f>
        <v>0</v>
      </c>
      <c r="J68" s="1006">
        <f>INDEX(TEMPLATE_DATA_POINT_FHD,B68,MATCH(TEMPLATE_SPHERE,TEMPLATE_SPHERE_LIST_FOR_NOTE,0))</f>
        <v>0</v>
      </c>
      <c r="K68" s="1006">
        <f>INDEX(TEMPLATE_NOTE_POINT_FHD,B68,MATCH(TEMPLATE_SPHERE,TEMPLATE_SPHERE_LIST_FOR_NOTE,0))</f>
        <v>0</v>
      </c>
      <c r="L68" s="845" t="str">
        <f>IF(I68=0,"",I68)</f>
        <v/>
      </c>
      <c r="M68" s="845" t="str">
        <f>IF(J68=0,"",J68)</f>
        <v/>
      </c>
      <c r="N68" s="845" t="str">
        <f>IF(K68=0,"",K68)</f>
        <v/>
      </c>
      <c r="O68" s="958"/>
      <c r="P68" s="958" t="s">
        <v>2303</v>
      </c>
      <c r="Q68" s="958"/>
      <c r="R68" s="958"/>
      <c r="S68" s="958"/>
      <c r="T68" s="844"/>
      <c r="U68" s="844" t="s">
        <v>2304</v>
      </c>
      <c r="V68" s="844"/>
      <c r="W68" s="844"/>
      <c r="X68" s="844"/>
      <c r="Y68" s="1001"/>
      <c r="Z68" s="847"/>
      <c r="AA68" s="850"/>
      <c r="AB68" s="847"/>
      <c r="AC68" s="847"/>
      <c r="AD68" s="847"/>
    </row>
    <row customHeight="1" ht="9">
      <c r="A69" s="846"/>
      <c r="B69" s="900">
        <v>52</v>
      </c>
      <c r="C69" s="844"/>
      <c r="D69" s="968" t="s">
        <v>2305</v>
      </c>
      <c r="E69" s="844"/>
      <c r="F69" s="844"/>
      <c r="G69" s="844"/>
      <c r="H69" s="892"/>
      <c r="I69" s="1006">
        <f>INDEX(TEMPLATE_NUMBER_POINT_FHD,B69,MATCH(TEMPLATE_SPHERE,TEMPLATE_SPHERE_LIST_FOR_NOTE,0))</f>
        <v>0</v>
      </c>
      <c r="J69" s="1006">
        <f>INDEX(TEMPLATE_DATA_POINT_FHD,B69,MATCH(TEMPLATE_SPHERE,TEMPLATE_SPHERE_LIST_FOR_NOTE,0))</f>
        <v>0</v>
      </c>
      <c r="K69" s="1006">
        <f>INDEX(TEMPLATE_NOTE_POINT_FHD,B69,MATCH(TEMPLATE_SPHERE,TEMPLATE_SPHERE_LIST_FOR_NOTE,0))</f>
        <v>0</v>
      </c>
      <c r="L69" s="845" t="str">
        <f>IF(I69=0,"",I69)</f>
        <v/>
      </c>
      <c r="M69" s="845" t="str">
        <f>IF(J69=0,"",J69)</f>
        <v/>
      </c>
      <c r="N69" s="845" t="str">
        <f>IF(K69=0,"",K69)</f>
        <v/>
      </c>
      <c r="O69" s="958"/>
      <c r="P69" s="958" t="s">
        <v>163</v>
      </c>
      <c r="Q69" s="958"/>
      <c r="R69" s="958"/>
      <c r="S69" s="958"/>
      <c r="T69" s="844"/>
      <c r="U69" s="844" t="s">
        <v>2306</v>
      </c>
      <c r="V69" s="844"/>
      <c r="W69" s="844"/>
      <c r="X69" s="844"/>
      <c r="Y69" s="1001"/>
      <c r="Z69" s="847"/>
      <c r="AA69" s="850"/>
      <c r="AB69" s="847"/>
      <c r="AC69" s="847"/>
      <c r="AD69" s="847"/>
    </row>
    <row customHeight="1" ht="27">
      <c r="A70" s="846"/>
      <c r="B70" s="900">
        <v>53</v>
      </c>
      <c r="C70" s="844"/>
      <c r="D70" s="968"/>
      <c r="E70" s="844" t="s">
        <v>2290</v>
      </c>
      <c r="F70" s="844"/>
      <c r="G70" s="844"/>
      <c r="H70" s="892"/>
      <c r="I70" s="1006">
        <f>INDEX(TEMPLATE_NUMBER_POINT_FHD,B70,MATCH(TEMPLATE_SPHERE,TEMPLATE_SPHERE_LIST_FOR_NOTE,0))</f>
        <v>0</v>
      </c>
      <c r="J70" s="1006">
        <f>INDEX(TEMPLATE_DATA_POINT_FHD,B70,MATCH(TEMPLATE_SPHERE,TEMPLATE_SPHERE_LIST_FOR_NOTE,0))</f>
        <v>0</v>
      </c>
      <c r="K70" s="1006">
        <f>INDEX(TEMPLATE_NOTE_POINT_FHD,B70,MATCH(TEMPLATE_SPHERE,TEMPLATE_SPHERE_LIST_FOR_NOTE,0))</f>
        <v>0</v>
      </c>
      <c r="L70" s="845" t="str">
        <f>IF(I70=0,"",I70)</f>
        <v/>
      </c>
      <c r="M70" s="845" t="str">
        <f>IF(J70=0,"",J70)</f>
        <v/>
      </c>
      <c r="N70" s="845" t="str">
        <f>IF(K70=0,"",K70)</f>
        <v/>
      </c>
      <c r="O70" s="958"/>
      <c r="P70" s="958"/>
      <c r="Q70" s="958" t="s">
        <v>97</v>
      </c>
      <c r="R70" s="958"/>
      <c r="S70" s="958"/>
      <c r="T70" s="844"/>
      <c r="U70" s="844"/>
      <c r="V70" s="844" t="s">
        <v>2307</v>
      </c>
      <c r="W70" s="844"/>
      <c r="X70" s="844"/>
      <c r="Y70" s="1001"/>
      <c r="Z70" s="847"/>
      <c r="AA70" s="850"/>
      <c r="AB70" s="847"/>
      <c r="AC70" s="847"/>
      <c r="AD70" s="847"/>
    </row>
    <row customHeight="1" ht="36">
      <c r="A71" s="846"/>
      <c r="B71" s="900">
        <v>54</v>
      </c>
      <c r="C71" s="844"/>
      <c r="D71" s="968"/>
      <c r="E71" s="844" t="s">
        <v>2292</v>
      </c>
      <c r="F71" s="844"/>
      <c r="G71" s="844"/>
      <c r="H71" s="892"/>
      <c r="I71" s="1006">
        <f>INDEX(TEMPLATE_NUMBER_POINT_FHD,B71,MATCH(TEMPLATE_SPHERE,TEMPLATE_SPHERE_LIST_FOR_NOTE,0))</f>
        <v>0</v>
      </c>
      <c r="J71" s="1006">
        <f>INDEX(TEMPLATE_DATA_POINT_FHD,B71,MATCH(TEMPLATE_SPHERE,TEMPLATE_SPHERE_LIST_FOR_NOTE,0))</f>
        <v>0</v>
      </c>
      <c r="K71" s="1006">
        <f>INDEX(TEMPLATE_NOTE_POINT_FHD,B71,MATCH(TEMPLATE_SPHERE,TEMPLATE_SPHERE_LIST_FOR_NOTE,0))</f>
        <v>0</v>
      </c>
      <c r="L71" s="845" t="str">
        <f>IF(I71=0,"",I71)</f>
        <v/>
      </c>
      <c r="M71" s="845" t="str">
        <f>IF(J71=0,"",J71)</f>
        <v/>
      </c>
      <c r="N71" s="845" t="str">
        <f>IF(K71=0,"",K71)</f>
        <v/>
      </c>
      <c r="O71" s="958"/>
      <c r="P71" s="958"/>
      <c r="Q71" s="958" t="s">
        <v>125</v>
      </c>
      <c r="R71" s="958"/>
      <c r="S71" s="958"/>
      <c r="T71" s="844"/>
      <c r="U71" s="844"/>
      <c r="V71" s="844" t="s">
        <v>2308</v>
      </c>
      <c r="W71" s="844"/>
      <c r="X71" s="844"/>
      <c r="Y71" s="1001"/>
      <c r="Z71" s="847"/>
      <c r="AA71" s="850"/>
      <c r="AB71" s="847"/>
      <c r="AC71" s="847"/>
      <c r="AD71" s="847"/>
    </row>
    <row customHeight="1" ht="27">
      <c r="A72" s="846"/>
      <c r="B72" s="900">
        <v>55</v>
      </c>
      <c r="C72" s="844"/>
      <c r="D72" s="968"/>
      <c r="E72" s="844" t="s">
        <v>2294</v>
      </c>
      <c r="F72" s="844"/>
      <c r="G72" s="844"/>
      <c r="H72" s="892"/>
      <c r="I72" s="1006">
        <f>INDEX(TEMPLATE_NUMBER_POINT_FHD,B72,MATCH(TEMPLATE_SPHERE,TEMPLATE_SPHERE_LIST_FOR_NOTE,0))</f>
        <v>0</v>
      </c>
      <c r="J72" s="1006">
        <f>INDEX(TEMPLATE_DATA_POINT_FHD,B72,MATCH(TEMPLATE_SPHERE,TEMPLATE_SPHERE_LIST_FOR_NOTE,0))</f>
        <v>0</v>
      </c>
      <c r="K72" s="1006">
        <f>INDEX(TEMPLATE_NOTE_POINT_FHD,B72,MATCH(TEMPLATE_SPHERE,TEMPLATE_SPHERE_LIST_FOR_NOTE,0))</f>
        <v>0</v>
      </c>
      <c r="L72" s="845" t="str">
        <f>IF(I72=0,"",I72)</f>
        <v/>
      </c>
      <c r="M72" s="845" t="str">
        <f>IF(J72=0,"",J72)</f>
        <v/>
      </c>
      <c r="N72" s="845" t="str">
        <f>IF(K72=0,"",K72)</f>
        <v/>
      </c>
      <c r="O72" s="958"/>
      <c r="P72" s="958"/>
      <c r="Q72" s="958" t="s">
        <v>161</v>
      </c>
      <c r="R72" s="958"/>
      <c r="S72" s="958"/>
      <c r="T72" s="844"/>
      <c r="U72" s="844"/>
      <c r="V72" s="844" t="s">
        <v>2309</v>
      </c>
      <c r="W72" s="844"/>
      <c r="X72" s="844"/>
      <c r="Y72" s="1001"/>
      <c r="Z72" s="847"/>
      <c r="AA72" s="850"/>
      <c r="AB72" s="847"/>
      <c r="AC72" s="847"/>
      <c r="AD72" s="847"/>
    </row>
    <row customHeight="1" ht="36">
      <c r="A73" s="846"/>
      <c r="B73" s="900">
        <v>56</v>
      </c>
      <c r="C73" s="844"/>
      <c r="D73" s="968"/>
      <c r="E73" s="844" t="s">
        <v>2296</v>
      </c>
      <c r="F73" s="844"/>
      <c r="G73" s="844"/>
      <c r="H73" s="892"/>
      <c r="I73" s="1006">
        <f>INDEX(TEMPLATE_NUMBER_POINT_FHD,B73,MATCH(TEMPLATE_SPHERE,TEMPLATE_SPHERE_LIST_FOR_NOTE,0))</f>
        <v>0</v>
      </c>
      <c r="J73" s="1006">
        <f>INDEX(TEMPLATE_DATA_POINT_FHD,B73,MATCH(TEMPLATE_SPHERE,TEMPLATE_SPHERE_LIST_FOR_NOTE,0))</f>
        <v>0</v>
      </c>
      <c r="K73" s="1006">
        <f>INDEX(TEMPLATE_NOTE_POINT_FHD,B73,MATCH(TEMPLATE_SPHERE,TEMPLATE_SPHERE_LIST_FOR_NOTE,0))</f>
        <v>0</v>
      </c>
      <c r="L73" s="845" t="str">
        <f>IF(I73=0,"",I73)</f>
        <v/>
      </c>
      <c r="M73" s="845" t="str">
        <f>IF(J73=0,"",J73)</f>
        <v/>
      </c>
      <c r="N73" s="845" t="str">
        <f>IF(K73=0,"",K73)</f>
        <v/>
      </c>
      <c r="O73" s="958"/>
      <c r="P73" s="958"/>
      <c r="Q73" s="958" t="s">
        <v>162</v>
      </c>
      <c r="R73" s="958"/>
      <c r="S73" s="958"/>
      <c r="T73" s="844"/>
      <c r="U73" s="844"/>
      <c r="V73" s="844" t="s">
        <v>2310</v>
      </c>
      <c r="W73" s="844"/>
      <c r="X73" s="844"/>
      <c r="Y73" s="1001"/>
      <c r="Z73" s="847"/>
      <c r="AA73" s="850"/>
      <c r="AB73" s="847"/>
      <c r="AC73" s="847"/>
      <c r="AD73" s="847"/>
    </row>
    <row customHeight="1" ht="18">
      <c r="A74" s="846"/>
      <c r="B74" s="900">
        <v>57</v>
      </c>
      <c r="C74" s="844"/>
      <c r="D74" s="968"/>
      <c r="E74" s="844" t="s">
        <v>2305</v>
      </c>
      <c r="F74" s="844"/>
      <c r="G74" s="844"/>
      <c r="H74" s="892"/>
      <c r="I74" s="1006">
        <f>INDEX(TEMPLATE_NUMBER_POINT_FHD,B74,MATCH(TEMPLATE_SPHERE,TEMPLATE_SPHERE_LIST_FOR_NOTE,0))</f>
        <v>0</v>
      </c>
      <c r="J74" s="1006">
        <f>INDEX(TEMPLATE_DATA_POINT_FHD,B74,MATCH(TEMPLATE_SPHERE,TEMPLATE_SPHERE_LIST_FOR_NOTE,0))</f>
        <v>0</v>
      </c>
      <c r="K74" s="1006">
        <f>INDEX(TEMPLATE_NOTE_POINT_FHD,B74,MATCH(TEMPLATE_SPHERE,TEMPLATE_SPHERE_LIST_FOR_NOTE,0))</f>
        <v>0</v>
      </c>
      <c r="L74" s="845" t="str">
        <f>IF(I74=0,"",I74)</f>
        <v/>
      </c>
      <c r="M74" s="845" t="str">
        <f>IF(J74=0,"",J74)</f>
        <v/>
      </c>
      <c r="N74" s="845" t="str">
        <f>IF(K74=0,"",K74)</f>
        <v/>
      </c>
      <c r="O74" s="958"/>
      <c r="P74" s="958"/>
      <c r="Q74" s="958" t="s">
        <v>163</v>
      </c>
      <c r="R74" s="958"/>
      <c r="S74" s="958"/>
      <c r="T74" s="844"/>
      <c r="U74" s="844"/>
      <c r="V74" s="844" t="s">
        <v>2311</v>
      </c>
      <c r="W74" s="844"/>
      <c r="X74" s="844"/>
      <c r="Y74" s="1001"/>
      <c r="Z74" s="847"/>
      <c r="AA74" s="850"/>
      <c r="AB74" s="847"/>
      <c r="AC74" s="847"/>
      <c r="AD74" s="847"/>
    </row>
    <row customHeight="1" ht="18">
      <c r="A75" s="846"/>
      <c r="B75" s="900">
        <v>58</v>
      </c>
      <c r="C75" s="844"/>
      <c r="D75" s="968"/>
      <c r="E75" s="844"/>
      <c r="F75" s="844" t="s">
        <v>2290</v>
      </c>
      <c r="G75" s="844"/>
      <c r="H75" s="892"/>
      <c r="I75" s="1006">
        <f>INDEX(TEMPLATE_NUMBER_POINT_FHD,B75,MATCH(TEMPLATE_SPHERE,TEMPLATE_SPHERE_LIST_FOR_NOTE,0))</f>
        <v>0</v>
      </c>
      <c r="J75" s="1006">
        <f>INDEX(TEMPLATE_DATA_POINT_FHD,B75,MATCH(TEMPLATE_SPHERE,TEMPLATE_SPHERE_LIST_FOR_NOTE,0))</f>
        <v>0</v>
      </c>
      <c r="K75" s="1006">
        <f>INDEX(TEMPLATE_NOTE_POINT_FHD,B75,MATCH(TEMPLATE_SPHERE,TEMPLATE_SPHERE_LIST_FOR_NOTE,0))</f>
        <v>0</v>
      </c>
      <c r="L75" s="845" t="str">
        <f>IF(I75=0,"",I75)</f>
        <v/>
      </c>
      <c r="M75" s="845" t="str">
        <f>IF(J75=0,"",J75)</f>
        <v/>
      </c>
      <c r="N75" s="845" t="str">
        <f>IF(K75=0,"",K75)</f>
        <v/>
      </c>
      <c r="O75" s="958"/>
      <c r="P75" s="958"/>
      <c r="Q75" s="958"/>
      <c r="R75" s="958" t="s">
        <v>97</v>
      </c>
      <c r="S75" s="958"/>
      <c r="T75" s="844"/>
      <c r="U75" s="844"/>
      <c r="V75" s="844"/>
      <c r="W75" s="844" t="s">
        <v>2312</v>
      </c>
      <c r="X75" s="844"/>
      <c r="Y75" s="1001"/>
      <c r="Z75" s="847"/>
      <c r="AA75" s="850"/>
      <c r="AB75" s="847"/>
      <c r="AC75" s="847"/>
      <c r="AD75" s="847"/>
    </row>
    <row customHeight="1" ht="36">
      <c r="A76" s="846"/>
      <c r="B76" s="900">
        <v>59</v>
      </c>
      <c r="C76" s="844"/>
      <c r="D76" s="968"/>
      <c r="E76" s="844"/>
      <c r="F76" s="844" t="s">
        <v>2292</v>
      </c>
      <c r="G76" s="844"/>
      <c r="H76" s="892"/>
      <c r="I76" s="1006">
        <f>INDEX(TEMPLATE_NUMBER_POINT_FHD,B76,MATCH(TEMPLATE_SPHERE,TEMPLATE_SPHERE_LIST_FOR_NOTE,0))</f>
        <v>0</v>
      </c>
      <c r="J76" s="1006">
        <f>INDEX(TEMPLATE_DATA_POINT_FHD,B76,MATCH(TEMPLATE_SPHERE,TEMPLATE_SPHERE_LIST_FOR_NOTE,0))</f>
        <v>0</v>
      </c>
      <c r="K76" s="1006">
        <f>INDEX(TEMPLATE_NOTE_POINT_FHD,B76,MATCH(TEMPLATE_SPHERE,TEMPLATE_SPHERE_LIST_FOR_NOTE,0))</f>
        <v>0</v>
      </c>
      <c r="L76" s="845" t="str">
        <f>IF(I76=0,"",I76)</f>
        <v/>
      </c>
      <c r="M76" s="845" t="str">
        <f>IF(J76=0,"",J76)</f>
        <v/>
      </c>
      <c r="N76" s="845" t="str">
        <f>IF(K76=0,"",K76)</f>
        <v/>
      </c>
      <c r="O76" s="958"/>
      <c r="P76" s="958"/>
      <c r="Q76" s="958"/>
      <c r="R76" s="958" t="s">
        <v>125</v>
      </c>
      <c r="S76" s="958"/>
      <c r="T76" s="844"/>
      <c r="U76" s="844"/>
      <c r="V76" s="844"/>
      <c r="W76" s="844" t="s">
        <v>2313</v>
      </c>
      <c r="X76" s="844"/>
      <c r="Y76" s="1001"/>
      <c r="Z76" s="847"/>
      <c r="AA76" s="850"/>
      <c r="AB76" s="847"/>
      <c r="AC76" s="847"/>
      <c r="AD76" s="847"/>
    </row>
    <row customHeight="1" ht="18">
      <c r="A77" s="846"/>
      <c r="B77" s="900">
        <v>60</v>
      </c>
      <c r="C77" s="844"/>
      <c r="D77" s="968"/>
      <c r="E77" s="844"/>
      <c r="F77" s="844" t="s">
        <v>2294</v>
      </c>
      <c r="G77" s="844"/>
      <c r="H77" s="892"/>
      <c r="I77" s="1006">
        <f>INDEX(TEMPLATE_NUMBER_POINT_FHD,B77,MATCH(TEMPLATE_SPHERE,TEMPLATE_SPHERE_LIST_FOR_NOTE,0))</f>
        <v>0</v>
      </c>
      <c r="J77" s="1006">
        <f>INDEX(TEMPLATE_DATA_POINT_FHD,B77,MATCH(TEMPLATE_SPHERE,TEMPLATE_SPHERE_LIST_FOR_NOTE,0))</f>
        <v>0</v>
      </c>
      <c r="K77" s="1006">
        <f>INDEX(TEMPLATE_NOTE_POINT_FHD,B77,MATCH(TEMPLATE_SPHERE,TEMPLATE_SPHERE_LIST_FOR_NOTE,0))</f>
        <v>0</v>
      </c>
      <c r="L77" s="845" t="str">
        <f>IF(I77=0,"",I77)</f>
        <v/>
      </c>
      <c r="M77" s="845" t="str">
        <f>IF(J77=0,"",J77)</f>
        <v/>
      </c>
      <c r="N77" s="845" t="str">
        <f>IF(K77=0,"",K77)</f>
        <v/>
      </c>
      <c r="O77" s="958"/>
      <c r="P77" s="958"/>
      <c r="Q77" s="958"/>
      <c r="R77" s="958" t="s">
        <v>161</v>
      </c>
      <c r="S77" s="958"/>
      <c r="T77" s="844"/>
      <c r="U77" s="844"/>
      <c r="V77" s="844"/>
      <c r="W77" s="844" t="s">
        <v>2314</v>
      </c>
      <c r="X77" s="844"/>
      <c r="Y77" s="1001"/>
      <c r="Z77" s="847"/>
      <c r="AA77" s="850"/>
      <c r="AB77" s="847"/>
      <c r="AC77" s="847"/>
      <c r="AD77" s="847"/>
    </row>
    <row customHeight="1" ht="72">
      <c r="A78" s="846"/>
      <c r="B78" s="900">
        <v>61</v>
      </c>
      <c r="C78" s="844" t="s">
        <v>2290</v>
      </c>
      <c r="D78" s="968"/>
      <c r="E78" s="844"/>
      <c r="F78" s="844"/>
      <c r="G78" s="844"/>
      <c r="H78" s="892"/>
      <c r="I78" s="1006" t="str">
        <f>INDEX(TEMPLATE_NUMBER_POINT_FHD,B78,MATCH(TEMPLATE_SPHERE,TEMPLATE_SPHERE_LIST_FOR_NOTE,0))</f>
        <v>7</v>
      </c>
      <c r="J78" s="1006" t="str">
        <f>INDEX(TEMPLATE_DATA_POINT_FHD,B78,MATCH(TEMPLATE_SPHERE,TEMPLATE_SPHERE_LIST_FOR_NOTE,0))</f>
        <v>Установленная тепловая мощность объектов основных фондов, используемых для теплоснабжения, в том числе по каждому источнику тепловой энергии</v>
      </c>
      <c r="K78" s="1006" t="str">
        <f>INDEX(TEMPLATE_NOTE_POINT_FHD,B78,MATCH(TEMPLATE_SPHERE,TEMPLATE_SPHERE_LIST_FOR_NOTE,0))</f>
        <v>Указывается суммарная установленная тепловая мощность объектов основных фондов, используемых для осуществления теплоснабжения.
Регулируемыми организациями указывается информация по объектам, используемым для осуществления регулируемых видов деятельности.</v>
      </c>
      <c r="L78" s="845" t="str">
        <f>IF(I78=0,"",I78)</f>
        <v>7</v>
      </c>
      <c r="M78" s="845" t="str">
        <f>IF(J78=0,"",J78)</f>
        <v>Установленная тепловая мощность объектов основных фондов, используемых для теплоснабжения, в том числе по каждому источнику тепловой энергии</v>
      </c>
      <c r="N78" s="845" t="str">
        <f>IF(K78=0,"",K78)</f>
        <v>Указывается суммарная установленная тепловая мощность объектов основных фондов, используемых для осуществления теплоснабжения.
Регулируемыми организациями указывается информация по объектам, используемым для осуществления регулируемых видов деятельности.</v>
      </c>
      <c r="O78" s="958" t="s">
        <v>97</v>
      </c>
      <c r="P78" s="958"/>
      <c r="Q78" s="958"/>
      <c r="R78" s="958"/>
      <c r="S78" s="958"/>
      <c r="T78" s="844" t="s">
        <v>765</v>
      </c>
      <c r="U78" s="844"/>
      <c r="V78" s="844"/>
      <c r="W78" s="844"/>
      <c r="X78" s="844"/>
      <c r="Y78" s="1001"/>
      <c r="Z78" s="847" t="s">
        <v>2315</v>
      </c>
      <c r="AA78" s="850"/>
      <c r="AB78" s="847"/>
      <c r="AC78" s="847"/>
      <c r="AD78" s="847"/>
    </row>
    <row customHeight="1" ht="36">
      <c r="A79" s="846"/>
      <c r="B79" s="900">
        <v>62</v>
      </c>
      <c r="C79" s="844" t="s">
        <v>2292</v>
      </c>
      <c r="D79" s="968"/>
      <c r="E79" s="844"/>
      <c r="F79" s="844"/>
      <c r="G79" s="844"/>
      <c r="H79" s="892"/>
      <c r="I79" s="1006" t="str">
        <f>INDEX(TEMPLATE_NUMBER_POINT_FHD,B79,MATCH(TEMPLATE_SPHERE,TEMPLATE_SPHERE_LIST_FOR_NOTE,0))</f>
        <v>8</v>
      </c>
      <c r="J79" s="1006" t="str">
        <f>INDEX(TEMPLATE_DATA_POINT_FHD,B79,MATCH(TEMPLATE_SPHERE,TEMPLATE_SPHERE_LIST_FOR_NOTE,0))</f>
        <v>Тепловая нагрузка по договорам, заключенным в рамках осуществления регулируемых видов деятельности</v>
      </c>
      <c r="K79" s="1006" t="str">
        <f>INDEX(TEMPLATE_NOTE_POINT_FHD,B79,MATCH(TEMPLATE_SPHERE,TEMPLATE_SPHERE_LIST_FOR_NOTE,0))</f>
        <v>Регулируемыми организациями указывается информация по договорам, заключенным в рамках осуществления регулируемых видов деятельности</v>
      </c>
      <c r="L79" s="845" t="str">
        <f>IF(I79=0,"",I79)</f>
        <v>8</v>
      </c>
      <c r="M79" s="845" t="str">
        <f>IF(J79=0,"",J79)</f>
        <v>Тепловая нагрузка по договорам, заключенным в рамках осуществления регулируемых видов деятельности</v>
      </c>
      <c r="N79" s="845" t="str">
        <f>IF(K79=0,"",K79)</f>
        <v>Регулируемыми организациями указывается информация по договорам, заключенным в рамках осуществления регулируемых видов деятельности</v>
      </c>
      <c r="O79" s="958" t="s">
        <v>125</v>
      </c>
      <c r="P79" s="958"/>
      <c r="Q79" s="958"/>
      <c r="R79" s="958"/>
      <c r="S79" s="958"/>
      <c r="T79" s="844" t="s">
        <v>2316</v>
      </c>
      <c r="U79" s="844"/>
      <c r="V79" s="844"/>
      <c r="W79" s="844"/>
      <c r="X79" s="844"/>
      <c r="Y79" s="1001"/>
      <c r="Z79" s="847" t="s">
        <v>2317</v>
      </c>
      <c r="AA79" s="850"/>
      <c r="AB79" s="847"/>
      <c r="AC79" s="847"/>
      <c r="AD79" s="847"/>
    </row>
    <row customHeight="1" ht="45">
      <c r="A80" s="846"/>
      <c r="B80" s="900">
        <v>63</v>
      </c>
      <c r="C80" s="844" t="s">
        <v>2294</v>
      </c>
      <c r="D80" s="968"/>
      <c r="E80" s="844"/>
      <c r="F80" s="844"/>
      <c r="G80" s="844"/>
      <c r="H80" s="892"/>
      <c r="I80" s="1006" t="str">
        <f>INDEX(TEMPLATE_NUMBER_POINT_FHD,B80,MATCH(TEMPLATE_SPHERE,TEMPLATE_SPHERE_LIST_FOR_NOTE,0))</f>
        <v>9</v>
      </c>
      <c r="J80" s="1006" t="str">
        <f>INDEX(TEMPLATE_DATA_POINT_FHD,B80,MATCH(TEMPLATE_SPHERE,TEMPLATE_SPHERE_LIST_FOR_NOTE,0))</f>
        <v>Объем вырабатываемой регулируемой организацией тепловой энергии в рамках осуществления регулируемых видов деятельности</v>
      </c>
      <c r="K80" s="1006" t="str">
        <f>INDEX(TEMPLATE_NOTE_POINT_FHD,B80,MATCH(TEMPLATE_SPHERE,TEMPLATE_SPHERE_LIST_FOR_NOTE,0))</f>
        <v>Регулируемыми организациями указывается информация тепловой энергии, выработанной в рамках осуществления регулируемых видов деятельности.</v>
      </c>
      <c r="L80" s="845" t="str">
        <f>IF(I80=0,"",I80)</f>
        <v>9</v>
      </c>
      <c r="M80" s="845" t="str">
        <f>IF(J80=0,"",J80)</f>
        <v>Объем вырабатываемой регулируемой организацией тепловой энергии в рамках осуществления регулируемых видов деятельности</v>
      </c>
      <c r="N80" s="845" t="str">
        <f>IF(K80=0,"",K80)</f>
        <v>Регулируемыми организациями указывается информация тепловой энергии, выработанной в рамках осуществления регулируемых видов деятельности.</v>
      </c>
      <c r="O80" s="958" t="s">
        <v>161</v>
      </c>
      <c r="P80" s="958"/>
      <c r="Q80" s="958"/>
      <c r="R80" s="958"/>
      <c r="S80" s="958"/>
      <c r="T80" s="844" t="s">
        <v>2318</v>
      </c>
      <c r="U80" s="844"/>
      <c r="V80" s="844"/>
      <c r="W80" s="844"/>
      <c r="X80" s="844"/>
      <c r="Y80" s="1001"/>
      <c r="Z80" s="847" t="s">
        <v>2319</v>
      </c>
      <c r="AA80" s="850"/>
      <c r="AB80" s="847"/>
      <c r="AC80" s="847"/>
      <c r="AD80" s="847"/>
    </row>
    <row customHeight="1" ht="36">
      <c r="A81" s="846"/>
      <c r="B81" s="900">
        <v>64</v>
      </c>
      <c r="C81" s="844" t="s">
        <v>2296</v>
      </c>
      <c r="D81" s="968"/>
      <c r="E81" s="844"/>
      <c r="F81" s="844"/>
      <c r="G81" s="844"/>
      <c r="H81" s="892"/>
      <c r="I81" s="1006" t="str">
        <f>INDEX(TEMPLATE_NUMBER_POINT_FHD,B81,MATCH(TEMPLATE_SPHERE,TEMPLATE_SPHERE_LIST_FOR_NOTE,0))</f>
        <v>9.1</v>
      </c>
      <c r="J81" s="1006" t="str">
        <f>INDEX(TEMPLATE_DATA_POINT_FHD,B81,MATCH(TEMPLATE_SPHERE,TEMPLATE_SPHERE_LIST_FOR_NOTE,0))</f>
        <v>Объем приобретаемой регулируемой организацией тепловой энергии в рамках осуществления регулируемых видов деятельности</v>
      </c>
      <c r="K81" s="1006" t="str">
        <f>INDEX(TEMPLATE_NOTE_POINT_FHD,B81,MATCH(TEMPLATE_SPHERE,TEMPLATE_SPHERE_LIST_FOR_NOTE,0))</f>
        <v>Информация указывается только едиными теплоснабжающими организациями.</v>
      </c>
      <c r="L81" s="845" t="str">
        <f>IF(I81=0,"",I81)</f>
        <v>9.1</v>
      </c>
      <c r="M81" s="845" t="str">
        <f>IF(J81=0,"",J81)</f>
        <v>Объем приобретаемой регулируемой организацией тепловой энергии в рамках осуществления регулируемых видов деятельности</v>
      </c>
      <c r="N81" s="845" t="str">
        <f>IF(K81=0,"",K81)</f>
        <v>Информация указывается только едиными теплоснабжающими организациями.</v>
      </c>
      <c r="O81" s="958" t="s">
        <v>2202</v>
      </c>
      <c r="P81" s="958"/>
      <c r="Q81" s="958"/>
      <c r="R81" s="958"/>
      <c r="S81" s="958"/>
      <c r="T81" s="844" t="s">
        <v>2320</v>
      </c>
      <c r="U81" s="844"/>
      <c r="V81" s="844"/>
      <c r="W81" s="844"/>
      <c r="X81" s="844"/>
      <c r="Y81" s="1001"/>
      <c r="Z81" s="847" t="s">
        <v>2321</v>
      </c>
      <c r="AA81" s="850"/>
      <c r="AB81" s="847"/>
      <c r="AC81" s="847"/>
      <c r="AD81" s="847"/>
    </row>
    <row customHeight="1" ht="90">
      <c r="A82" s="846"/>
      <c r="B82" s="900">
        <v>65</v>
      </c>
      <c r="C82" s="844" t="s">
        <v>2305</v>
      </c>
      <c r="D82" s="968"/>
      <c r="E82" s="844"/>
      <c r="F82" s="844"/>
      <c r="G82" s="844"/>
      <c r="H82" s="892"/>
      <c r="I82" s="1006" t="str">
        <f>INDEX(TEMPLATE_NUMBER_POINT_FHD,B82,MATCH(TEMPLATE_SPHERE,TEMPLATE_SPHERE_LIST_FOR_NOTE,0))</f>
        <v>10</v>
      </c>
      <c r="J82" s="1006" t="str">
        <f>INDEX(TEMPLATE_DATA_POINT_FHD,B82,MATCH(TEMPLATE_SPHERE,TEMPLATE_SPHERE_LIST_FOR_NOTE,0))</f>
        <v>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v>
      </c>
      <c r="K82" s="1006" t="str">
        <f>INDEX(TEMPLATE_NOTE_POINT_FHD,B82,MATCH(TEMPLATE_SPHERE,TEMPLATE_SPHERE_LIST_FOR_NOTE,0))</f>
        <v>Указывается общий объем тепловой энергии, отпускаемой потребителям.
Регулируемыми организациями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v>
      </c>
      <c r="L82" s="845" t="str">
        <f>IF(I82=0,"",I82)</f>
        <v>10</v>
      </c>
      <c r="M82" s="845" t="str">
        <f>IF(J82=0,"",J82)</f>
        <v>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v>
      </c>
      <c r="N82" s="845" t="str">
        <f>IF(K82=0,"",K82)</f>
        <v>Указывается общий объем тепловой энергии, отпускаемой потребителям.
Регулируемыми организациями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v>
      </c>
      <c r="O82" s="958" t="s">
        <v>162</v>
      </c>
      <c r="P82" s="958"/>
      <c r="Q82" s="958"/>
      <c r="R82" s="958"/>
      <c r="S82" s="958"/>
      <c r="T82" s="844" t="s">
        <v>2322</v>
      </c>
      <c r="U82" s="844"/>
      <c r="V82" s="844"/>
      <c r="W82" s="844"/>
      <c r="X82" s="844"/>
      <c r="Y82" s="1001"/>
      <c r="Z82" s="847" t="s">
        <v>2323</v>
      </c>
      <c r="AA82" s="850"/>
      <c r="AB82" s="847"/>
      <c r="AC82" s="847"/>
      <c r="AD82" s="847"/>
    </row>
    <row customHeight="1" ht="9">
      <c r="A83" s="846"/>
      <c r="B83" s="900">
        <v>66</v>
      </c>
      <c r="C83" s="844"/>
      <c r="D83" s="968"/>
      <c r="E83" s="844"/>
      <c r="F83" s="844"/>
      <c r="G83" s="844"/>
      <c r="H83" s="892"/>
      <c r="I83" s="1006" t="str">
        <f>INDEX(TEMPLATE_NUMBER_POINT_FHD,B83,MATCH(TEMPLATE_SPHERE,TEMPLATE_SPHERE_LIST_FOR_NOTE,0))</f>
        <v>10.1</v>
      </c>
      <c r="J83" s="1006" t="str">
        <f>INDEX(TEMPLATE_DATA_POINT_FHD,B83,MATCH(TEMPLATE_SPHERE,TEMPLATE_SPHERE_LIST_FOR_NOTE,0))</f>
        <v>По приборам учёта </v>
      </c>
      <c r="K83" s="1006">
        <f>INDEX(TEMPLATE_NOTE_POINT_FHD,B83,MATCH(TEMPLATE_SPHERE,TEMPLATE_SPHERE_LIST_FOR_NOTE,0))</f>
        <v>0</v>
      </c>
      <c r="L83" s="845" t="str">
        <f>IF(I83=0,"",I83)</f>
        <v>10.1</v>
      </c>
      <c r="M83" s="845" t="str">
        <f>IF(J83=0,"",J83)</f>
        <v>По приборам учёта </v>
      </c>
      <c r="N83" s="845" t="str">
        <f>IF(K83=0,"",K83)</f>
        <v/>
      </c>
      <c r="O83" s="958" t="s">
        <v>2211</v>
      </c>
      <c r="P83" s="958"/>
      <c r="Q83" s="958"/>
      <c r="R83" s="958"/>
      <c r="S83" s="958"/>
      <c r="T83" s="844" t="s">
        <v>2324</v>
      </c>
      <c r="U83" s="844"/>
      <c r="V83" s="844"/>
      <c r="W83" s="844"/>
      <c r="X83" s="844"/>
      <c r="Y83" s="1001"/>
      <c r="Z83" s="847"/>
      <c r="AA83" s="850"/>
      <c r="AB83" s="847"/>
      <c r="AC83" s="847"/>
      <c r="AD83" s="847"/>
    </row>
    <row customHeight="1" ht="54">
      <c r="A84" s="846"/>
      <c r="B84" s="900">
        <v>67</v>
      </c>
      <c r="C84" s="844"/>
      <c r="D84" s="968"/>
      <c r="E84" s="844"/>
      <c r="F84" s="844"/>
      <c r="G84" s="844"/>
      <c r="H84" s="892"/>
      <c r="I84" s="1006" t="str">
        <f>INDEX(TEMPLATE_NUMBER_POINT_FHD,B84,MATCH(TEMPLATE_SPHERE,TEMPLATE_SPHERE_LIST_FOR_NOTE,0))</f>
        <v>10.1.1</v>
      </c>
      <c r="J84" s="1006" t="str">
        <f>INDEX(TEMPLATE_DATA_POINT_FHD,B84,MATCH(TEMPLATE_SPHERE,TEMPLATE_SPHERE_LIST_FOR_NOTE,0))</f>
        <v>Определенный по приборам учета объем тепловой энергии, отпускаемой по договорам потребителям, максимальный объем потребления тепловой энергии объектов которых составляет менее чем 0,2 Гкал</v>
      </c>
      <c r="K84" s="1006">
        <f>INDEX(TEMPLATE_NOTE_POINT_FHD,B84,MATCH(TEMPLATE_SPHERE,TEMPLATE_SPHERE_LIST_FOR_NOTE,0))</f>
        <v>0</v>
      </c>
      <c r="L84" s="845" t="str">
        <f>IF(I84=0,"",I84)</f>
        <v>10.1.1</v>
      </c>
      <c r="M84" s="845" t="str">
        <f>IF(J84=0,"",J84)</f>
        <v>Определенный по приборам учета объем тепловой энергии, отпускаемой по договорам потребителям, максимальный объем потребления тепловой энергии объектов которых составляет менее чем 0,2 Гкал</v>
      </c>
      <c r="N84" s="845" t="str">
        <f>IF(K84=0,"",K84)</f>
        <v/>
      </c>
      <c r="O84" s="958" t="s">
        <v>2325</v>
      </c>
      <c r="P84" s="958"/>
      <c r="Q84" s="958"/>
      <c r="R84" s="958"/>
      <c r="S84" s="958"/>
      <c r="T84" s="844" t="s">
        <v>2326</v>
      </c>
      <c r="U84" s="844"/>
      <c r="V84" s="844"/>
      <c r="W84" s="844"/>
      <c r="X84" s="844"/>
      <c r="Y84" s="1001"/>
      <c r="Z84" s="847"/>
      <c r="AA84" s="850"/>
      <c r="AB84" s="847"/>
      <c r="AC84" s="847"/>
      <c r="AD84" s="847"/>
    </row>
    <row customHeight="1" ht="9">
      <c r="A85" s="846"/>
      <c r="B85" s="900">
        <v>68</v>
      </c>
      <c r="C85" s="844"/>
      <c r="D85" s="968"/>
      <c r="E85" s="844"/>
      <c r="F85" s="844"/>
      <c r="G85" s="844"/>
      <c r="H85" s="892"/>
      <c r="I85" s="1006" t="str">
        <f>INDEX(TEMPLATE_NUMBER_POINT_FHD,B85,MATCH(TEMPLATE_SPHERE,TEMPLATE_SPHERE_LIST_FOR_NOTE,0))</f>
        <v>10.2</v>
      </c>
      <c r="J85" s="1006" t="str">
        <f>INDEX(TEMPLATE_DATA_POINT_FHD,B85,MATCH(TEMPLATE_SPHERE,TEMPLATE_SPHERE_LIST_FOR_NOTE,0))</f>
        <v>Расчётным путём</v>
      </c>
      <c r="K85" s="1006">
        <f>INDEX(TEMPLATE_NOTE_POINT_FHD,B85,MATCH(TEMPLATE_SPHERE,TEMPLATE_SPHERE_LIST_FOR_NOTE,0))</f>
        <v>0</v>
      </c>
      <c r="L85" s="845" t="str">
        <f>IF(I85=0,"",I85)</f>
        <v>10.2</v>
      </c>
      <c r="M85" s="845" t="str">
        <f>IF(J85=0,"",J85)</f>
        <v>Расчётным путём</v>
      </c>
      <c r="N85" s="845" t="str">
        <f>IF(K85=0,"",K85)</f>
        <v/>
      </c>
      <c r="O85" s="958" t="s">
        <v>2215</v>
      </c>
      <c r="P85" s="958"/>
      <c r="Q85" s="958"/>
      <c r="R85" s="958"/>
      <c r="S85" s="958"/>
      <c r="T85" s="844" t="s">
        <v>2327</v>
      </c>
      <c r="U85" s="844"/>
      <c r="V85" s="844"/>
      <c r="W85" s="844"/>
      <c r="X85" s="844"/>
      <c r="Y85" s="1001"/>
      <c r="Z85" s="847"/>
      <c r="AA85" s="850"/>
      <c r="AB85" s="847"/>
      <c r="AC85" s="847"/>
      <c r="AD85" s="847"/>
    </row>
    <row customHeight="1" ht="27">
      <c r="A86" s="846"/>
      <c r="B86" s="900">
        <v>69</v>
      </c>
      <c r="C86" s="844"/>
      <c r="D86" s="968"/>
      <c r="E86" s="844"/>
      <c r="F86" s="844"/>
      <c r="G86" s="844"/>
      <c r="H86" s="892"/>
      <c r="I86" s="1006" t="str">
        <f>INDEX(TEMPLATE_NUMBER_POINT_FHD,B86,MATCH(TEMPLATE_SPHERE,TEMPLATE_SPHERE_LIST_FOR_NOTE,0))</f>
        <v>10.3</v>
      </c>
      <c r="J86" s="1006" t="str">
        <f>INDEX(TEMPLATE_DATA_POINT_FHD,B86,MATCH(TEMPLATE_SPHERE,TEMPLATE_SPHERE_LIST_FOR_NOTE,0))</f>
        <v>По нормативам потребления коммунальных услуг и нормативам потребления коммунальных ресурсов</v>
      </c>
      <c r="K86" s="1006">
        <f>INDEX(TEMPLATE_NOTE_POINT_FHD,B86,MATCH(TEMPLATE_SPHERE,TEMPLATE_SPHERE_LIST_FOR_NOTE,0))</f>
        <v>0</v>
      </c>
      <c r="L86" s="845" t="str">
        <f>IF(I86=0,"",I86)</f>
        <v>10.3</v>
      </c>
      <c r="M86" s="845" t="str">
        <f>IF(J86=0,"",J86)</f>
        <v>По нормативам потребления коммунальных услуг и нормативам потребления коммунальных ресурсов</v>
      </c>
      <c r="N86" s="845" t="str">
        <f>IF(K86=0,"",K86)</f>
        <v/>
      </c>
      <c r="O86" s="958" t="s">
        <v>2328</v>
      </c>
      <c r="P86" s="958"/>
      <c r="Q86" s="958"/>
      <c r="R86" s="958"/>
      <c r="S86" s="958"/>
      <c r="T86" s="844" t="s">
        <v>2329</v>
      </c>
      <c r="U86" s="844"/>
      <c r="V86" s="844"/>
      <c r="W86" s="844"/>
      <c r="X86" s="844"/>
      <c r="Y86" s="1001"/>
      <c r="Z86" s="847"/>
      <c r="AA86" s="850"/>
      <c r="AB86" s="847"/>
      <c r="AC86" s="847"/>
      <c r="AD86" s="847"/>
    </row>
    <row customHeight="1" ht="36">
      <c r="A87" s="846"/>
      <c r="B87" s="900">
        <v>70</v>
      </c>
      <c r="C87" s="844" t="s">
        <v>2330</v>
      </c>
      <c r="D87" s="968"/>
      <c r="E87" s="844"/>
      <c r="F87" s="844"/>
      <c r="G87" s="844"/>
      <c r="H87" s="892"/>
      <c r="I87" s="1006" t="str">
        <f>INDEX(TEMPLATE_NUMBER_POINT_FHD,B87,MATCH(TEMPLATE_SPHERE,TEMPLATE_SPHERE_LIST_FOR_NOTE,0))</f>
        <v>11</v>
      </c>
      <c r="J87" s="1006" t="str">
        <f>INDEX(TEMPLATE_DATA_POINT_FHD,B87,MATCH(TEMPLATE_SPHERE,TEMPLATE_SPHERE_LIST_FOR_NOTE,0))</f>
        <v>Нормативы технологических потерь при передаче тепловой энергии, теплоносителя по тепловым сетям, утвержденные уполномоченным органом</v>
      </c>
      <c r="K87" s="1006">
        <f>INDEX(TEMPLATE_NOTE_POINT_FHD,B87,MATCH(TEMPLATE_SPHERE,TEMPLATE_SPHERE_LIST_FOR_NOTE,0))</f>
        <v>0</v>
      </c>
      <c r="L87" s="845" t="str">
        <f>IF(I87=0,"",I87)</f>
        <v>11</v>
      </c>
      <c r="M87" s="845" t="str">
        <f>IF(J87=0,"",J87)</f>
        <v>Нормативы технологических потерь при передаче тепловой энергии, теплоносителя по тепловым сетям, утвержденные уполномоченным органом</v>
      </c>
      <c r="N87" s="845" t="str">
        <f>IF(K87=0,"",K87)</f>
        <v/>
      </c>
      <c r="O87" s="958" t="s">
        <v>163</v>
      </c>
      <c r="P87" s="958"/>
      <c r="Q87" s="958"/>
      <c r="R87" s="958"/>
      <c r="S87" s="958"/>
      <c r="T87" s="844" t="s">
        <v>2331</v>
      </c>
      <c r="U87" s="844"/>
      <c r="V87" s="844"/>
      <c r="W87" s="844"/>
      <c r="X87" s="844"/>
      <c r="Y87" s="1001"/>
      <c r="Z87" s="847"/>
      <c r="AA87" s="850"/>
      <c r="AB87" s="847"/>
      <c r="AC87" s="847"/>
      <c r="AD87" s="847"/>
    </row>
    <row customHeight="1" ht="18">
      <c r="A88" s="846"/>
      <c r="B88" s="900">
        <v>71</v>
      </c>
      <c r="C88" s="844" t="s">
        <v>2332</v>
      </c>
      <c r="D88" s="968"/>
      <c r="E88" s="844"/>
      <c r="F88" s="844"/>
      <c r="G88" s="844"/>
      <c r="H88" s="892"/>
      <c r="I88" s="1006" t="str">
        <f>INDEX(TEMPLATE_NUMBER_POINT_FHD,B88,MATCH(TEMPLATE_SPHERE,TEMPLATE_SPHERE_LIST_FOR_NOTE,0))</f>
        <v>12</v>
      </c>
      <c r="J88" s="1006" t="str">
        <f>INDEX(TEMPLATE_DATA_POINT_FHD,B88,MATCH(TEMPLATE_SPHERE,TEMPLATE_SPHERE_LIST_FOR_NOTE,0))</f>
        <v>Фактический объем потерь при передаче тепловой энергии</v>
      </c>
      <c r="K88" s="1006">
        <f>INDEX(TEMPLATE_NOTE_POINT_FHD,B88,MATCH(TEMPLATE_SPHERE,TEMPLATE_SPHERE_LIST_FOR_NOTE,0))</f>
        <v>0</v>
      </c>
      <c r="L88" s="845" t="str">
        <f>IF(I88=0,"",I88)</f>
        <v>12</v>
      </c>
      <c r="M88" s="845" t="str">
        <f>IF(J88=0,"",J88)</f>
        <v>Фактический объем потерь при передаче тепловой энергии</v>
      </c>
      <c r="N88" s="845" t="str">
        <f>IF(K88=0,"",K88)</f>
        <v/>
      </c>
      <c r="O88" s="958" t="s">
        <v>164</v>
      </c>
      <c r="P88" s="958"/>
      <c r="Q88" s="958"/>
      <c r="R88" s="958"/>
      <c r="S88" s="958"/>
      <c r="T88" s="844" t="s">
        <v>797</v>
      </c>
      <c r="U88" s="844"/>
      <c r="V88" s="844"/>
      <c r="W88" s="844"/>
      <c r="X88" s="844"/>
      <c r="Y88" s="1001"/>
      <c r="Z88" s="847"/>
      <c r="AA88" s="850"/>
      <c r="AB88" s="847"/>
      <c r="AC88" s="847"/>
      <c r="AD88" s="847"/>
    </row>
    <row customHeight="1" ht="18">
      <c r="A89" s="846"/>
      <c r="B89" s="900">
        <v>72</v>
      </c>
      <c r="C89" s="844" t="s">
        <v>2333</v>
      </c>
      <c r="D89" s="968" t="s">
        <v>2330</v>
      </c>
      <c r="E89" s="844" t="s">
        <v>2330</v>
      </c>
      <c r="F89" s="844" t="s">
        <v>2296</v>
      </c>
      <c r="G89" s="844"/>
      <c r="H89" s="892"/>
      <c r="I89" s="1006" t="str">
        <f>INDEX(TEMPLATE_NUMBER_POINT_FHD,B89,MATCH(TEMPLATE_SPHERE,TEMPLATE_SPHERE_LIST_FOR_NOTE,0))</f>
        <v>13</v>
      </c>
      <c r="J89" s="1006" t="str">
        <f>INDEX(TEMPLATE_DATA_POINT_FHD,B89,MATCH(TEMPLATE_SPHERE,TEMPLATE_SPHERE_LIST_FOR_NOTE,0))</f>
        <v>Среднесписочная численность основного производственного персонала</v>
      </c>
      <c r="K89" s="1006">
        <f>INDEX(TEMPLATE_NOTE_POINT_FHD,B89,MATCH(TEMPLATE_SPHERE,TEMPLATE_SPHERE_LIST_FOR_NOTE,0))</f>
        <v>0</v>
      </c>
      <c r="L89" s="845" t="str">
        <f>IF(I89=0,"",I89)</f>
        <v>13</v>
      </c>
      <c r="M89" s="845" t="str">
        <f>IF(J89=0,"",J89)</f>
        <v>Среднесписочная численность основного производственного персонала</v>
      </c>
      <c r="N89" s="845" t="str">
        <f>IF(K89=0,"",K89)</f>
        <v/>
      </c>
      <c r="O89" s="958" t="s">
        <v>165</v>
      </c>
      <c r="P89" s="958" t="s">
        <v>164</v>
      </c>
      <c r="Q89" s="958" t="s">
        <v>164</v>
      </c>
      <c r="R89" s="958" t="s">
        <v>162</v>
      </c>
      <c r="S89" s="958"/>
      <c r="T89" s="844" t="s">
        <v>805</v>
      </c>
      <c r="U89" s="844" t="s">
        <v>805</v>
      </c>
      <c r="V89" s="844" t="s">
        <v>805</v>
      </c>
      <c r="W89" s="844" t="s">
        <v>805</v>
      </c>
      <c r="X89" s="844"/>
      <c r="Y89" s="1001"/>
      <c r="Z89" s="847"/>
      <c r="AA89" s="850"/>
      <c r="AB89" s="847"/>
      <c r="AC89" s="847"/>
      <c r="AD89" s="847"/>
    </row>
    <row customHeight="1" ht="27">
      <c r="A90" s="846"/>
      <c r="B90" s="900">
        <v>73</v>
      </c>
      <c r="C90" s="844" t="s">
        <v>2334</v>
      </c>
      <c r="D90" s="968"/>
      <c r="E90" s="844"/>
      <c r="F90" s="844"/>
      <c r="G90" s="844"/>
      <c r="H90" s="892"/>
      <c r="I90" s="1006" t="str">
        <f>INDEX(TEMPLATE_NUMBER_POINT_FHD,B90,MATCH(TEMPLATE_SPHERE,TEMPLATE_SPHERE_LIST_FOR_NOTE,0))</f>
        <v>14</v>
      </c>
      <c r="J90" s="1006" t="str">
        <f>INDEX(TEMPLATE_DATA_POINT_FHD,B90,MATCH(TEMPLATE_SPHERE,TEMPLATE_SPHERE_LIST_FOR_NOTE,0))</f>
        <v>Среднесписочная численность административно-управленческого персонала</v>
      </c>
      <c r="K90" s="1006">
        <f>INDEX(TEMPLATE_NOTE_POINT_FHD,B90,MATCH(TEMPLATE_SPHERE,TEMPLATE_SPHERE_LIST_FOR_NOTE,0))</f>
        <v>0</v>
      </c>
      <c r="L90" s="845" t="str">
        <f>IF(I90=0,"",I90)</f>
        <v>14</v>
      </c>
      <c r="M90" s="845" t="str">
        <f>IF(J90=0,"",J90)</f>
        <v>Среднесписочная численность административно-управленческого персонала</v>
      </c>
      <c r="N90" s="845" t="str">
        <f>IF(K90=0,"",K90)</f>
        <v/>
      </c>
      <c r="O90" s="958" t="s">
        <v>166</v>
      </c>
      <c r="P90" s="958"/>
      <c r="Q90" s="958"/>
      <c r="R90" s="958"/>
      <c r="S90" s="958"/>
      <c r="T90" s="844" t="s">
        <v>807</v>
      </c>
      <c r="U90" s="844"/>
      <c r="V90" s="844"/>
      <c r="W90" s="844"/>
      <c r="X90" s="844"/>
      <c r="Y90" s="1001"/>
      <c r="Z90" s="847"/>
      <c r="AA90" s="850"/>
      <c r="AB90" s="847"/>
      <c r="AC90" s="847"/>
      <c r="AD90" s="847"/>
    </row>
    <row customHeight="1" ht="18">
      <c r="A91" s="846"/>
      <c r="B91" s="900">
        <v>74</v>
      </c>
      <c r="C91" s="844"/>
      <c r="D91" s="968" t="s">
        <v>2332</v>
      </c>
      <c r="E91" s="844" t="s">
        <v>2332</v>
      </c>
      <c r="F91" s="844"/>
      <c r="G91" s="844"/>
      <c r="H91" s="892"/>
      <c r="I91" s="1006">
        <f>INDEX(TEMPLATE_NUMBER_POINT_FHD,B91,MATCH(TEMPLATE_SPHERE,TEMPLATE_SPHERE_LIST_FOR_NOTE,0))</f>
        <v>0</v>
      </c>
      <c r="J91" s="1006">
        <f>INDEX(TEMPLATE_DATA_POINT_FHD,B91,MATCH(TEMPLATE_SPHERE,TEMPLATE_SPHERE_LIST_FOR_NOTE,0))</f>
        <v>0</v>
      </c>
      <c r="K91" s="1006">
        <f>INDEX(TEMPLATE_NOTE_POINT_FHD,B91,MATCH(TEMPLATE_SPHERE,TEMPLATE_SPHERE_LIST_FOR_NOTE,0))</f>
        <v>0</v>
      </c>
      <c r="L91" s="845" t="str">
        <f>IF(I91=0,"",I91)</f>
        <v/>
      </c>
      <c r="M91" s="845" t="str">
        <f>IF(J91=0,"",J91)</f>
        <v/>
      </c>
      <c r="N91" s="845" t="str">
        <f>IF(K91=0,"",K91)</f>
        <v/>
      </c>
      <c r="O91" s="958"/>
      <c r="P91" s="958" t="s">
        <v>165</v>
      </c>
      <c r="Q91" s="958" t="s">
        <v>165</v>
      </c>
      <c r="R91" s="958"/>
      <c r="S91" s="958"/>
      <c r="T91" s="844"/>
      <c r="U91" s="844" t="s">
        <v>2335</v>
      </c>
      <c r="V91" s="844" t="s">
        <v>2335</v>
      </c>
      <c r="W91" s="844"/>
      <c r="X91" s="844"/>
      <c r="Y91" s="1001"/>
      <c r="Z91" s="847"/>
      <c r="AA91" s="850"/>
      <c r="AB91" s="847"/>
      <c r="AC91" s="847"/>
      <c r="AD91" s="847"/>
    </row>
    <row customHeight="1" ht="27">
      <c r="A92" s="846"/>
      <c r="B92" s="900">
        <v>75</v>
      </c>
      <c r="C92" s="844"/>
      <c r="D92" s="968" t="s">
        <v>2333</v>
      </c>
      <c r="E92" s="844"/>
      <c r="F92" s="844"/>
      <c r="G92" s="844"/>
      <c r="H92" s="892"/>
      <c r="I92" s="1006">
        <f>INDEX(TEMPLATE_NUMBER_POINT_FHD,B92,MATCH(TEMPLATE_SPHERE,TEMPLATE_SPHERE_LIST_FOR_NOTE,0))</f>
        <v>0</v>
      </c>
      <c r="J92" s="1006">
        <f>INDEX(TEMPLATE_DATA_POINT_FHD,B92,MATCH(TEMPLATE_SPHERE,TEMPLATE_SPHERE_LIST_FOR_NOTE,0))</f>
        <v>0</v>
      </c>
      <c r="K92" s="1006">
        <f>INDEX(TEMPLATE_NOTE_POINT_FHD,B92,MATCH(TEMPLATE_SPHERE,TEMPLATE_SPHERE_LIST_FOR_NOTE,0))</f>
        <v>0</v>
      </c>
      <c r="L92" s="845" t="str">
        <f>IF(I92=0,"",I92)</f>
        <v/>
      </c>
      <c r="M92" s="845" t="str">
        <f>IF(J92=0,"",J92)</f>
        <v/>
      </c>
      <c r="N92" s="845" t="str">
        <f>IF(K92=0,"",K92)</f>
        <v/>
      </c>
      <c r="O92" s="958"/>
      <c r="P92" s="958" t="s">
        <v>166</v>
      </c>
      <c r="Q92" s="958"/>
      <c r="R92" s="958"/>
      <c r="S92" s="958"/>
      <c r="T92" s="844"/>
      <c r="U92" s="844" t="s">
        <v>2336</v>
      </c>
      <c r="V92" s="844"/>
      <c r="W92" s="844"/>
      <c r="X92" s="844"/>
      <c r="Y92" s="1001"/>
      <c r="Z92" s="847"/>
      <c r="AA92" s="850" t="s">
        <v>2337</v>
      </c>
      <c r="AB92" s="847"/>
      <c r="AC92" s="847"/>
      <c r="AD92" s="847"/>
    </row>
    <row customHeight="1" ht="27">
      <c r="A93" s="846"/>
      <c r="B93" s="900">
        <v>76</v>
      </c>
      <c r="C93" s="844"/>
      <c r="D93" s="968"/>
      <c r="E93" s="844"/>
      <c r="F93" s="844"/>
      <c r="G93" s="844"/>
      <c r="H93" s="892"/>
      <c r="I93" s="1006">
        <f>INDEX(TEMPLATE_NUMBER_POINT_FHD,B93,MATCH(TEMPLATE_SPHERE,TEMPLATE_SPHERE_LIST_FOR_NOTE,0))</f>
        <v>0</v>
      </c>
      <c r="J93" s="1006">
        <f>INDEX(TEMPLATE_DATA_POINT_FHD,B93,MATCH(TEMPLATE_SPHERE,TEMPLATE_SPHERE_LIST_FOR_NOTE,0))</f>
        <v>0</v>
      </c>
      <c r="K93" s="1006">
        <f>INDEX(TEMPLATE_NOTE_POINT_FHD,B93,MATCH(TEMPLATE_SPHERE,TEMPLATE_SPHERE_LIST_FOR_NOTE,0))</f>
        <v>0</v>
      </c>
      <c r="L93" s="845" t="str">
        <f>IF(I93=0,"",I93)</f>
        <v/>
      </c>
      <c r="M93" s="845" t="str">
        <f>IF(J93=0,"",J93)</f>
        <v/>
      </c>
      <c r="N93" s="845" t="str">
        <f>IF(K93=0,"",K93)</f>
        <v/>
      </c>
      <c r="O93" s="958"/>
      <c r="P93" s="958" t="s">
        <v>2243</v>
      </c>
      <c r="Q93" s="958"/>
      <c r="R93" s="958"/>
      <c r="S93" s="958"/>
      <c r="T93" s="844"/>
      <c r="U93" s="844" t="s">
        <v>2338</v>
      </c>
      <c r="V93" s="844"/>
      <c r="W93" s="844"/>
      <c r="X93" s="844"/>
      <c r="Y93" s="1001"/>
      <c r="Z93" s="847"/>
      <c r="AA93" s="850" t="s">
        <v>2339</v>
      </c>
      <c r="AB93" s="847"/>
      <c r="AC93" s="847"/>
      <c r="AD93" s="847"/>
    </row>
    <row customHeight="1" ht="45">
      <c r="A94" s="846"/>
      <c r="B94" s="900">
        <v>77</v>
      </c>
      <c r="C94" s="844"/>
      <c r="D94" s="968" t="s">
        <v>2334</v>
      </c>
      <c r="E94" s="844"/>
      <c r="F94" s="844"/>
      <c r="G94" s="844"/>
      <c r="H94" s="892"/>
      <c r="I94" s="1006">
        <f>INDEX(TEMPLATE_NUMBER_POINT_FHD,B94,MATCH(TEMPLATE_SPHERE,TEMPLATE_SPHERE_LIST_FOR_NOTE,0))</f>
        <v>0</v>
      </c>
      <c r="J94" s="1006">
        <f>INDEX(TEMPLATE_DATA_POINT_FHD,B94,MATCH(TEMPLATE_SPHERE,TEMPLATE_SPHERE_LIST_FOR_NOTE,0))</f>
        <v>0</v>
      </c>
      <c r="K94" s="1006">
        <f>INDEX(TEMPLATE_NOTE_POINT_FHD,B94,MATCH(TEMPLATE_SPHERE,TEMPLATE_SPHERE_LIST_FOR_NOTE,0))</f>
        <v>0</v>
      </c>
      <c r="L94" s="845" t="str">
        <f>IF(I94=0,"",I94)</f>
        <v/>
      </c>
      <c r="M94" s="845" t="str">
        <f>IF(J94=0,"",J94)</f>
        <v/>
      </c>
      <c r="N94" s="845" t="str">
        <f>IF(K94=0,"",K94)</f>
        <v/>
      </c>
      <c r="O94" s="958"/>
      <c r="P94" s="958" t="s">
        <v>1597</v>
      </c>
      <c r="Q94" s="958"/>
      <c r="R94" s="958"/>
      <c r="S94" s="958"/>
      <c r="T94" s="844"/>
      <c r="U94" s="844" t="s">
        <v>2340</v>
      </c>
      <c r="V94" s="844"/>
      <c r="W94" s="844"/>
      <c r="X94" s="844"/>
      <c r="Y94" s="1001"/>
      <c r="Z94" s="847"/>
      <c r="AA94" s="850" t="s">
        <v>2341</v>
      </c>
      <c r="AB94" s="847"/>
      <c r="AC94" s="847"/>
      <c r="AD94" s="847"/>
    </row>
    <row customHeight="1" ht="99">
      <c r="A95" s="846"/>
      <c r="B95" s="900">
        <v>78</v>
      </c>
      <c r="C95" s="844" t="s">
        <v>2342</v>
      </c>
      <c r="D95" s="968"/>
      <c r="E95" s="844"/>
      <c r="F95" s="844"/>
      <c r="G95" s="844"/>
      <c r="H95" s="892"/>
      <c r="I95" s="1006" t="str">
        <f>INDEX(TEMPLATE_NUMBER_POINT_FHD,B95,MATCH(TEMPLATE_SPHERE,TEMPLATE_SPHERE_LIST_FOR_NOTE,0))</f>
        <v>15</v>
      </c>
      <c r="J95" s="1006" t="str">
        <f>INDEX(TEMPLATE_DATA_POINT_FHD,B95,MATCH(TEMPLATE_SPHERE,TEMPLATE_SPHERE_LIST_FOR_NOTE,0))</f>
        <v>Норматив удельного расхода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v>
      </c>
      <c r="K95" s="1006">
        <f>INDEX(TEMPLATE_NOTE_POINT_FHD,B95,MATCH(TEMPLATE_SPHERE,TEMPLATE_SPHERE_LIST_FOR_NOTE,0))</f>
        <v>0</v>
      </c>
      <c r="L95" s="845" t="str">
        <f>IF(I95=0,"",I95)</f>
        <v>15</v>
      </c>
      <c r="M95" s="845" t="str">
        <f>IF(J95=0,"",J95)</f>
        <v>Норматив удельного расхода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v>
      </c>
      <c r="N95" s="845" t="str">
        <f>IF(K95=0,"",K95)</f>
        <v/>
      </c>
      <c r="O95" s="958" t="s">
        <v>1597</v>
      </c>
      <c r="P95" s="958"/>
      <c r="Q95" s="958"/>
      <c r="R95" s="958"/>
      <c r="S95" s="958"/>
      <c r="T95" s="844" t="s">
        <v>2343</v>
      </c>
      <c r="U95" s="844"/>
      <c r="V95" s="844"/>
      <c r="W95" s="844"/>
      <c r="X95" s="844"/>
      <c r="Y95" s="1001"/>
      <c r="Z95" s="847"/>
      <c r="AA95" s="850"/>
      <c r="AB95" s="847"/>
      <c r="AC95" s="847"/>
      <c r="AD95" s="847"/>
    </row>
    <row customHeight="1" ht="99">
      <c r="A96" s="846"/>
      <c r="B96" s="900">
        <v>79</v>
      </c>
      <c r="C96" s="844" t="s">
        <v>1287</v>
      </c>
      <c r="D96" s="968"/>
      <c r="E96" s="844"/>
      <c r="F96" s="844"/>
      <c r="G96" s="844"/>
      <c r="H96" s="892"/>
      <c r="I96" s="1006" t="str">
        <f>INDEX(TEMPLATE_NUMBER_POINT_FHD,B96,MATCH(TEMPLATE_SPHERE,TEMPLATE_SPHERE_LIST_FOR_NOTE,0))</f>
        <v>16</v>
      </c>
      <c r="J96" s="1006" t="str">
        <f>INDEX(TEMPLATE_DATA_POINT_FHD,B96,MATCH(TEMPLATE_SPHERE,TEMPLATE_SPHERE_LIST_FOR_NOTE,0))</f>
        <v>Фактический удельный расход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v>
      </c>
      <c r="K96" s="1006" t="str">
        <f>INDEX(TEMPLATE_NOTE_POINT_FHD,B96,MATCH(TEMPLATE_SPHERE,TEMPLATE_SPHERE_LIST_FOR_NOTE,0))</f>
        <v>Регулируемыми организациями указывается информация с распределением по источникам тепловой энергии, используемым для осуществления регулируемых видов деятельности.</v>
      </c>
      <c r="L96" s="845" t="str">
        <f>IF(I96=0,"",I96)</f>
        <v>16</v>
      </c>
      <c r="M96" s="845" t="str">
        <f>IF(J96=0,"",J96)</f>
        <v>Фактический удельный расход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v>
      </c>
      <c r="N96" s="845" t="str">
        <f>IF(K96=0,"",K96)</f>
        <v>Регулируемыми организациями указывается информация с распределением по источникам тепловой энергии, используемым для осуществления регулируемых видов деятельности.</v>
      </c>
      <c r="O96" s="958" t="s">
        <v>1603</v>
      </c>
      <c r="P96" s="958"/>
      <c r="Q96" s="958"/>
      <c r="R96" s="958"/>
      <c r="S96" s="958"/>
      <c r="T96" s="844" t="s">
        <v>2344</v>
      </c>
      <c r="U96" s="844"/>
      <c r="V96" s="844"/>
      <c r="W96" s="844"/>
      <c r="X96" s="844"/>
      <c r="Y96" s="1001"/>
      <c r="Z96" s="847" t="s">
        <v>2345</v>
      </c>
      <c r="AA96" s="850"/>
      <c r="AB96" s="847"/>
      <c r="AC96" s="847"/>
      <c r="AD96" s="847"/>
    </row>
    <row customHeight="1" ht="63">
      <c r="A97" s="846"/>
      <c r="B97" s="900">
        <v>80</v>
      </c>
      <c r="C97" s="844" t="s">
        <v>2346</v>
      </c>
      <c r="D97" s="968"/>
      <c r="E97" s="844"/>
      <c r="F97" s="844"/>
      <c r="G97" s="844"/>
      <c r="H97" s="892"/>
      <c r="I97" s="1006" t="str">
        <f>INDEX(TEMPLATE_NUMBER_POINT_FHD,B97,MATCH(TEMPLATE_SPHERE,TEMPLATE_SPHERE_LIST_FOR_NOTE,0))</f>
        <v>17</v>
      </c>
      <c r="J97" s="1006" t="str">
        <f>INDEX(TEMPLATE_DATA_POINT_FHD,B97,MATCH(TEMPLATE_SPHERE,TEMPLATE_SPHERE_LIST_FOR_NOTE,0))</f>
        <v>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v>
      </c>
      <c r="K97" s="1006" t="str">
        <f>INDEX(TEMPLATE_NOTE_POINT_FHD,B97,MATCH(TEMPLATE_SPHERE,TEMPLATE_SPHERE_LIST_FOR_NOTE,0))</f>
        <v>Регулируемыми организациями указывается информация с по договорам, заключенным в рамках осуществления регулируемой деятельности.</v>
      </c>
      <c r="L97" s="845" t="str">
        <f>IF(I97=0,"",I97)</f>
        <v>17</v>
      </c>
      <c r="M97" s="845" t="str">
        <f>IF(J97=0,"",J97)</f>
        <v>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v>
      </c>
      <c r="N97" s="845" t="str">
        <f>IF(K97=0,"",K97)</f>
        <v>Регулируемыми организациями указывается информация с по договорам, заключенным в рамках осуществления регулируемой деятельности.</v>
      </c>
      <c r="O97" s="958" t="s">
        <v>1615</v>
      </c>
      <c r="P97" s="958"/>
      <c r="Q97" s="958"/>
      <c r="R97" s="958"/>
      <c r="S97" s="958"/>
      <c r="T97" s="844" t="s">
        <v>2347</v>
      </c>
      <c r="U97" s="844"/>
      <c r="V97" s="844"/>
      <c r="W97" s="844"/>
      <c r="X97" s="844"/>
      <c r="Y97" s="1001"/>
      <c r="Z97" s="847" t="s">
        <v>2348</v>
      </c>
      <c r="AA97" s="850"/>
      <c r="AB97" s="847"/>
      <c r="AC97" s="847"/>
      <c r="AD97" s="847"/>
    </row>
    <row customHeight="1" ht="63">
      <c r="A98" s="846"/>
      <c r="B98" s="900">
        <v>81</v>
      </c>
      <c r="C98" s="844" t="s">
        <v>2349</v>
      </c>
      <c r="D98" s="968"/>
      <c r="E98" s="844"/>
      <c r="F98" s="844"/>
      <c r="G98" s="844"/>
      <c r="H98" s="892"/>
      <c r="I98" s="1006" t="str">
        <f>INDEX(TEMPLATE_NUMBER_POINT_FHD,B98,MATCH(TEMPLATE_SPHERE,TEMPLATE_SPHERE_LIST_FOR_NOTE,0))</f>
        <v>18</v>
      </c>
      <c r="J98" s="1006" t="str">
        <f>INDEX(TEMPLATE_DATA_POINT_FHD,B98,MATCH(TEMPLATE_SPHERE,TEMPLATE_SPHERE_LIST_FOR_NOTE,0))</f>
        <v>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v>
      </c>
      <c r="K98" s="1006" t="str">
        <f>INDEX(TEMPLATE_NOTE_POINT_FHD,B98,MATCH(TEMPLATE_SPHERE,TEMPLATE_SPHERE_LIST_FOR_NOTE,0))</f>
        <v>Регулируемыми организациями указывается информация с по договорам, заключенным в рамках осуществления регулируемой деятельности.</v>
      </c>
      <c r="L98" s="845" t="str">
        <f>IF(I98=0,"",I98)</f>
        <v>18</v>
      </c>
      <c r="M98" s="845" t="str">
        <f>IF(J98=0,"",J98)</f>
        <v>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v>
      </c>
      <c r="N98" s="845" t="str">
        <f>IF(K98=0,"",K98)</f>
        <v>Регулируемыми организациями указывается информация с по договорам, заключенным в рамках осуществления регулируемой деятельности.</v>
      </c>
      <c r="O98" s="958" t="s">
        <v>1629</v>
      </c>
      <c r="P98" s="958"/>
      <c r="Q98" s="958"/>
      <c r="R98" s="958"/>
      <c r="S98" s="958"/>
      <c r="T98" s="844" t="s">
        <v>2350</v>
      </c>
      <c r="U98" s="844"/>
      <c r="V98" s="844"/>
      <c r="W98" s="844"/>
      <c r="X98" s="844"/>
      <c r="Y98" s="1001"/>
      <c r="Z98" s="847" t="s">
        <v>2348</v>
      </c>
      <c r="AA98" s="850"/>
      <c r="AB98" s="847"/>
      <c r="AC98" s="847"/>
      <c r="AD98" s="847"/>
    </row>
    <row customHeight="1" ht="90">
      <c r="A99" s="846"/>
      <c r="B99" s="900">
        <v>82</v>
      </c>
      <c r="C99" s="844" t="s">
        <v>2351</v>
      </c>
      <c r="D99" s="968"/>
      <c r="E99" s="844"/>
      <c r="F99" s="844"/>
      <c r="G99" s="844"/>
      <c r="H99" s="892"/>
      <c r="I99" s="1006" t="str">
        <f>INDEX(TEMPLATE_NUMBER_POINT_FHD,B99,MATCH(TEMPLATE_SPHERE,TEMPLATE_SPHERE_LIST_FOR_NOTE,0))</f>
        <v>19</v>
      </c>
      <c r="J99" s="1006" t="str">
        <f>INDEX(TEMPLATE_DATA_POINT_FHD,B99,MATCH(TEMPLATE_SPHERE,TEMPLATE_SPHERE_LIST_FOR_NOTE,0))</f>
        <v>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v>
      </c>
      <c r="K99" s="1006" t="str">
        <f>INDEX(TEMPLATE_NOTE_POINT_FHD,B99,MATCH(TEMPLATE_SPHERE,TEMPLATE_SPHERE_LIST_FOR_NOTE,0))</f>
        <v>Указывается ссылка на документ, предварительно загруженный в хранилище файлов ФГИС ЕИАС.</v>
      </c>
      <c r="L99" s="845" t="str">
        <f>IF(I99=0,"",I99)</f>
        <v>19</v>
      </c>
      <c r="M99" s="845" t="str">
        <f>IF(J99=0,"",J99)</f>
        <v>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v>
      </c>
      <c r="N99" s="845" t="str">
        <f>IF(K99=0,"",K99)</f>
        <v>Указывается ссылка на документ, предварительно загруженный в хранилище файлов ФГИС ЕИАС.</v>
      </c>
      <c r="O99" s="958" t="s">
        <v>1641</v>
      </c>
      <c r="P99" s="958"/>
      <c r="Q99" s="958"/>
      <c r="R99" s="958"/>
      <c r="S99" s="958"/>
      <c r="T99" s="844" t="s">
        <v>2352</v>
      </c>
      <c r="U99" s="844"/>
      <c r="V99" s="844"/>
      <c r="W99" s="844"/>
      <c r="X99" s="844"/>
      <c r="Y99" s="1001"/>
      <c r="Z99" s="847" t="s">
        <v>762</v>
      </c>
      <c r="AA99" s="850"/>
      <c r="AB99" s="847"/>
      <c r="AC99" s="847"/>
      <c r="AD99" s="847"/>
    </row>
    <row customHeight="1" ht="27">
      <c r="A100" s="846"/>
      <c r="B100" s="900">
        <v>83</v>
      </c>
      <c r="C100" s="844"/>
      <c r="D100" s="968"/>
      <c r="E100" s="844"/>
      <c r="F100" s="844"/>
      <c r="G100" s="844"/>
      <c r="H100" s="892"/>
      <c r="I100" s="1006" t="str">
        <f>INDEX(TEMPLATE_NUMBER_POINT_FHD,B100,MATCH(TEMPLATE_SPHERE,TEMPLATE_SPHERE_LIST_FOR_NOTE,0))</f>
        <v>19.1</v>
      </c>
      <c r="J100" s="1006" t="str">
        <f>INDEX(TEMPLATE_DATA_POINT_FHD,B100,MATCH(TEMPLATE_SPHERE,TEMPLATE_SPHERE_LIST_FOR_NOTE,0))</f>
        <v>Информация о показателях физического износа объектов теплоснабжения</v>
      </c>
      <c r="K100" s="1006" t="str">
        <f>INDEX(TEMPLATE_NOTE_POINT_FHD,B100,MATCH(TEMPLATE_SPHERE,TEMPLATE_SPHERE_LIST_FOR_NOTE,0))</f>
        <v>Указывается ссылка на документ, предварительно загруженный в хранилище файлов ФГИС ЕИАС.</v>
      </c>
      <c r="L100" s="845" t="str">
        <f>IF(I100=0,"",I100)</f>
        <v>19.1</v>
      </c>
      <c r="M100" s="845" t="str">
        <f>IF(J100=0,"",J100)</f>
        <v>Информация о показателях физического износа объектов теплоснабжения</v>
      </c>
      <c r="N100" s="845" t="str">
        <f>IF(K100=0,"",K100)</f>
        <v>Указывается ссылка на документ, предварительно загруженный в хранилище файлов ФГИС ЕИАС.</v>
      </c>
      <c r="O100" s="958" t="s">
        <v>2353</v>
      </c>
      <c r="P100" s="958"/>
      <c r="Q100" s="958"/>
      <c r="R100" s="958"/>
      <c r="S100" s="958"/>
      <c r="T100" s="844" t="s">
        <v>2354</v>
      </c>
      <c r="U100" s="844"/>
      <c r="V100" s="844"/>
      <c r="W100" s="844"/>
      <c r="X100" s="844"/>
      <c r="Y100" s="1001"/>
      <c r="Z100" s="847" t="s">
        <v>762</v>
      </c>
      <c r="AA100" s="850"/>
      <c r="AB100" s="847"/>
      <c r="AC100" s="847"/>
      <c r="AD100" s="847"/>
    </row>
    <row customHeight="1" ht="27">
      <c r="A101" s="846"/>
      <c r="B101" s="900">
        <v>84</v>
      </c>
      <c r="C101" s="844"/>
      <c r="D101" s="968"/>
      <c r="E101" s="844"/>
      <c r="F101" s="844"/>
      <c r="G101" s="844"/>
      <c r="H101" s="892"/>
      <c r="I101" s="1006" t="str">
        <f>INDEX(TEMPLATE_NUMBER_POINT_FHD,B101,MATCH(TEMPLATE_SPHERE,TEMPLATE_SPHERE_LIST_FOR_NOTE,0))</f>
        <v>19.2</v>
      </c>
      <c r="J101" s="1006" t="str">
        <f>INDEX(TEMPLATE_DATA_POINT_FHD,B101,MATCH(TEMPLATE_SPHERE,TEMPLATE_SPHERE_LIST_FOR_NOTE,0))</f>
        <v>Информация о показателях энергетической эффективности объектов теплоснабжения</v>
      </c>
      <c r="K101" s="1006" t="str">
        <f>INDEX(TEMPLATE_NOTE_POINT_FHD,B101,MATCH(TEMPLATE_SPHERE,TEMPLATE_SPHERE_LIST_FOR_NOTE,0))</f>
        <v>Указывается ссылка на документ, предварительно загруженный в хранилище файлов ФГИС ЕИАС.</v>
      </c>
      <c r="L101" s="845" t="str">
        <f>IF(I101=0,"",I101)</f>
        <v>19.2</v>
      </c>
      <c r="M101" s="845" t="str">
        <f>IF(J101=0,"",J101)</f>
        <v>Информация о показателях энергетической эффективности объектов теплоснабжения</v>
      </c>
      <c r="N101" s="845" t="str">
        <f>IF(K101=0,"",K101)</f>
        <v>Указывается ссылка на документ, предварительно загруженный в хранилище файлов ФГИС ЕИАС.</v>
      </c>
      <c r="O101" s="958" t="s">
        <v>2355</v>
      </c>
      <c r="P101" s="958"/>
      <c r="Q101" s="958"/>
      <c r="R101" s="958"/>
      <c r="S101" s="958"/>
      <c r="T101" s="844" t="s">
        <v>2356</v>
      </c>
      <c r="U101" s="844"/>
      <c r="V101" s="844"/>
      <c r="W101" s="844"/>
      <c r="X101" s="844"/>
      <c r="Y101" s="1001"/>
      <c r="Z101" s="847" t="s">
        <v>762</v>
      </c>
      <c r="AA101" s="850"/>
      <c r="AB101" s="847"/>
      <c r="AC101" s="847"/>
      <c r="AD101" s="847"/>
    </row>
    <row customHeight="1" ht="9">
      <c r="A102" s="846"/>
      <c r="B102" s="846"/>
      <c r="C102" s="844"/>
      <c r="D102" s="844"/>
      <c r="E102" s="844"/>
      <c r="F102" s="844"/>
      <c r="G102" s="844"/>
      <c r="H102" s="892"/>
      <c r="I102" s="892"/>
      <c r="J102" s="892"/>
      <c r="K102" s="892"/>
      <c r="L102" s="892"/>
      <c r="M102" s="844"/>
      <c r="N102" s="891"/>
      <c r="O102" s="958"/>
      <c r="P102" s="958"/>
      <c r="Q102" s="958"/>
      <c r="R102" s="958"/>
      <c r="S102" s="844"/>
      <c r="T102" s="844"/>
      <c r="U102" s="844"/>
      <c r="V102" s="844"/>
      <c r="W102" s="844"/>
      <c r="X102" s="844"/>
      <c r="Y102" s="1001"/>
      <c r="Z102" s="847"/>
      <c r="AA102" s="850"/>
      <c r="AB102" s="847"/>
      <c r="AC102" s="847"/>
      <c r="AD102" s="847"/>
    </row>
    <row customHeight="1" ht="9">
      <c r="A103" s="846"/>
      <c r="B103" s="846"/>
      <c r="C103" s="844"/>
      <c r="D103" s="844"/>
      <c r="E103" s="844"/>
      <c r="F103" s="844"/>
      <c r="G103" s="844"/>
      <c r="H103" s="892"/>
      <c r="I103" s="892"/>
      <c r="J103" s="892"/>
      <c r="K103" s="892"/>
      <c r="L103" s="892"/>
      <c r="M103" s="844"/>
      <c r="N103" s="891"/>
      <c r="O103" s="958"/>
      <c r="P103" s="958"/>
      <c r="Q103" s="958"/>
      <c r="R103" s="958"/>
      <c r="S103" s="844"/>
      <c r="T103" s="844"/>
      <c r="U103" s="844"/>
      <c r="V103" s="844"/>
      <c r="W103" s="844"/>
      <c r="X103" s="844"/>
      <c r="Y103" s="1001"/>
      <c r="Z103" s="847"/>
      <c r="AA103" s="850"/>
      <c r="AB103" s="847"/>
      <c r="AC103" s="847"/>
      <c r="AD103" s="847"/>
    </row>
    <row customHeight="1" ht="9">
      <c r="A104" s="846"/>
      <c r="B104" s="846"/>
      <c r="C104" s="844"/>
      <c r="D104" s="844"/>
      <c r="E104" s="844"/>
      <c r="F104" s="844"/>
      <c r="G104" s="844"/>
      <c r="H104" s="892"/>
      <c r="I104" s="892"/>
      <c r="J104" s="892"/>
      <c r="K104" s="892"/>
      <c r="L104" s="892"/>
      <c r="M104" s="844"/>
      <c r="N104" s="891"/>
      <c r="O104" s="958"/>
      <c r="P104" s="958"/>
      <c r="Q104" s="958"/>
      <c r="R104" s="958"/>
      <c r="S104" s="844"/>
      <c r="T104" s="844"/>
      <c r="U104" s="844"/>
      <c r="V104" s="844"/>
      <c r="W104" s="844"/>
      <c r="X104" s="844"/>
      <c r="Y104" s="1001"/>
      <c r="Z104" s="847"/>
      <c r="AA104" s="850"/>
      <c r="AB104" s="847"/>
      <c r="AC104" s="847"/>
      <c r="AD104" s="847"/>
    </row>
    <row customHeight="1" ht="9">
      <c r="A105" s="846"/>
      <c r="B105" s="846"/>
      <c r="C105" s="844"/>
      <c r="D105" s="844"/>
      <c r="E105" s="844"/>
      <c r="F105" s="844"/>
      <c r="G105" s="844"/>
      <c r="H105" s="892"/>
      <c r="I105" s="892"/>
      <c r="J105" s="892"/>
      <c r="K105" s="892"/>
      <c r="L105" s="892"/>
      <c r="M105" s="844"/>
      <c r="N105" s="891"/>
      <c r="O105" s="958"/>
      <c r="P105" s="958"/>
      <c r="Q105" s="958"/>
      <c r="R105" s="958"/>
      <c r="S105" s="844"/>
      <c r="T105" s="844"/>
      <c r="U105" s="844"/>
      <c r="V105" s="844"/>
      <c r="W105" s="844"/>
      <c r="X105" s="844"/>
      <c r="Y105" s="1001"/>
      <c r="Z105" s="847"/>
      <c r="AA105" s="850"/>
      <c r="AB105" s="847"/>
      <c r="AC105" s="847"/>
      <c r="AD105" s="847"/>
    </row>
    <row customHeight="1" ht="9">
      <c r="A106" s="846"/>
      <c r="B106" s="846"/>
      <c r="C106" s="844"/>
      <c r="D106" s="844"/>
      <c r="E106" s="844"/>
      <c r="F106" s="844"/>
      <c r="G106" s="844"/>
      <c r="H106" s="892"/>
      <c r="I106" s="892"/>
      <c r="J106" s="892"/>
      <c r="K106" s="892"/>
      <c r="L106" s="892"/>
      <c r="M106" s="844"/>
      <c r="N106" s="891"/>
      <c r="O106" s="958"/>
      <c r="P106" s="958"/>
      <c r="Q106" s="958"/>
      <c r="R106" s="958"/>
      <c r="S106" s="844"/>
      <c r="T106" s="844"/>
      <c r="U106" s="844"/>
      <c r="V106" s="844"/>
      <c r="W106" s="844"/>
      <c r="X106" s="844"/>
      <c r="Y106" s="1001"/>
      <c r="Z106" s="847"/>
      <c r="AA106" s="850"/>
      <c r="AB106" s="847"/>
      <c r="AC106" s="847"/>
      <c r="AD106" s="847"/>
    </row>
    <row customHeight="1" ht="9">
      <c r="A107" s="846"/>
      <c r="B107" s="846"/>
      <c r="C107" s="844"/>
      <c r="D107" s="844"/>
      <c r="E107" s="844"/>
      <c r="F107" s="844"/>
      <c r="G107" s="844"/>
      <c r="H107" s="892"/>
      <c r="I107" s="892"/>
      <c r="J107" s="892"/>
      <c r="K107" s="892"/>
      <c r="L107" s="892"/>
      <c r="M107" s="844"/>
      <c r="N107" s="891"/>
      <c r="O107" s="958"/>
      <c r="P107" s="958"/>
      <c r="Q107" s="958"/>
      <c r="R107" s="958"/>
      <c r="S107" s="844"/>
      <c r="T107" s="844"/>
      <c r="U107" s="844"/>
      <c r="V107" s="844"/>
      <c r="W107" s="844"/>
      <c r="X107" s="844"/>
      <c r="Y107" s="1001"/>
      <c r="Z107" s="847"/>
      <c r="AA107" s="850"/>
      <c r="AB107" s="847"/>
      <c r="AC107" s="847"/>
      <c r="AD107" s="847"/>
    </row>
    <row customHeight="1" ht="9">
      <c r="A108" s="846"/>
      <c r="B108" s="846"/>
      <c r="C108" s="844"/>
      <c r="D108" s="844"/>
      <c r="E108" s="844"/>
      <c r="F108" s="844"/>
      <c r="G108" s="844"/>
      <c r="H108" s="892"/>
      <c r="I108" s="892"/>
      <c r="J108" s="892"/>
      <c r="K108" s="892"/>
      <c r="L108" s="892"/>
      <c r="M108" s="844"/>
      <c r="N108" s="891"/>
      <c r="O108" s="958"/>
      <c r="P108" s="958"/>
      <c r="Q108" s="958"/>
      <c r="R108" s="958"/>
      <c r="S108" s="844"/>
      <c r="T108" s="844"/>
      <c r="U108" s="844"/>
      <c r="V108" s="844"/>
      <c r="W108" s="844"/>
      <c r="X108" s="844"/>
      <c r="Y108" s="1001"/>
      <c r="Z108" s="847"/>
      <c r="AA108" s="850"/>
      <c r="AB108" s="847"/>
      <c r="AC108" s="847"/>
      <c r="AD108" s="847"/>
    </row>
    <row customHeight="1" ht="9">
      <c r="A109" s="846"/>
      <c r="B109" s="846"/>
      <c r="C109" s="844"/>
      <c r="D109" s="844"/>
      <c r="E109" s="844"/>
      <c r="F109" s="844"/>
      <c r="G109" s="844"/>
      <c r="H109" s="892"/>
      <c r="I109" s="892"/>
      <c r="J109" s="892"/>
      <c r="K109" s="892"/>
      <c r="L109" s="892"/>
      <c r="M109" s="844"/>
      <c r="N109" s="891"/>
      <c r="O109" s="958"/>
      <c r="P109" s="958"/>
      <c r="Q109" s="958"/>
      <c r="R109" s="958"/>
      <c r="S109" s="844"/>
      <c r="T109" s="844"/>
      <c r="U109" s="844"/>
      <c r="V109" s="844"/>
      <c r="W109" s="844"/>
      <c r="X109" s="844"/>
      <c r="Y109" s="1001"/>
      <c r="Z109" s="847"/>
      <c r="AA109" s="850"/>
      <c r="AB109" s="847"/>
      <c r="AC109" s="847"/>
      <c r="AD109" s="847"/>
    </row>
    <row customHeight="1" ht="9">
      <c r="A110" s="846"/>
      <c r="B110" s="846"/>
      <c r="C110" s="844"/>
      <c r="D110" s="844"/>
      <c r="E110" s="844"/>
      <c r="F110" s="844"/>
      <c r="G110" s="844"/>
      <c r="H110" s="892"/>
      <c r="I110" s="892"/>
      <c r="J110" s="892"/>
      <c r="K110" s="892"/>
      <c r="L110" s="892"/>
      <c r="M110" s="844"/>
      <c r="N110" s="891"/>
      <c r="O110" s="958"/>
      <c r="P110" s="958"/>
      <c r="Q110" s="958"/>
      <c r="R110" s="958"/>
      <c r="S110" s="844"/>
      <c r="T110" s="844"/>
      <c r="U110" s="844"/>
      <c r="V110" s="844"/>
      <c r="W110" s="844"/>
      <c r="X110" s="844"/>
      <c r="Y110" s="1001"/>
      <c r="Z110" s="847"/>
      <c r="AA110" s="850"/>
      <c r="AB110" s="847"/>
      <c r="AC110" s="847"/>
      <c r="AD110" s="847"/>
    </row>
    <row customHeight="1" ht="9">
      <c r="A111" s="846"/>
      <c r="B111" s="846"/>
      <c r="C111" s="844"/>
      <c r="D111" s="844"/>
      <c r="E111" s="844"/>
      <c r="F111" s="844"/>
      <c r="G111" s="844"/>
      <c r="H111" s="892"/>
      <c r="I111" s="892"/>
      <c r="J111" s="892"/>
      <c r="K111" s="892"/>
      <c r="L111" s="892"/>
      <c r="M111" s="844"/>
      <c r="N111" s="891"/>
      <c r="O111" s="958"/>
      <c r="P111" s="958"/>
      <c r="Q111" s="958"/>
      <c r="R111" s="958"/>
      <c r="S111" s="844"/>
      <c r="T111" s="844"/>
      <c r="U111" s="844"/>
      <c r="V111" s="844"/>
      <c r="W111" s="844"/>
      <c r="X111" s="844"/>
      <c r="Y111" s="1001"/>
      <c r="Z111" s="847"/>
      <c r="AA111" s="850"/>
      <c r="AB111" s="847"/>
      <c r="AC111" s="847"/>
      <c r="AD111" s="847"/>
    </row>
    <row customHeight="1" ht="9">
      <c r="A112" s="846"/>
      <c r="B112" s="846"/>
      <c r="C112" s="844"/>
      <c r="D112" s="844"/>
      <c r="E112" s="844"/>
      <c r="F112" s="844"/>
      <c r="G112" s="844"/>
      <c r="H112" s="892"/>
      <c r="I112" s="892"/>
      <c r="J112" s="892"/>
      <c r="K112" s="892"/>
      <c r="L112" s="892"/>
      <c r="M112" s="844"/>
      <c r="N112" s="891"/>
      <c r="O112" s="958"/>
      <c r="P112" s="958"/>
      <c r="Q112" s="958"/>
      <c r="R112" s="958"/>
      <c r="S112" s="844"/>
      <c r="T112" s="844"/>
      <c r="U112" s="844"/>
      <c r="V112" s="844"/>
      <c r="W112" s="844"/>
      <c r="X112" s="844"/>
      <c r="Y112" s="1001"/>
      <c r="Z112" s="847"/>
      <c r="AA112" s="850"/>
      <c r="AB112" s="847"/>
      <c r="AC112" s="847"/>
      <c r="AD112" s="847"/>
    </row>
    <row customHeight="1" ht="9">
      <c r="A113" s="846"/>
      <c r="B113" s="846"/>
      <c r="C113" s="844"/>
      <c r="D113" s="844"/>
      <c r="E113" s="844"/>
      <c r="F113" s="844"/>
      <c r="G113" s="844"/>
      <c r="H113" s="892"/>
      <c r="I113" s="892"/>
      <c r="J113" s="892"/>
      <c r="K113" s="892"/>
      <c r="L113" s="892"/>
      <c r="M113" s="844"/>
      <c r="N113" s="891"/>
      <c r="O113" s="958"/>
      <c r="P113" s="958"/>
      <c r="Q113" s="958"/>
      <c r="R113" s="958"/>
      <c r="S113" s="844"/>
      <c r="T113" s="844"/>
      <c r="U113" s="844"/>
      <c r="V113" s="844"/>
      <c r="W113" s="844"/>
      <c r="X113" s="844"/>
      <c r="Y113" s="1001"/>
      <c r="Z113" s="847"/>
      <c r="AA113" s="850"/>
      <c r="AB113" s="847"/>
      <c r="AC113" s="847"/>
      <c r="AD113" s="847"/>
    </row>
    <row customHeight="1" ht="9">
      <c r="A114" s="846"/>
      <c r="B114" s="846"/>
      <c r="C114" s="844"/>
      <c r="D114" s="844"/>
      <c r="E114" s="844"/>
      <c r="F114" s="844"/>
      <c r="G114" s="844"/>
      <c r="H114" s="892"/>
      <c r="I114" s="892"/>
      <c r="J114" s="892"/>
      <c r="K114" s="892"/>
      <c r="L114" s="892"/>
      <c r="M114" s="844"/>
      <c r="N114" s="891"/>
      <c r="O114" s="958"/>
      <c r="P114" s="958"/>
      <c r="Q114" s="958"/>
      <c r="R114" s="958"/>
      <c r="S114" s="844"/>
      <c r="T114" s="844"/>
      <c r="U114" s="844"/>
      <c r="V114" s="844"/>
      <c r="W114" s="844"/>
      <c r="X114" s="844"/>
      <c r="Y114" s="1001"/>
      <c r="Z114" s="847"/>
      <c r="AA114" s="850"/>
      <c r="AB114" s="847"/>
      <c r="AC114" s="847"/>
      <c r="AD114" s="847"/>
    </row>
    <row customHeight="1" ht="9">
      <c r="A115" s="846"/>
      <c r="B115" s="846"/>
      <c r="C115" s="844"/>
      <c r="D115" s="844"/>
      <c r="E115" s="844"/>
      <c r="F115" s="844"/>
      <c r="G115" s="844"/>
      <c r="H115" s="892"/>
      <c r="I115" s="892"/>
      <c r="J115" s="892"/>
      <c r="K115" s="892"/>
      <c r="L115" s="892"/>
      <c r="M115" s="844"/>
      <c r="N115" s="891"/>
      <c r="O115" s="958"/>
      <c r="P115" s="958"/>
      <c r="Q115" s="958"/>
      <c r="R115" s="958"/>
      <c r="S115" s="844"/>
      <c r="T115" s="844"/>
      <c r="U115" s="844"/>
      <c r="V115" s="844"/>
      <c r="W115" s="844"/>
      <c r="X115" s="844"/>
      <c r="Y115" s="1001"/>
      <c r="Z115" s="847"/>
      <c r="AA115" s="850"/>
      <c r="AB115" s="847"/>
      <c r="AC115" s="847"/>
      <c r="AD115" s="847"/>
    </row>
    <row customHeight="1" ht="9">
      <c r="A116" s="846"/>
      <c r="B116" s="846"/>
      <c r="C116" s="844"/>
      <c r="D116" s="844"/>
      <c r="E116" s="844"/>
      <c r="F116" s="844"/>
      <c r="G116" s="844"/>
      <c r="H116" s="892"/>
      <c r="I116" s="892"/>
      <c r="J116" s="892"/>
      <c r="K116" s="892"/>
      <c r="L116" s="892"/>
      <c r="M116" s="844"/>
      <c r="N116" s="891"/>
      <c r="O116" s="958"/>
      <c r="P116" s="958"/>
      <c r="Q116" s="958"/>
      <c r="R116" s="958"/>
      <c r="S116" s="844"/>
      <c r="T116" s="844"/>
      <c r="U116" s="844"/>
      <c r="V116" s="844"/>
      <c r="W116" s="844"/>
      <c r="X116" s="844"/>
      <c r="Y116" s="1001"/>
      <c r="Z116" s="847"/>
      <c r="AA116" s="850"/>
      <c r="AB116" s="847"/>
      <c r="AC116" s="847"/>
      <c r="AD116" s="847"/>
    </row>
    <row customHeight="1" ht="9">
      <c r="A117" s="846"/>
      <c r="B117" s="846"/>
      <c r="C117" s="844"/>
      <c r="D117" s="844"/>
      <c r="E117" s="844"/>
      <c r="F117" s="844"/>
      <c r="G117" s="844"/>
      <c r="H117" s="892"/>
      <c r="I117" s="892"/>
      <c r="J117" s="892"/>
      <c r="K117" s="892"/>
      <c r="L117" s="892"/>
      <c r="M117" s="844"/>
      <c r="N117" s="891"/>
      <c r="O117" s="958"/>
      <c r="P117" s="958"/>
      <c r="Q117" s="958"/>
      <c r="R117" s="958"/>
      <c r="S117" s="844"/>
      <c r="T117" s="844"/>
      <c r="U117" s="844"/>
      <c r="V117" s="844"/>
      <c r="W117" s="844"/>
      <c r="X117" s="844"/>
      <c r="Y117" s="1001"/>
      <c r="Z117" s="847"/>
      <c r="AA117" s="850"/>
      <c r="AB117" s="847"/>
      <c r="AC117" s="847"/>
      <c r="AD117" s="847"/>
    </row>
    <row customHeight="1" ht="9">
      <c r="A118" s="846"/>
      <c r="B118" s="846"/>
      <c r="C118" s="844"/>
      <c r="D118" s="844"/>
      <c r="E118" s="844"/>
      <c r="F118" s="844"/>
      <c r="G118" s="844"/>
      <c r="H118" s="892"/>
      <c r="I118" s="892"/>
      <c r="J118" s="892"/>
      <c r="K118" s="892"/>
      <c r="L118" s="892"/>
      <c r="M118" s="844"/>
      <c r="N118" s="891"/>
      <c r="O118" s="958"/>
      <c r="P118" s="958"/>
      <c r="Q118" s="958"/>
      <c r="R118" s="958"/>
      <c r="S118" s="844"/>
      <c r="T118" s="844"/>
      <c r="U118" s="844"/>
      <c r="V118" s="844"/>
      <c r="W118" s="844"/>
      <c r="X118" s="844"/>
      <c r="Y118" s="1001"/>
      <c r="Z118" s="847"/>
      <c r="AA118" s="850"/>
      <c r="AB118" s="847"/>
      <c r="AC118" s="847"/>
      <c r="AD118" s="847"/>
    </row>
    <row customHeight="1" ht="9">
      <c r="A119" s="846"/>
      <c r="B119" s="846"/>
      <c r="C119" s="844"/>
      <c r="D119" s="844"/>
      <c r="E119" s="844"/>
      <c r="F119" s="844"/>
      <c r="G119" s="844"/>
      <c r="H119" s="892"/>
      <c r="I119" s="892"/>
      <c r="J119" s="892"/>
      <c r="K119" s="892"/>
      <c r="L119" s="892"/>
      <c r="M119" s="844"/>
      <c r="N119" s="891"/>
      <c r="O119" s="958"/>
      <c r="P119" s="958"/>
      <c r="Q119" s="958"/>
      <c r="R119" s="958"/>
      <c r="S119" s="844"/>
      <c r="T119" s="844"/>
      <c r="U119" s="844"/>
      <c r="V119" s="844"/>
      <c r="W119" s="844"/>
      <c r="X119" s="844"/>
      <c r="Y119" s="1001"/>
      <c r="Z119" s="847"/>
      <c r="AA119" s="850"/>
      <c r="AB119" s="847"/>
      <c r="AC119" s="847"/>
      <c r="AD119" s="847"/>
    </row>
    <row customHeight="1" ht="9">
      <c r="A120" s="846"/>
      <c r="B120" s="846"/>
      <c r="C120" s="844"/>
      <c r="D120" s="844"/>
      <c r="E120" s="844"/>
      <c r="F120" s="844"/>
      <c r="G120" s="844"/>
      <c r="H120" s="892"/>
      <c r="I120" s="892"/>
      <c r="J120" s="892"/>
      <c r="K120" s="892"/>
      <c r="L120" s="892"/>
      <c r="M120" s="844"/>
      <c r="N120" s="891"/>
      <c r="O120" s="958"/>
      <c r="P120" s="958"/>
      <c r="Q120" s="958"/>
      <c r="R120" s="958"/>
      <c r="S120" s="844"/>
      <c r="T120" s="844"/>
      <c r="U120" s="844"/>
      <c r="V120" s="844"/>
      <c r="W120" s="844"/>
      <c r="X120" s="844"/>
      <c r="Y120" s="1001"/>
      <c r="Z120" s="847"/>
      <c r="AA120" s="850"/>
      <c r="AB120" s="847"/>
      <c r="AC120" s="847"/>
      <c r="AD120" s="847"/>
    </row>
    <row customHeight="1" ht="9">
      <c r="A121" s="846"/>
      <c r="B121" s="846"/>
      <c r="C121" s="844"/>
      <c r="D121" s="844"/>
      <c r="E121" s="844"/>
      <c r="F121" s="844"/>
      <c r="G121" s="844"/>
      <c r="H121" s="892"/>
      <c r="I121" s="892"/>
      <c r="J121" s="892"/>
      <c r="K121" s="892"/>
      <c r="L121" s="892"/>
      <c r="M121" s="844"/>
      <c r="N121" s="891"/>
      <c r="O121" s="958"/>
      <c r="P121" s="958"/>
      <c r="Q121" s="958"/>
      <c r="R121" s="958"/>
      <c r="S121" s="844"/>
      <c r="T121" s="844"/>
      <c r="U121" s="844"/>
      <c r="V121" s="844"/>
      <c r="W121" s="844"/>
      <c r="X121" s="844"/>
      <c r="Y121" s="1001"/>
      <c r="Z121" s="847"/>
      <c r="AA121" s="850"/>
      <c r="AB121" s="847"/>
      <c r="AC121" s="847"/>
      <c r="AD121" s="847"/>
    </row>
    <row customHeight="1" ht="9">
      <c r="A122" s="846"/>
      <c r="B122" s="846"/>
      <c r="C122" s="844"/>
      <c r="D122" s="844"/>
      <c r="E122" s="844"/>
      <c r="F122" s="844"/>
      <c r="G122" s="844"/>
      <c r="H122" s="892"/>
      <c r="I122" s="892"/>
      <c r="J122" s="892"/>
      <c r="K122" s="892"/>
      <c r="L122" s="892"/>
      <c r="M122" s="844"/>
      <c r="N122" s="891"/>
      <c r="O122" s="958"/>
      <c r="P122" s="958"/>
      <c r="Q122" s="958"/>
      <c r="R122" s="958"/>
      <c r="S122" s="844"/>
      <c r="T122" s="844"/>
      <c r="U122" s="844"/>
      <c r="V122" s="844"/>
      <c r="W122" s="844"/>
      <c r="X122" s="844"/>
      <c r="Y122" s="1001"/>
      <c r="Z122" s="847"/>
      <c r="AA122" s="850"/>
      <c r="AB122" s="847"/>
      <c r="AC122" s="847"/>
      <c r="AD122" s="847"/>
    </row>
    <row customHeight="1" ht="9">
      <c r="A123" s="846"/>
      <c r="B123" s="846"/>
      <c r="C123" s="844"/>
      <c r="D123" s="844"/>
      <c r="E123" s="844"/>
      <c r="F123" s="844"/>
      <c r="G123" s="844"/>
      <c r="H123" s="892"/>
      <c r="I123" s="892"/>
      <c r="J123" s="892"/>
      <c r="K123" s="892"/>
      <c r="L123" s="892"/>
      <c r="M123" s="844"/>
      <c r="N123" s="891"/>
      <c r="O123" s="958"/>
      <c r="P123" s="958"/>
      <c r="Q123" s="958"/>
      <c r="R123" s="958"/>
      <c r="S123" s="844"/>
      <c r="T123" s="844"/>
      <c r="U123" s="844"/>
      <c r="V123" s="844"/>
      <c r="W123" s="844"/>
      <c r="X123" s="844"/>
      <c r="Y123" s="1001"/>
      <c r="Z123" s="847"/>
      <c r="AA123" s="850"/>
      <c r="AB123" s="847"/>
      <c r="AC123" s="847"/>
      <c r="AD123" s="847"/>
    </row>
    <row customHeight="1" ht="9">
      <c r="A124" s="846"/>
      <c r="B124" s="846"/>
      <c r="C124" s="844"/>
      <c r="D124" s="844"/>
      <c r="E124" s="844"/>
      <c r="F124" s="844"/>
      <c r="G124" s="844"/>
      <c r="H124" s="892"/>
      <c r="I124" s="892"/>
      <c r="J124" s="892"/>
      <c r="K124" s="892"/>
      <c r="L124" s="892"/>
      <c r="M124" s="844"/>
      <c r="N124" s="891"/>
      <c r="O124" s="958"/>
      <c r="P124" s="958"/>
      <c r="Q124" s="958"/>
      <c r="R124" s="958"/>
      <c r="S124" s="844"/>
      <c r="T124" s="844"/>
      <c r="U124" s="844"/>
      <c r="V124" s="844"/>
      <c r="W124" s="844"/>
      <c r="X124" s="844"/>
      <c r="Y124" s="1001"/>
      <c r="Z124" s="847"/>
      <c r="AA124" s="850"/>
      <c r="AB124" s="847"/>
      <c r="AC124" s="847"/>
      <c r="AD124" s="847"/>
    </row>
    <row customHeight="1" ht="9">
      <c r="A125" s="846"/>
      <c r="B125" s="846"/>
      <c r="C125" s="844"/>
      <c r="D125" s="844"/>
      <c r="E125" s="844"/>
      <c r="F125" s="844"/>
      <c r="G125" s="844"/>
      <c r="H125" s="892"/>
      <c r="I125" s="892"/>
      <c r="J125" s="892"/>
      <c r="K125" s="892"/>
      <c r="L125" s="892"/>
      <c r="M125" s="844"/>
      <c r="N125" s="891"/>
      <c r="O125" s="958"/>
      <c r="P125" s="958"/>
      <c r="Q125" s="958"/>
      <c r="R125" s="958"/>
      <c r="S125" s="844"/>
      <c r="T125" s="844"/>
      <c r="U125" s="844"/>
      <c r="V125" s="844"/>
      <c r="W125" s="844"/>
      <c r="X125" s="844"/>
      <c r="Y125" s="1001"/>
      <c r="Z125" s="847"/>
      <c r="AA125" s="850"/>
      <c r="AB125" s="847"/>
      <c r="AC125" s="847"/>
      <c r="AD125" s="847"/>
    </row>
    <row customHeight="1" ht="9">
      <c r="A126" s="846"/>
      <c r="B126" s="846"/>
      <c r="C126" s="844"/>
      <c r="D126" s="844"/>
      <c r="E126" s="844"/>
      <c r="F126" s="844"/>
      <c r="G126" s="844"/>
      <c r="H126" s="892"/>
      <c r="I126" s="892"/>
      <c r="J126" s="892"/>
      <c r="K126" s="892"/>
      <c r="L126" s="892"/>
      <c r="M126" s="844"/>
      <c r="N126" s="891"/>
      <c r="O126" s="958"/>
      <c r="P126" s="958"/>
      <c r="Q126" s="958"/>
      <c r="R126" s="958"/>
      <c r="S126" s="844"/>
      <c r="T126" s="844"/>
      <c r="U126" s="844"/>
      <c r="V126" s="844"/>
      <c r="W126" s="844"/>
      <c r="X126" s="844"/>
      <c r="Y126" s="1001"/>
      <c r="Z126" s="847"/>
      <c r="AA126" s="850"/>
      <c r="AB126" s="847"/>
      <c r="AC126" s="847"/>
      <c r="AD126" s="847"/>
    </row>
    <row customHeight="1" ht="9">
      <c r="A127" s="846"/>
      <c r="B127" s="846"/>
      <c r="C127" s="844"/>
      <c r="D127" s="844"/>
      <c r="E127" s="844"/>
      <c r="F127" s="844"/>
      <c r="G127" s="844"/>
      <c r="H127" s="892"/>
      <c r="I127" s="892"/>
      <c r="J127" s="892"/>
      <c r="K127" s="892"/>
      <c r="L127" s="892"/>
      <c r="M127" s="844"/>
      <c r="N127" s="891"/>
      <c r="O127" s="958"/>
      <c r="P127" s="958"/>
      <c r="Q127" s="958"/>
      <c r="R127" s="958"/>
      <c r="S127" s="844"/>
      <c r="T127" s="844"/>
      <c r="U127" s="844"/>
      <c r="V127" s="844"/>
      <c r="W127" s="844"/>
      <c r="X127" s="844"/>
      <c r="Y127" s="1001"/>
      <c r="Z127" s="847"/>
      <c r="AA127" s="850"/>
      <c r="AB127" s="847"/>
      <c r="AC127" s="847"/>
      <c r="AD127" s="847"/>
    </row>
    <row customHeight="1" ht="9">
      <c r="A128" s="846"/>
      <c r="B128" s="846"/>
      <c r="C128" s="844"/>
      <c r="D128" s="844"/>
      <c r="E128" s="844"/>
      <c r="F128" s="844"/>
      <c r="G128" s="844"/>
      <c r="H128" s="892"/>
      <c r="I128" s="892"/>
      <c r="J128" s="892"/>
      <c r="K128" s="892"/>
      <c r="L128" s="892"/>
      <c r="M128" s="844"/>
      <c r="N128" s="891"/>
      <c r="O128" s="958"/>
      <c r="P128" s="958"/>
      <c r="Q128" s="958"/>
      <c r="R128" s="958"/>
      <c r="S128" s="844"/>
      <c r="T128" s="844"/>
      <c r="U128" s="844"/>
      <c r="V128" s="844"/>
      <c r="W128" s="844"/>
      <c r="X128" s="844"/>
      <c r="Y128" s="1001"/>
      <c r="Z128" s="847"/>
      <c r="AA128" s="850"/>
      <c r="AB128" s="847"/>
      <c r="AC128" s="847"/>
      <c r="AD128" s="847"/>
    </row>
    <row customHeight="1" ht="9">
      <c r="A129" s="846"/>
      <c r="B129" s="846"/>
      <c r="C129" s="844"/>
      <c r="D129" s="844"/>
      <c r="E129" s="844"/>
      <c r="F129" s="844"/>
      <c r="G129" s="844"/>
      <c r="H129" s="892"/>
      <c r="I129" s="892"/>
      <c r="J129" s="892"/>
      <c r="K129" s="892"/>
      <c r="L129" s="892"/>
      <c r="M129" s="844"/>
      <c r="N129" s="891"/>
      <c r="O129" s="958"/>
      <c r="P129" s="958"/>
      <c r="Q129" s="958"/>
      <c r="R129" s="958"/>
      <c r="S129" s="844"/>
      <c r="T129" s="844"/>
      <c r="U129" s="844"/>
      <c r="V129" s="844"/>
      <c r="W129" s="844"/>
      <c r="X129" s="844"/>
      <c r="Y129" s="1001"/>
      <c r="Z129" s="847"/>
      <c r="AA129" s="850"/>
      <c r="AB129" s="847"/>
      <c r="AC129" s="847"/>
      <c r="AD129" s="847"/>
    </row>
    <row customHeight="1" ht="9">
      <c r="A130" s="846"/>
      <c r="B130" s="846"/>
      <c r="C130" s="844"/>
      <c r="D130" s="844"/>
      <c r="E130" s="844"/>
      <c r="F130" s="844"/>
      <c r="G130" s="844"/>
      <c r="H130" s="892"/>
      <c r="I130" s="892"/>
      <c r="J130" s="892"/>
      <c r="K130" s="892"/>
      <c r="L130" s="892"/>
      <c r="M130" s="844"/>
      <c r="N130" s="891"/>
      <c r="O130" s="960"/>
      <c r="P130" s="960"/>
      <c r="Q130" s="960"/>
      <c r="R130" s="960"/>
      <c r="S130" s="844"/>
      <c r="T130" s="844"/>
      <c r="U130" s="844"/>
      <c r="V130" s="844"/>
      <c r="W130" s="844"/>
      <c r="X130" s="844"/>
      <c r="Y130" s="1001"/>
      <c r="Z130" s="847"/>
      <c r="AA130" s="850"/>
      <c r="AB130" s="847"/>
      <c r="AC130" s="847"/>
      <c r="AD130" s="847"/>
    </row>
    <row customHeight="1" ht="9">
      <c r="A131" s="846"/>
      <c r="B131" s="846"/>
      <c r="C131" s="844"/>
      <c r="D131" s="844"/>
      <c r="E131" s="844"/>
      <c r="F131" s="844"/>
      <c r="G131" s="844"/>
      <c r="H131" s="892"/>
      <c r="I131" s="892"/>
      <c r="J131" s="892"/>
      <c r="K131" s="892"/>
      <c r="L131" s="892"/>
      <c r="M131" s="844"/>
      <c r="N131" s="891"/>
      <c r="O131" s="961"/>
      <c r="P131" s="961"/>
      <c r="Q131" s="961"/>
      <c r="R131" s="961"/>
      <c r="S131" s="844"/>
      <c r="T131" s="844"/>
      <c r="U131" s="844"/>
      <c r="V131" s="844"/>
      <c r="W131" s="844"/>
      <c r="X131" s="844"/>
      <c r="Y131" s="1001"/>
      <c r="Z131" s="847"/>
      <c r="AA131" s="850"/>
      <c r="AB131" s="847"/>
      <c r="AC131" s="847"/>
      <c r="AD131" s="847"/>
    </row>
    <row customHeight="1" ht="9">
      <c r="A132" s="846"/>
      <c r="B132" s="846"/>
      <c r="C132" s="844"/>
      <c r="D132" s="844"/>
      <c r="E132" s="844"/>
      <c r="F132" s="844"/>
      <c r="G132" s="844"/>
      <c r="H132" s="892"/>
      <c r="I132" s="892"/>
      <c r="J132" s="892"/>
      <c r="K132" s="892"/>
      <c r="L132" s="892"/>
      <c r="M132" s="844"/>
      <c r="N132" s="891"/>
      <c r="O132" s="960"/>
      <c r="P132" s="960"/>
      <c r="Q132" s="960"/>
      <c r="R132" s="960"/>
      <c r="S132" s="844"/>
      <c r="T132" s="844"/>
      <c r="U132" s="844"/>
      <c r="V132" s="844"/>
      <c r="W132" s="844"/>
      <c r="X132" s="844"/>
      <c r="Y132" s="1001"/>
      <c r="Z132" s="847"/>
      <c r="AA132" s="850"/>
      <c r="AB132" s="847"/>
      <c r="AC132" s="847"/>
      <c r="AD132" s="847"/>
    </row>
    <row customHeight="1" ht="9">
      <c r="A133" s="846"/>
      <c r="B133" s="846"/>
      <c r="C133" s="844"/>
      <c r="D133" s="844"/>
      <c r="E133" s="844"/>
      <c r="F133" s="844"/>
      <c r="G133" s="844"/>
      <c r="H133" s="892"/>
      <c r="I133" s="892"/>
      <c r="J133" s="892"/>
      <c r="K133" s="892"/>
      <c r="L133" s="892"/>
      <c r="M133" s="844"/>
      <c r="N133" s="891"/>
      <c r="O133" s="961"/>
      <c r="P133" s="961"/>
      <c r="Q133" s="961"/>
      <c r="R133" s="961"/>
      <c r="S133" s="844"/>
      <c r="T133" s="844"/>
      <c r="U133" s="844"/>
      <c r="V133" s="844"/>
      <c r="W133" s="844"/>
      <c r="X133" s="844"/>
      <c r="Y133" s="1001"/>
      <c r="Z133" s="847"/>
      <c r="AA133" s="850"/>
      <c r="AB133" s="847"/>
      <c r="AC133" s="847"/>
      <c r="AD133" s="847"/>
    </row>
    <row customHeight="1" ht="9">
      <c r="A134" s="846"/>
      <c r="B134" s="846"/>
      <c r="C134" s="844"/>
      <c r="D134" s="844"/>
      <c r="E134" s="844"/>
      <c r="F134" s="844"/>
      <c r="G134" s="844"/>
      <c r="H134" s="892"/>
      <c r="I134" s="892"/>
      <c r="J134" s="892"/>
      <c r="K134" s="892"/>
      <c r="L134" s="892"/>
      <c r="M134" s="844"/>
      <c r="N134" s="891"/>
      <c r="O134" s="958"/>
      <c r="P134" s="958"/>
      <c r="Q134" s="958"/>
      <c r="R134" s="958"/>
      <c r="S134" s="844"/>
      <c r="T134" s="844"/>
      <c r="U134" s="844"/>
      <c r="V134" s="844"/>
      <c r="W134" s="844"/>
      <c r="X134" s="844"/>
      <c r="Y134" s="1001"/>
      <c r="Z134" s="847"/>
      <c r="AA134" s="850"/>
      <c r="AB134" s="847"/>
      <c r="AC134" s="847"/>
      <c r="AD134" s="847"/>
    </row>
    <row customHeight="1" ht="9">
      <c r="A135" s="846"/>
      <c r="B135" s="846"/>
      <c r="C135" s="844"/>
      <c r="D135" s="844"/>
      <c r="E135" s="844"/>
      <c r="F135" s="844"/>
      <c r="G135" s="844"/>
      <c r="H135" s="892"/>
      <c r="I135" s="892"/>
      <c r="J135" s="892"/>
      <c r="K135" s="892"/>
      <c r="L135" s="892"/>
      <c r="M135" s="844"/>
      <c r="N135" s="891"/>
      <c r="O135" s="958"/>
      <c r="P135" s="958"/>
      <c r="Q135" s="958"/>
      <c r="R135" s="958"/>
      <c r="S135" s="844"/>
      <c r="T135" s="844"/>
      <c r="U135" s="844"/>
      <c r="V135" s="844"/>
      <c r="W135" s="844"/>
      <c r="X135" s="844"/>
      <c r="Y135" s="1001"/>
      <c r="Z135" s="847"/>
      <c r="AA135" s="850"/>
      <c r="AB135" s="847"/>
      <c r="AC135" s="847"/>
      <c r="AD135" s="847"/>
    </row>
    <row customHeight="1" ht="9">
      <c r="A136" s="846"/>
      <c r="B136" s="846"/>
      <c r="C136" s="844"/>
      <c r="D136" s="844"/>
      <c r="E136" s="844"/>
      <c r="F136" s="844"/>
      <c r="G136" s="844"/>
      <c r="H136" s="892"/>
      <c r="I136" s="892"/>
      <c r="J136" s="892"/>
      <c r="K136" s="892"/>
      <c r="L136" s="892"/>
      <c r="M136" s="844"/>
      <c r="N136" s="891"/>
      <c r="O136" s="958"/>
      <c r="P136" s="958"/>
      <c r="Q136" s="958"/>
      <c r="R136" s="958"/>
      <c r="S136" s="844"/>
      <c r="T136" s="844"/>
      <c r="U136" s="844"/>
      <c r="V136" s="844"/>
      <c r="W136" s="844"/>
      <c r="X136" s="844"/>
      <c r="Y136" s="1001"/>
      <c r="Z136" s="847"/>
      <c r="AA136" s="850"/>
      <c r="AB136" s="847"/>
      <c r="AC136" s="847"/>
      <c r="AD136" s="847"/>
    </row>
    <row customHeight="1" ht="9">
      <c r="A137" s="846"/>
      <c r="B137" s="846"/>
      <c r="C137" s="844"/>
      <c r="D137" s="844"/>
      <c r="E137" s="844"/>
      <c r="F137" s="844"/>
      <c r="G137" s="844"/>
      <c r="H137" s="892"/>
      <c r="I137" s="892"/>
      <c r="J137" s="892"/>
      <c r="K137" s="892"/>
      <c r="L137" s="892"/>
      <c r="M137" s="844"/>
      <c r="N137" s="891"/>
      <c r="O137" s="962"/>
      <c r="P137" s="962"/>
      <c r="Q137" s="962"/>
      <c r="R137" s="962"/>
      <c r="S137" s="844"/>
      <c r="T137" s="844"/>
      <c r="U137" s="844"/>
      <c r="V137" s="844"/>
      <c r="W137" s="844"/>
      <c r="X137" s="844"/>
      <c r="Y137" s="1001"/>
      <c r="Z137" s="847"/>
      <c r="AA137" s="850"/>
      <c r="AB137" s="847"/>
      <c r="AC137" s="847"/>
      <c r="AD137" s="847"/>
    </row>
    <row customHeight="1" ht="9">
      <c r="A138" s="846"/>
      <c r="B138" s="846"/>
      <c r="C138" s="844"/>
      <c r="D138" s="844"/>
      <c r="E138" s="844"/>
      <c r="F138" s="844"/>
      <c r="G138" s="844"/>
      <c r="H138" s="892"/>
      <c r="I138" s="892"/>
      <c r="J138" s="892"/>
      <c r="K138" s="892"/>
      <c r="L138" s="892"/>
      <c r="M138" s="844"/>
      <c r="N138" s="891"/>
      <c r="O138" s="959"/>
      <c r="P138" s="959"/>
      <c r="Q138" s="959"/>
      <c r="R138" s="959"/>
      <c r="S138" s="844"/>
      <c r="T138" s="844"/>
      <c r="U138" s="844"/>
      <c r="V138" s="844"/>
      <c r="W138" s="844"/>
      <c r="X138" s="844"/>
      <c r="Y138" s="1001"/>
      <c r="Z138" s="847"/>
      <c r="AA138" s="850"/>
      <c r="AB138" s="847"/>
      <c r="AC138" s="847"/>
      <c r="AD138" s="847"/>
    </row>
    <row customHeight="1" ht="9">
      <c r="A139" s="846"/>
      <c r="B139" s="846"/>
      <c r="C139" s="844"/>
      <c r="D139" s="844"/>
      <c r="E139" s="844"/>
      <c r="F139" s="844"/>
      <c r="G139" s="844"/>
      <c r="H139" s="892"/>
      <c r="I139" s="892"/>
      <c r="J139" s="892"/>
      <c r="K139" s="892"/>
      <c r="L139" s="892"/>
      <c r="M139" s="844"/>
      <c r="N139" s="891"/>
      <c r="O139" s="844"/>
      <c r="P139" s="844"/>
      <c r="Q139" s="844"/>
      <c r="R139" s="844"/>
      <c r="S139" s="844"/>
      <c r="T139" s="844"/>
      <c r="U139" s="844"/>
      <c r="V139" s="844"/>
      <c r="W139" s="844"/>
      <c r="X139" s="844"/>
      <c r="Y139" s="1001"/>
      <c r="Z139" s="847"/>
      <c r="AA139" s="850"/>
      <c r="AB139" s="847"/>
      <c r="AC139" s="847"/>
      <c r="AD139" s="847"/>
    </row>
    <row customHeight="1" ht="9">
      <c r="A140" s="846"/>
      <c r="B140" s="846"/>
      <c r="C140" s="844"/>
      <c r="D140" s="844"/>
      <c r="E140" s="844"/>
      <c r="F140" s="844"/>
      <c r="G140" s="844"/>
      <c r="H140" s="892"/>
      <c r="I140" s="892"/>
      <c r="J140" s="892"/>
      <c r="K140" s="892"/>
      <c r="L140" s="892"/>
      <c r="M140" s="844"/>
      <c r="N140" s="891"/>
      <c r="O140" s="844"/>
      <c r="P140" s="844"/>
      <c r="Q140" s="844"/>
      <c r="R140" s="844"/>
      <c r="S140" s="844"/>
      <c r="T140" s="844"/>
      <c r="U140" s="844"/>
      <c r="V140" s="844"/>
      <c r="W140" s="844"/>
      <c r="X140" s="844"/>
      <c r="Y140" s="1001"/>
      <c r="Z140" s="847"/>
      <c r="AA140" s="850"/>
      <c r="AB140" s="847"/>
      <c r="AC140" s="847"/>
      <c r="AD140" s="847"/>
    </row>
    <row customHeight="1" ht="9">
      <c r="A141" s="846"/>
      <c r="B141" s="846"/>
      <c r="C141" s="844"/>
      <c r="D141" s="844"/>
      <c r="E141" s="844"/>
      <c r="F141" s="844"/>
      <c r="G141" s="844"/>
      <c r="H141" s="892"/>
      <c r="I141" s="892"/>
      <c r="J141" s="892"/>
      <c r="K141" s="892"/>
      <c r="L141" s="892"/>
      <c r="M141" s="844"/>
      <c r="N141" s="891"/>
      <c r="O141" s="844"/>
      <c r="P141" s="844"/>
      <c r="Q141" s="844"/>
      <c r="R141" s="844"/>
      <c r="S141" s="844"/>
      <c r="T141" s="844"/>
      <c r="U141" s="844"/>
      <c r="V141" s="844"/>
      <c r="W141" s="844"/>
      <c r="X141" s="844"/>
      <c r="Y141" s="1001"/>
      <c r="Z141" s="847"/>
      <c r="AA141" s="850"/>
      <c r="AB141" s="847"/>
      <c r="AC141" s="847"/>
      <c r="AD141" s="847"/>
    </row>
    <row customHeight="1" ht="9">
      <c r="A142" s="846"/>
      <c r="B142" s="846"/>
      <c r="C142" s="844"/>
      <c r="D142" s="844"/>
      <c r="E142" s="844"/>
      <c r="F142" s="844"/>
      <c r="G142" s="844"/>
      <c r="H142" s="892"/>
      <c r="I142" s="892"/>
      <c r="J142" s="892"/>
      <c r="K142" s="892"/>
      <c r="L142" s="892"/>
      <c r="M142" s="844"/>
      <c r="N142" s="891"/>
      <c r="O142" s="844"/>
      <c r="P142" s="844"/>
      <c r="Q142" s="844"/>
      <c r="R142" s="844"/>
      <c r="S142" s="844"/>
      <c r="T142" s="844"/>
      <c r="U142" s="844"/>
      <c r="V142" s="844"/>
      <c r="W142" s="844"/>
      <c r="X142" s="844"/>
      <c r="Y142" s="1001"/>
      <c r="Z142" s="847"/>
      <c r="AA142" s="850"/>
      <c r="AB142" s="847"/>
      <c r="AC142" s="847"/>
      <c r="AD142" s="847"/>
    </row>
    <row customHeight="1" ht="9">
      <c r="A143" s="846"/>
      <c r="B143" s="846"/>
      <c r="C143" s="844"/>
      <c r="D143" s="844"/>
      <c r="E143" s="844"/>
      <c r="F143" s="844"/>
      <c r="G143" s="844"/>
      <c r="H143" s="892"/>
      <c r="I143" s="892"/>
      <c r="J143" s="892"/>
      <c r="K143" s="892"/>
      <c r="L143" s="892"/>
      <c r="M143" s="844"/>
      <c r="N143" s="891"/>
      <c r="O143" s="844"/>
      <c r="P143" s="844"/>
      <c r="Q143" s="844"/>
      <c r="R143" s="844"/>
      <c r="S143" s="844"/>
      <c r="T143" s="844"/>
      <c r="U143" s="844"/>
      <c r="V143" s="844"/>
      <c r="W143" s="844"/>
      <c r="X143" s="844"/>
      <c r="Y143" s="1001"/>
      <c r="Z143" s="847"/>
      <c r="AA143" s="850"/>
      <c r="AB143" s="847"/>
      <c r="AC143" s="847"/>
      <c r="AD143" s="847"/>
    </row>
    <row customHeight="1" ht="9">
      <c r="A144" s="846"/>
      <c r="B144" s="846"/>
      <c r="C144" s="844"/>
      <c r="D144" s="844"/>
      <c r="E144" s="844"/>
      <c r="F144" s="844"/>
      <c r="G144" s="844"/>
      <c r="H144" s="892"/>
      <c r="I144" s="892"/>
      <c r="J144" s="892"/>
      <c r="K144" s="892"/>
      <c r="L144" s="892"/>
      <c r="M144" s="844"/>
      <c r="N144" s="891"/>
      <c r="O144" s="844"/>
      <c r="P144" s="844"/>
      <c r="Q144" s="844"/>
      <c r="R144" s="844"/>
      <c r="S144" s="844"/>
      <c r="T144" s="844"/>
      <c r="U144" s="844"/>
      <c r="V144" s="844"/>
      <c r="W144" s="844"/>
      <c r="X144" s="844"/>
      <c r="Y144" s="1001"/>
      <c r="Z144" s="847"/>
      <c r="AA144" s="850"/>
      <c r="AB144" s="847"/>
      <c r="AC144" s="847"/>
      <c r="AD144" s="847"/>
    </row>
    <row customHeight="1" ht="9">
      <c r="A145" s="846"/>
      <c r="B145" s="846"/>
      <c r="C145" s="844"/>
      <c r="D145" s="844"/>
      <c r="E145" s="844"/>
      <c r="F145" s="844"/>
      <c r="G145" s="844"/>
      <c r="H145" s="892"/>
      <c r="I145" s="892"/>
      <c r="J145" s="892"/>
      <c r="K145" s="892"/>
      <c r="L145" s="892"/>
      <c r="M145" s="844"/>
      <c r="N145" s="891"/>
      <c r="O145" s="844"/>
      <c r="P145" s="844"/>
      <c r="Q145" s="844"/>
      <c r="R145" s="844"/>
      <c r="S145" s="844"/>
      <c r="T145" s="844"/>
      <c r="U145" s="844"/>
      <c r="V145" s="844"/>
      <c r="W145" s="844"/>
      <c r="X145" s="844"/>
      <c r="Y145" s="1001"/>
      <c r="Z145" s="847"/>
      <c r="AA145" s="850"/>
      <c r="AB145" s="847"/>
      <c r="AC145" s="847"/>
      <c r="AD145" s="847"/>
    </row>
    <row customHeight="1" ht="9">
      <c r="A146" s="846"/>
      <c r="B146" s="846"/>
      <c r="C146" s="844"/>
      <c r="D146" s="844"/>
      <c r="E146" s="844"/>
      <c r="F146" s="844"/>
      <c r="G146" s="844"/>
      <c r="H146" s="892"/>
      <c r="I146" s="892"/>
      <c r="J146" s="892"/>
      <c r="K146" s="892"/>
      <c r="L146" s="892"/>
      <c r="M146" s="844"/>
      <c r="N146" s="891"/>
      <c r="O146" s="844"/>
      <c r="P146" s="844"/>
      <c r="Q146" s="844"/>
      <c r="R146" s="844"/>
      <c r="S146" s="844"/>
      <c r="T146" s="844"/>
      <c r="U146" s="844"/>
      <c r="V146" s="844"/>
      <c r="W146" s="844"/>
      <c r="X146" s="844"/>
      <c r="Y146" s="1001"/>
      <c r="Z146" s="847"/>
      <c r="AA146" s="850"/>
      <c r="AB146" s="847"/>
      <c r="AC146" s="847"/>
      <c r="AD146" s="847"/>
    </row>
    <row customHeight="1" ht="9">
      <c r="A147" s="846"/>
      <c r="B147" s="846"/>
      <c r="C147" s="846"/>
      <c r="D147" s="846"/>
      <c r="E147" s="846"/>
      <c r="F147" s="846"/>
      <c r="G147" s="846"/>
      <c r="H147" s="846"/>
      <c r="I147" s="846"/>
      <c r="J147" s="846"/>
      <c r="K147" s="846"/>
      <c r="L147" s="846"/>
      <c r="M147" s="846"/>
      <c r="N147" s="846"/>
      <c r="O147" s="846"/>
      <c r="P147" s="846"/>
      <c r="Q147" s="846"/>
      <c r="R147" s="846"/>
      <c r="S147" s="846"/>
      <c r="T147" s="846"/>
      <c r="U147" s="846"/>
      <c r="V147" s="846"/>
      <c r="W147" s="846"/>
      <c r="X147" s="846"/>
      <c r="Y147" s="846"/>
      <c r="Z147" s="846"/>
      <c r="AA147" s="846"/>
      <c r="AB147" s="846"/>
      <c r="AC147" s="846"/>
      <c r="AD147" s="846"/>
    </row>
    <row customHeight="1" ht="90">
      <c r="A148" s="846" t="s">
        <v>1791</v>
      </c>
      <c r="B148" s="846"/>
      <c r="C148" s="844" t="s">
        <v>2357</v>
      </c>
      <c r="D148" s="844" t="s">
        <v>1697</v>
      </c>
      <c r="E148" s="844" t="s">
        <v>1793</v>
      </c>
      <c r="F148" s="844" t="s">
        <v>2358</v>
      </c>
      <c r="G148" s="844"/>
      <c r="H148" s="844"/>
      <c r="I148" s="964"/>
      <c r="J148" s="964"/>
      <c r="K148" s="964"/>
      <c r="L148" s="964"/>
      <c r="M148" s="894" t="str">
        <f>IF(TEMPLATE_SPHERE="HEAT",T148,IF(TEMPLATE_SPHERE="TKO",X148,U148))</f>
        <v>Сведения об условиях публичных договоров регулируемых организаций,  сведения об условиях публичных договоров, заключаемых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в том числе</v>
      </c>
      <c r="N148" s="849"/>
      <c r="O148" s="844"/>
      <c r="P148" s="845"/>
      <c r="Q148" s="845"/>
      <c r="R148" s="845"/>
      <c r="S148" s="844"/>
      <c r="T148" s="844" t="s">
        <v>2359</v>
      </c>
      <c r="U148" s="845" t="str">
        <f>"Сведения об условиях публичных договоров поставок товаров (оказания услуг), тарифы на которые подлежат регулированию, в том числе договоров о подключении (технологическом присоединении) к централизованной системе "&amp;TEMPLATE_SPHERE_RUS</f>
        <v>Сведения об условиях публичных договоров поставок товаров (оказания услуг), тарифы на которые подлежат регулированию, в том числе договоров о подключении (технологическом присоединении) к централизованной системе теплоснабжения</v>
      </c>
      <c r="V148" s="845"/>
      <c r="W148" s="845"/>
      <c r="X148" s="844" t="s">
        <v>2360</v>
      </c>
      <c r="Y148" s="1001"/>
      <c r="Z148" s="847"/>
      <c r="AA148" s="850"/>
      <c r="AB148" s="847"/>
      <c r="AC148" s="847"/>
      <c r="AD148" s="847"/>
    </row>
    <row customHeight="1" ht="9">
      <c r="A149" s="846"/>
      <c r="B149" s="846"/>
      <c r="C149" s="846"/>
      <c r="D149" s="846"/>
      <c r="E149" s="846"/>
      <c r="F149" s="846"/>
      <c r="G149" s="846"/>
      <c r="H149" s="846"/>
      <c r="I149" s="846"/>
      <c r="J149" s="846"/>
      <c r="K149" s="846"/>
      <c r="L149" s="846"/>
      <c r="M149" s="846"/>
      <c r="N149" s="846"/>
      <c r="O149" s="846"/>
      <c r="P149" s="846"/>
      <c r="Q149" s="846"/>
      <c r="R149" s="846"/>
      <c r="S149" s="846"/>
      <c r="T149" s="846"/>
      <c r="U149" s="846"/>
      <c r="V149" s="846"/>
      <c r="W149" s="846"/>
      <c r="X149" s="846"/>
      <c r="Y149" s="846"/>
      <c r="Z149" s="846"/>
      <c r="AA149" s="846"/>
      <c r="AB149" s="846"/>
      <c r="AC149" s="846"/>
      <c r="AD149" s="846"/>
    </row>
    <row customHeight="1" ht="9">
      <c r="A150" s="846" t="s">
        <v>1795</v>
      </c>
      <c r="B150" s="846"/>
      <c r="C150" s="844"/>
      <c r="D150" s="844"/>
      <c r="E150" s="844"/>
      <c r="F150" s="844"/>
      <c r="G150" s="844"/>
      <c r="H150" s="844"/>
      <c r="I150" s="844"/>
      <c r="J150" s="844"/>
      <c r="K150" s="844"/>
      <c r="L150" s="844"/>
      <c r="M150" s="844"/>
      <c r="N150" s="844"/>
      <c r="O150" s="844"/>
      <c r="P150" s="844"/>
      <c r="Q150" s="844"/>
      <c r="R150" s="844"/>
      <c r="S150" s="844"/>
      <c r="T150" s="844"/>
      <c r="U150" s="844"/>
      <c r="V150" s="844"/>
      <c r="W150" s="844"/>
      <c r="X150" s="844"/>
      <c r="Y150" s="1001"/>
      <c r="Z150" s="847"/>
      <c r="AA150" s="850"/>
      <c r="AB150" s="847"/>
      <c r="AC150" s="847"/>
      <c r="AD150" s="847"/>
    </row>
    <row customHeight="1" ht="9">
      <c r="A151" s="846"/>
      <c r="B151" s="846"/>
      <c r="C151" s="846"/>
      <c r="D151" s="846"/>
      <c r="E151" s="846"/>
      <c r="F151" s="846"/>
      <c r="G151" s="846"/>
      <c r="H151" s="846"/>
      <c r="I151" s="846"/>
      <c r="J151" s="846"/>
      <c r="K151" s="846"/>
      <c r="L151" s="846"/>
      <c r="M151" s="846"/>
      <c r="N151" s="846"/>
      <c r="O151" s="846"/>
      <c r="P151" s="846"/>
      <c r="Q151" s="846"/>
      <c r="R151" s="846"/>
      <c r="S151" s="846"/>
      <c r="T151" s="846"/>
      <c r="U151" s="846"/>
      <c r="V151" s="846"/>
      <c r="W151" s="846"/>
      <c r="X151" s="846"/>
      <c r="Y151" s="846"/>
      <c r="Z151" s="846"/>
      <c r="AA151" s="846"/>
      <c r="AB151" s="846"/>
      <c r="AC151" s="846"/>
      <c r="AD151" s="846"/>
    </row>
    <row customHeight="1" ht="9">
      <c r="A152" s="846" t="s">
        <v>1798</v>
      </c>
      <c r="B152" s="846"/>
      <c r="C152" s="844"/>
      <c r="D152" s="844"/>
      <c r="E152" s="844"/>
      <c r="F152" s="844"/>
      <c r="G152" s="844"/>
      <c r="H152" s="844"/>
      <c r="I152" s="844"/>
      <c r="J152" s="844"/>
      <c r="K152" s="844"/>
      <c r="L152" s="844"/>
      <c r="M152" s="844"/>
      <c r="N152" s="844"/>
      <c r="O152" s="844"/>
      <c r="P152" s="844"/>
      <c r="Q152" s="844"/>
      <c r="R152" s="844"/>
      <c r="S152" s="844"/>
      <c r="T152" s="844"/>
      <c r="U152" s="844"/>
      <c r="V152" s="844"/>
      <c r="W152" s="844"/>
      <c r="X152" s="844"/>
      <c r="Y152" s="1001"/>
      <c r="Z152" s="847"/>
      <c r="AA152" s="850"/>
      <c r="AB152" s="847"/>
      <c r="AC152" s="847"/>
      <c r="AD152" s="847"/>
    </row>
    <row customHeight="1" ht="9">
      <c r="A153" s="846"/>
      <c r="B153" s="846"/>
      <c r="C153" s="846"/>
      <c r="D153" s="846"/>
      <c r="E153" s="846"/>
      <c r="F153" s="846"/>
      <c r="G153" s="846"/>
      <c r="H153" s="846"/>
      <c r="I153" s="846"/>
      <c r="J153" s="846"/>
      <c r="K153" s="846"/>
      <c r="L153" s="846"/>
      <c r="M153" s="846"/>
      <c r="N153" s="846"/>
      <c r="O153" s="846"/>
      <c r="P153" s="846"/>
      <c r="Q153" s="846"/>
      <c r="R153" s="846"/>
      <c r="S153" s="846"/>
      <c r="T153" s="846"/>
      <c r="U153" s="846"/>
      <c r="V153" s="846"/>
      <c r="W153" s="846"/>
      <c r="X153" s="846"/>
      <c r="Y153" s="846"/>
      <c r="Z153" s="846"/>
      <c r="AA153" s="846"/>
      <c r="AB153" s="846"/>
      <c r="AC153" s="846"/>
      <c r="AD153" s="846"/>
    </row>
    <row customHeight="1" ht="9">
      <c r="A154" s="846" t="s">
        <v>1803</v>
      </c>
      <c r="B154" s="846"/>
      <c r="C154" s="844"/>
      <c r="D154" s="844"/>
      <c r="E154" s="844"/>
      <c r="F154" s="844"/>
      <c r="G154" s="844"/>
      <c r="H154" s="844"/>
      <c r="I154" s="844"/>
      <c r="J154" s="844"/>
      <c r="K154" s="844"/>
      <c r="L154" s="844"/>
      <c r="M154" s="844"/>
      <c r="N154" s="844"/>
      <c r="O154" s="844"/>
      <c r="P154" s="844"/>
      <c r="Q154" s="844"/>
      <c r="R154" s="844"/>
      <c r="S154" s="844"/>
      <c r="T154" s="844"/>
      <c r="U154" s="844"/>
      <c r="V154" s="844"/>
      <c r="W154" s="844"/>
      <c r="X154" s="844"/>
      <c r="Y154" s="1001"/>
      <c r="Z154" s="847"/>
      <c r="AA154" s="850"/>
      <c r="AB154" s="847"/>
      <c r="AC154" s="847"/>
      <c r="AD154" s="847"/>
    </row>
  </sheetData>
  <sheetProtection sort="0" autoFilter="0" insertRows="0" insertColumns="1" deleteRows="0" deleteColumns="0"/>
  <mergeCells count="12">
    <mergeCell ref="T1:X1"/>
    <mergeCell ref="Z1:AD1"/>
    <mergeCell ref="A11:A15"/>
    <mergeCell ref="H13:H14"/>
    <mergeCell ref="H15:H16"/>
    <mergeCell ref="C3:F3"/>
    <mergeCell ref="C11:C16"/>
    <mergeCell ref="D11:D16"/>
    <mergeCell ref="E11:E16"/>
    <mergeCell ref="F11:F16"/>
    <mergeCell ref="G11:G16"/>
    <mergeCell ref="O1:S1"/>
  </mergeCell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legacyDrawing r:id="rId2"/>
</worksheet>
</file>

<file path=xl/worksheets/sheet6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FBC5B69-2688-1F5A-F25D-F0F18E615278}" mc:Ignorable="x14ac xr xr2 xr3">
  <sheetPr>
    <tabColor theme="6" tint="0.4"/>
  </sheetPr>
  <dimension ref="A1:AD41"/>
  <sheetViews>
    <sheetView topLeftCell="I4" showGridLines="0" workbookViewId="0">
      <selection activeCell="A1" sqref="A1"/>
    </sheetView>
  </sheetViews>
  <sheetFormatPr defaultColWidth="10.57421875" customHeight="1" defaultRowHeight="14.25"/>
  <cols>
    <col min="1" max="1" style="1367" width="10.57421875" hidden="1"/>
    <col min="2" max="2" style="1367" width="11.00390625" hidden="1" customWidth="1"/>
    <col min="3" max="3" style="1367" width="10.57421875" hidden="1"/>
    <col min="4" max="4" style="1367" width="11.8515625" hidden="1" customWidth="1"/>
    <col min="5" max="5" style="1367" width="12.28125" hidden="1" customWidth="1"/>
    <col min="6" max="8" style="1777" width="12.28125" hidden="1" customWidth="1"/>
    <col min="9" max="9" style="2398" width="3.00390625" customWidth="1"/>
    <col min="10" max="11" style="345" width="3.00390625" customWidth="1"/>
    <col min="12" max="12" style="2408" width="12.00390625" customWidth="1"/>
    <col min="13" max="13" style="1636" width="31.00390625" customWidth="1"/>
    <col min="14" max="14" style="1636" width="1.00390625" customWidth="1"/>
    <col min="15" max="18" style="1636" width="24.00390625" customWidth="1"/>
    <col min="19" max="19" style="1636" width="11.00390625" customWidth="1"/>
    <col min="20" max="20" style="1636" width="3.7109375" customWidth="1"/>
    <col min="21" max="21" style="1636" width="11.00390625" customWidth="1"/>
    <col min="22" max="22" style="1636" width="8.57421875" customWidth="1"/>
    <col min="23" max="23" style="1636" width="4.00390625" customWidth="1"/>
    <col min="24" max="24" style="1636" width="115.00390625" customWidth="1"/>
    <col min="25" max="29" style="1643" width="10.00390625" customWidth="1"/>
    <col min="30" max="30" style="1636" width="10.57421875" hidden="1"/>
  </cols>
  <sheetData>
    <row customHeight="1" ht="22.5" hidden="1">
      <c r="R1" s="328"/>
      <c r="S1" s="328"/>
      <c r="AD1" s="1156" t="s">
        <v>14</v>
      </c>
    </row>
    <row customHeight="1" ht="14.25" hidden="1">
      <c r="V2" s="328"/>
      <c r="AD2" s="1156">
        <v>0</v>
      </c>
    </row>
    <row customHeight="1" ht="14.25" hidden="1">
      <c r="AD3" s="1156">
        <v>0</v>
      </c>
    </row>
    <row customHeight="1" ht="14.699999999999998">
      <c r="J4" s="377"/>
      <c r="K4" s="377"/>
      <c r="L4" s="1276"/>
      <c r="M4" s="364"/>
      <c r="N4" s="364"/>
      <c r="O4" s="510"/>
      <c r="P4" s="510"/>
      <c r="Q4" s="510"/>
      <c r="R4" s="510"/>
      <c r="S4" s="510"/>
      <c r="T4" s="510"/>
      <c r="U4" s="510"/>
      <c r="V4" s="510"/>
      <c r="AD4" s="1156">
        <v>14</v>
      </c>
    </row>
    <row customHeight="1" ht="67.2">
      <c r="J5" s="377"/>
      <c r="K5" s="377"/>
      <c r="L5" s="2604" t="s">
        <v>2361</v>
      </c>
      <c r="M5" s="2604"/>
      <c r="N5" s="2604"/>
      <c r="O5" s="2604"/>
      <c r="P5" s="2604"/>
      <c r="Q5" s="2604"/>
      <c r="R5" s="2604"/>
      <c r="S5" s="2604"/>
      <c r="T5" s="2604"/>
      <c r="U5" s="2604"/>
      <c r="V5" s="1244"/>
      <c r="AD5" s="1156">
        <v>64</v>
      </c>
    </row>
    <row customHeight="1" ht="14.699999999999998">
      <c r="J6" s="377"/>
      <c r="K6" s="377"/>
      <c r="L6" s="2605" t="str">
        <f>IF(org=0,"Не определено",org)</f>
        <v>ПАО "ТГК-1" (филиал "Кольский")</v>
      </c>
      <c r="M6" s="2605"/>
      <c r="N6" s="2605"/>
      <c r="O6" s="2605"/>
      <c r="P6" s="2605"/>
      <c r="Q6" s="2605"/>
      <c r="R6" s="2605"/>
      <c r="S6" s="2605"/>
      <c r="T6" s="2605"/>
      <c r="U6" s="2605"/>
      <c r="V6" s="1244"/>
      <c r="AD6" s="1156">
        <v>14</v>
      </c>
    </row>
    <row customHeight="1" ht="14.699999999999998">
      <c r="J7" s="377"/>
      <c r="K7" s="377"/>
      <c r="L7" s="1276"/>
      <c r="M7" s="364"/>
      <c r="N7" s="364"/>
      <c r="O7" s="323"/>
      <c r="P7" s="323"/>
      <c r="Q7" s="323"/>
      <c r="R7" s="323"/>
      <c r="S7" s="323"/>
      <c r="T7" s="323"/>
      <c r="U7" s="323"/>
      <c r="V7" s="323"/>
      <c r="W7" s="510"/>
      <c r="AD7" s="1156">
        <v>14</v>
      </c>
    </row>
    <row s="1854" customFormat="1" customHeight="1" ht="48.29999999999999">
      <c r="A8" s="1369"/>
      <c r="B8" s="1369"/>
      <c r="C8" s="1369"/>
      <c r="D8" s="1369"/>
      <c r="E8" s="1369"/>
      <c r="F8" s="1369"/>
      <c r="G8" s="1369"/>
      <c r="H8" s="1369"/>
      <c r="L8" s="1277"/>
      <c r="M8" s="296" t="s">
        <v>42</v>
      </c>
      <c r="N8" s="305"/>
      <c r="O8" s="2252" t="str">
        <f>IF(TITLE_NAME_OR_PR_CHANGE="",IF(TITLE_NAME_OR_PR="","",TITLE_NAME_OR_PR),TITLE_NAME_OR_PR_CHANGE)</f>
        <v>Комитет по тарифному регулированию Мурманской области</v>
      </c>
      <c r="P8" s="2252"/>
      <c r="Q8" s="2252"/>
      <c r="R8" s="2252"/>
      <c r="S8" s="2252"/>
      <c r="T8" s="2252"/>
      <c r="U8" s="2252"/>
      <c r="V8" s="327"/>
      <c r="W8" s="327"/>
      <c r="X8" s="281"/>
      <c r="Y8" s="369"/>
      <c r="Z8" s="369"/>
      <c r="AA8" s="369"/>
      <c r="AB8" s="369"/>
      <c r="AC8" s="369"/>
      <c r="AD8" s="419">
        <v>46</v>
      </c>
    </row>
    <row s="1854" customFormat="1" customHeight="1" ht="24">
      <c r="A9" s="1369"/>
      <c r="B9" s="1369"/>
      <c r="C9" s="1369"/>
      <c r="D9" s="1369"/>
      <c r="E9" s="1369"/>
      <c r="F9" s="1369"/>
      <c r="G9" s="1369"/>
      <c r="H9" s="1369"/>
      <c r="L9" s="1277"/>
      <c r="M9" s="296" t="s">
        <v>550</v>
      </c>
      <c r="N9" s="305"/>
      <c r="O9" s="2252" t="str">
        <f>IF(TITLE_DATE_CHANGE_PERIOD="",IF(TITLE_DATE_PR="","",TITLE_DATE_PR),TITLE_DATE_CHANGE_PERIOD)</f>
        <v>45292</v>
      </c>
      <c r="P9" s="2252"/>
      <c r="Q9" s="2252"/>
      <c r="R9" s="2252"/>
      <c r="S9" s="2252"/>
      <c r="T9" s="2252"/>
      <c r="U9" s="2252"/>
      <c r="V9" s="327"/>
      <c r="W9" s="327"/>
      <c r="X9" s="281"/>
      <c r="Y9" s="369"/>
      <c r="Z9" s="369"/>
      <c r="AA9" s="369"/>
      <c r="AB9" s="369"/>
      <c r="AC9" s="369"/>
      <c r="AD9" s="419">
        <v>23</v>
      </c>
    </row>
    <row s="1854" customFormat="1" customHeight="1" ht="24">
      <c r="A10" s="1369"/>
      <c r="B10" s="1369"/>
      <c r="C10" s="1369"/>
      <c r="D10" s="1369"/>
      <c r="E10" s="1369"/>
      <c r="F10" s="1369"/>
      <c r="G10" s="1369"/>
      <c r="H10" s="1369"/>
      <c r="L10" s="1251"/>
      <c r="M10" s="296" t="s">
        <v>551</v>
      </c>
      <c r="N10" s="305"/>
      <c r="O10" s="2252" t="str">
        <f>IF(TITLE_NUMBER_PR_CHANGE="",IF(TITLE_NUMBER_PR="","",TITLE_NUMBER_PR),TITLE_NUMBER_PR_CHANGE)</f>
        <v>53/77; 53/49</v>
      </c>
      <c r="P10" s="2252"/>
      <c r="Q10" s="2252"/>
      <c r="R10" s="2252"/>
      <c r="S10" s="2252"/>
      <c r="T10" s="2252"/>
      <c r="U10" s="2252"/>
      <c r="V10" s="327"/>
      <c r="W10" s="327"/>
      <c r="X10" s="281"/>
      <c r="Y10" s="369"/>
      <c r="Z10" s="369"/>
      <c r="AA10" s="369"/>
      <c r="AB10" s="369"/>
      <c r="AC10" s="369"/>
      <c r="AD10" s="419">
        <v>23</v>
      </c>
    </row>
    <row s="1854" customFormat="1" customHeight="1" ht="24">
      <c r="A11" s="1369"/>
      <c r="B11" s="1369"/>
      <c r="C11" s="1369"/>
      <c r="D11" s="1369"/>
      <c r="E11" s="1369"/>
      <c r="F11" s="1369"/>
      <c r="G11" s="1369"/>
      <c r="H11" s="1369"/>
      <c r="L11" s="1251"/>
      <c r="M11" s="296" t="s">
        <v>44</v>
      </c>
      <c r="N11" s="305"/>
      <c r="O11" s="2252" t="str">
        <f>IF(TITLE_IST_PUB_CHANGE="",IF(TITLE_IST_PUB="","",TITLE_IST_PUB),TITLE_IST_PUB_CHANGE)</f>
        <v>Официальный электронный бюллетень Правительства Мурманской области</v>
      </c>
      <c r="P11" s="2252"/>
      <c r="Q11" s="2252"/>
      <c r="R11" s="2252"/>
      <c r="S11" s="2252"/>
      <c r="T11" s="2252"/>
      <c r="U11" s="2252"/>
      <c r="V11" s="327"/>
      <c r="W11" s="327"/>
      <c r="X11" s="281"/>
      <c r="Y11" s="369"/>
      <c r="Z11" s="369"/>
      <c r="AA11" s="369"/>
      <c r="AB11" s="369"/>
      <c r="AC11" s="369"/>
      <c r="AD11" s="419">
        <v>23</v>
      </c>
    </row>
    <row s="1854" customFormat="1" customHeight="1" ht="11.25" hidden="1">
      <c r="A12" s="1369"/>
      <c r="B12" s="1369"/>
      <c r="C12" s="1369"/>
      <c r="D12" s="1369"/>
      <c r="E12" s="1369"/>
      <c r="F12" s="1369"/>
      <c r="G12" s="1369"/>
      <c r="H12" s="1369"/>
      <c r="L12" s="2606"/>
      <c r="M12" s="2606"/>
      <c r="N12" s="1288"/>
      <c r="O12" s="327"/>
      <c r="P12" s="327"/>
      <c r="Q12" s="327"/>
      <c r="R12" s="327"/>
      <c r="S12" s="327"/>
      <c r="T12" s="327"/>
      <c r="U12" s="327"/>
      <c r="V12" s="279" t="s">
        <v>554</v>
      </c>
      <c r="Y12" s="369"/>
      <c r="Z12" s="369"/>
      <c r="AA12" s="369"/>
      <c r="AB12" s="369"/>
      <c r="AC12" s="369"/>
      <c r="AD12" s="419">
        <v>0</v>
      </c>
    </row>
    <row customHeight="1" ht="14.699999999999998">
      <c r="J13" s="377"/>
      <c r="K13" s="377"/>
      <c r="L13" s="1276"/>
      <c r="M13" s="364"/>
      <c r="N13" s="1245"/>
      <c r="O13" s="2253"/>
      <c r="P13" s="2253"/>
      <c r="Q13" s="2253"/>
      <c r="R13" s="2253"/>
      <c r="S13" s="2253"/>
      <c r="T13" s="2253"/>
      <c r="U13" s="2253"/>
      <c r="V13" s="2253"/>
      <c r="AD13" s="1156">
        <v>14</v>
      </c>
    </row>
    <row customHeight="1" ht="14.699999999999998">
      <c r="J14" s="377"/>
      <c r="K14" s="377"/>
      <c r="L14" s="2128" t="s">
        <v>430</v>
      </c>
      <c r="M14" s="2128"/>
      <c r="N14" s="2128"/>
      <c r="O14" s="2128"/>
      <c r="P14" s="2128"/>
      <c r="Q14" s="2128"/>
      <c r="R14" s="2128"/>
      <c r="S14" s="2128"/>
      <c r="T14" s="2128"/>
      <c r="U14" s="2128"/>
      <c r="V14" s="2128"/>
      <c r="W14" s="2128"/>
      <c r="X14" s="2128" t="s">
        <v>431</v>
      </c>
      <c r="AD14" s="1156">
        <v>14</v>
      </c>
    </row>
    <row customHeight="1" ht="14.699999999999998">
      <c r="J15" s="377"/>
      <c r="K15" s="377"/>
      <c r="L15" s="2274" t="s">
        <v>92</v>
      </c>
      <c r="M15" s="2210" t="s">
        <v>555</v>
      </c>
      <c r="N15" s="302"/>
      <c r="O15" s="2275" t="s">
        <v>2362</v>
      </c>
      <c r="P15" s="2276"/>
      <c r="Q15" s="2276"/>
      <c r="R15" s="2276"/>
      <c r="S15" s="2276"/>
      <c r="T15" s="2276"/>
      <c r="U15" s="2277"/>
      <c r="V15" s="2278" t="s">
        <v>557</v>
      </c>
      <c r="W15" s="2281" t="s">
        <v>1284</v>
      </c>
      <c r="X15" s="2128"/>
      <c r="AD15" s="1156">
        <v>14</v>
      </c>
    </row>
    <row customHeight="1" ht="35.699999999999996">
      <c r="J16" s="377"/>
      <c r="K16" s="377"/>
      <c r="L16" s="2274"/>
      <c r="M16" s="2210"/>
      <c r="N16" s="1032"/>
      <c r="O16" s="2261" t="s">
        <v>560</v>
      </c>
      <c r="P16" s="2261" t="s">
        <v>561</v>
      </c>
      <c r="Q16" s="2263" t="s">
        <v>562</v>
      </c>
      <c r="R16" s="2264"/>
      <c r="S16" s="2263" t="s">
        <v>579</v>
      </c>
      <c r="T16" s="2270"/>
      <c r="U16" s="2264"/>
      <c r="V16" s="2279"/>
      <c r="W16" s="2282"/>
      <c r="X16" s="2128"/>
      <c r="AD16" s="1156">
        <v>34</v>
      </c>
    </row>
    <row customHeight="1" ht="35.699999999999996">
      <c r="A17" s="1371" t="s">
        <v>147</v>
      </c>
      <c r="B17" s="1371" t="s">
        <v>148</v>
      </c>
      <c r="C17" s="1371" t="s">
        <v>149</v>
      </c>
      <c r="D17" s="1371" t="s">
        <v>150</v>
      </c>
      <c r="E17" s="1371"/>
      <c r="J17" s="377"/>
      <c r="K17" s="377"/>
      <c r="L17" s="2274"/>
      <c r="M17" s="2210"/>
      <c r="N17" s="303"/>
      <c r="O17" s="2262"/>
      <c r="P17" s="2262"/>
      <c r="Q17" s="1223" t="s">
        <v>571</v>
      </c>
      <c r="R17" s="1223" t="s">
        <v>572</v>
      </c>
      <c r="S17" s="1293" t="s">
        <v>573</v>
      </c>
      <c r="T17" s="2271" t="s">
        <v>574</v>
      </c>
      <c r="U17" s="2272"/>
      <c r="V17" s="2280"/>
      <c r="W17" s="2283"/>
      <c r="X17" s="2128"/>
      <c r="AD17" s="1156">
        <v>34</v>
      </c>
    </row>
    <row s="1642" customFormat="1" customHeight="1" ht="11.549999999999999">
      <c r="A18" s="1371"/>
      <c r="B18" s="1371"/>
      <c r="C18" s="1371"/>
      <c r="D18" s="1371"/>
      <c r="E18" s="1371"/>
      <c r="F18" s="1363"/>
      <c r="G18" s="1363"/>
      <c r="H18" s="1363"/>
      <c r="I18" s="1247"/>
      <c r="J18" s="1248"/>
      <c r="K18" s="1255">
        <v>1</v>
      </c>
      <c r="L18" s="1278" t="s">
        <v>123</v>
      </c>
      <c r="M18" s="1256" t="s">
        <v>107</v>
      </c>
      <c r="N18" s="1246" t="str">
        <f>OFFSET(N18,0,-1)</f>
        <v>2</v>
      </c>
      <c r="O18" s="1290">
        <f>OFFSET(O18,0,-1)+1</f>
        <v>3</v>
      </c>
      <c r="P18" s="1290"/>
      <c r="Q18" s="1290">
        <f>OFFSET(Q18,0,-1)+1</f>
        <v>1</v>
      </c>
      <c r="R18" s="1290">
        <f>OFFSET(R18,0,-1)+1</f>
        <v>2</v>
      </c>
      <c r="S18" s="1290">
        <f>OFFSET(S18,0,-1)+1</f>
        <v>3</v>
      </c>
      <c r="T18" s="2273">
        <f>OFFSET(T18,0,-1)+1</f>
        <v>4</v>
      </c>
      <c r="U18" s="2273"/>
      <c r="V18" s="1290">
        <f>OFFSET(V18,0,-2)+1</f>
        <v>5</v>
      </c>
      <c r="W18" s="1246">
        <f>OFFSET(W18,0,-1)</f>
        <v>5</v>
      </c>
      <c r="X18" s="1290">
        <f>OFFSET(X18,0,-1)+1</f>
        <v>6</v>
      </c>
      <c r="Y18" s="512"/>
      <c r="Z18" s="512"/>
      <c r="AA18" s="512"/>
      <c r="AB18" s="512"/>
      <c r="AC18" s="512"/>
      <c r="AD18" s="497">
        <v>11</v>
      </c>
    </row>
    <row customHeight="1" ht="21">
      <c r="A19" s="1364" t="s">
        <v>255</v>
      </c>
      <c r="B19" s="1364" t="s">
        <v>256</v>
      </c>
      <c r="C19" s="1364" t="s">
        <v>257</v>
      </c>
      <c r="D19" s="1364" t="s">
        <v>258</v>
      </c>
      <c r="E19" s="1364"/>
      <c r="F19" s="1366"/>
      <c r="G19" s="1366"/>
      <c r="H19" s="1366"/>
      <c r="I19" s="362"/>
      <c r="J19" s="361"/>
      <c r="K19" s="356"/>
      <c r="L19" s="1294">
        <f>INDEX(PT_DIFFERENTIATION_NUM_NTAR,MATCH(A19,PT_DIFFERENTIATION_NTAR_ID,0))</f>
        <v>1</v>
      </c>
      <c r="M19" s="299" t="s">
        <v>136</v>
      </c>
      <c r="N19" s="301"/>
      <c r="O19" s="2607" t="str">
        <f>INDEX(PT_DIFFERENTIATION_NTAR,MATCH(A19,PT_DIFFERENTIATION_NTAR_ID,0))</f>
        <v>Тарифы на теплоноситель, поставляемый группе потребителей "население". Муниципальный округ город Апатиты с подведомственной территорией Мурманской области, муниципальный округ город Кировск с подведомственной территорией Мурманской области</v>
      </c>
      <c r="P19" s="2607"/>
      <c r="Q19" s="2607"/>
      <c r="R19" s="2607"/>
      <c r="S19" s="2607"/>
      <c r="T19" s="2607"/>
      <c r="U19" s="2607"/>
      <c r="V19" s="2607"/>
      <c r="W19" s="2607"/>
      <c r="X19" s="1259" t="s">
        <v>526</v>
      </c>
      <c r="Z19" s="501"/>
      <c r="AA19" s="501" t="str">
        <f>IF(M19="","",M19)</f>
        <v>Наименование тарифа</v>
      </c>
      <c r="AB19" s="501"/>
      <c r="AC19" s="501"/>
      <c r="AD19" s="1156">
        <v>20</v>
      </c>
    </row>
    <row customHeight="1" ht="21">
      <c r="A20" s="1364" t="s">
        <v>255</v>
      </c>
      <c r="B20" s="1364" t="s">
        <v>256</v>
      </c>
      <c r="C20" s="1364" t="s">
        <v>257</v>
      </c>
      <c r="D20" s="1364" t="s">
        <v>258</v>
      </c>
      <c r="E20" s="1364"/>
      <c r="F20" s="1366"/>
      <c r="G20" s="1366"/>
      <c r="H20" s="1366"/>
      <c r="I20" s="1291"/>
      <c r="J20" s="353"/>
      <c r="K20" s="354"/>
      <c r="L20" s="1294" t="str">
        <f>INDEX(PT_DIFFERENTIATION_NUM_TER,MATCH(B19,PT_DIFFERENTIATION_TER_ID,0))</f>
        <v>1.1</v>
      </c>
      <c r="M20" s="309" t="s">
        <v>527</v>
      </c>
      <c r="N20" s="301"/>
      <c r="O20" s="2607" t="str">
        <f>INDEX(PT_DIFFERENTIATION_TER,MATCH(B19,PT_DIFFERENTIATION_TER_ID,0))</f>
        <v>Территория 1</v>
      </c>
      <c r="P20" s="2607"/>
      <c r="Q20" s="2607"/>
      <c r="R20" s="2607"/>
      <c r="S20" s="2607"/>
      <c r="T20" s="2607"/>
      <c r="U20" s="2607"/>
      <c r="V20" s="2607"/>
      <c r="W20" s="2607"/>
      <c r="X20" s="1259" t="s">
        <v>528</v>
      </c>
      <c r="Z20" s="501"/>
      <c r="AA20" s="501" t="str">
        <f>IF(M20="","",M20)</f>
        <v>Территория действия тарифа</v>
      </c>
      <c r="AB20" s="501"/>
      <c r="AC20" s="501"/>
      <c r="AD20" s="1156">
        <v>20</v>
      </c>
    </row>
    <row customHeight="1" ht="24">
      <c r="A21" s="1364" t="s">
        <v>255</v>
      </c>
      <c r="B21" s="1364" t="s">
        <v>256</v>
      </c>
      <c r="C21" s="1364" t="s">
        <v>257</v>
      </c>
      <c r="D21" s="1364" t="s">
        <v>258</v>
      </c>
      <c r="E21" s="1364"/>
      <c r="F21" s="1366"/>
      <c r="G21" s="1366"/>
      <c r="H21" s="1366"/>
      <c r="I21" s="355"/>
      <c r="J21" s="353"/>
      <c r="K21" s="354"/>
      <c r="L21" s="1294" t="str">
        <f>INDEX(PT_DIFFERENTIATION_NUM_CS,MATCH(C19,PT_DIFFERENTIATION_CS_ID,0))</f>
        <v>1.1.1</v>
      </c>
      <c r="M21" s="310" t="s">
        <v>529</v>
      </c>
      <c r="N21" s="301"/>
      <c r="O21" s="2607" t="str">
        <f>INDEX(PT_DIFFERENTIATION_CS,MATCH(C19,PT_DIFFERENTIATION_CS_ID,0))</f>
        <v>открытая система теплоснабжения г. Апатиты</v>
      </c>
      <c r="P21" s="2607"/>
      <c r="Q21" s="2607"/>
      <c r="R21" s="2607"/>
      <c r="S21" s="2607"/>
      <c r="T21" s="2607"/>
      <c r="U21" s="2607"/>
      <c r="V21" s="2607"/>
      <c r="W21" s="2607"/>
      <c r="X21" s="1259" t="s">
        <v>530</v>
      </c>
      <c r="Z21" s="501"/>
      <c r="AA21" s="501" t="str">
        <f>IF(M21="","",M21)</f>
        <v>Наименование системы теплоснабжения </v>
      </c>
      <c r="AB21" s="501"/>
      <c r="AC21" s="501"/>
      <c r="AD21" s="1156">
        <v>23</v>
      </c>
    </row>
    <row customHeight="1" ht="21">
      <c r="A22" s="1364" t="s">
        <v>255</v>
      </c>
      <c r="B22" s="1364" t="s">
        <v>256</v>
      </c>
      <c r="C22" s="1364" t="s">
        <v>257</v>
      </c>
      <c r="D22" s="1364" t="s">
        <v>258</v>
      </c>
      <c r="E22" s="1364"/>
      <c r="F22" s="1366"/>
      <c r="G22" s="1366"/>
      <c r="H22" s="1366"/>
      <c r="I22" s="355"/>
      <c r="J22" s="353"/>
      <c r="K22" s="354"/>
      <c r="L22" s="1294" t="str">
        <f>INDEX(PT_DIFFERENTIATION_NUM_IST_TE,MATCH(D19,PT_DIFFERENTIATION_IST_TE_ID,0))</f>
        <v>1.1.1.1</v>
      </c>
      <c r="M22" s="311" t="s">
        <v>531</v>
      </c>
      <c r="N22" s="301"/>
      <c r="O22" s="2607" t="str">
        <f>INDEX(PT_DIFFERENTIATION_IST_TE,MATCH(D19,PT_DIFFERENTIATION_IST_TE_ID,0))</f>
        <v>Апатитская ТЭЦ</v>
      </c>
      <c r="P22" s="2607"/>
      <c r="Q22" s="2607"/>
      <c r="R22" s="2607"/>
      <c r="S22" s="2607"/>
      <c r="T22" s="2607"/>
      <c r="U22" s="2607"/>
      <c r="V22" s="2607"/>
      <c r="W22" s="2607"/>
      <c r="X22" s="1259" t="s">
        <v>532</v>
      </c>
      <c r="Z22" s="501"/>
      <c r="AA22" s="501" t="str">
        <f>IF(M22="","",M22)</f>
        <v>Источник тепловой энергии  </v>
      </c>
      <c r="AB22" s="501"/>
      <c r="AC22" s="501"/>
      <c r="AD22" s="1156">
        <v>20</v>
      </c>
    </row>
    <row customHeight="1" ht="96.75">
      <c r="A23" s="1364" t="s">
        <v>255</v>
      </c>
      <c r="B23" s="1364" t="s">
        <v>256</v>
      </c>
      <c r="C23" s="1364" t="s">
        <v>257</v>
      </c>
      <c r="D23" s="1364" t="s">
        <v>258</v>
      </c>
      <c r="E23" s="1364"/>
      <c r="F23" s="2608" t="str">
        <f>L22&amp;".1"</f>
        <v>1.1.1.1.1</v>
      </c>
      <c r="I23" s="2258">
        <v>1</v>
      </c>
      <c r="J23" s="1292"/>
      <c r="K23" s="357"/>
      <c r="L23" s="1294" t="str">
        <f>$F$23</f>
        <v>1.1.1.1.1</v>
      </c>
      <c r="M23" s="286" t="s">
        <v>534</v>
      </c>
      <c r="N23" s="301"/>
      <c r="O23" s="2306"/>
      <c r="P23" s="2306"/>
      <c r="Q23" s="2306"/>
      <c r="R23" s="2306"/>
      <c r="S23" s="2306"/>
      <c r="T23" s="2306"/>
      <c r="U23" s="2306"/>
      <c r="V23" s="2306"/>
      <c r="W23" s="2306"/>
      <c r="X23" s="1259" t="s">
        <v>535</v>
      </c>
      <c r="Z23" s="501"/>
      <c r="AA23" s="501" t="str">
        <f>IF(M23="","",M23)</f>
        <v>Схема подключения теплопотребляющей установки к коллектору источника тепловой энергии</v>
      </c>
      <c r="AB23" s="501"/>
      <c r="AC23" s="501"/>
      <c r="AD23" s="1156">
        <v>92</v>
      </c>
    </row>
    <row customHeight="1" ht="86.25">
      <c r="A24" s="1364" t="s">
        <v>255</v>
      </c>
      <c r="B24" s="1364" t="s">
        <v>256</v>
      </c>
      <c r="C24" s="1364" t="s">
        <v>257</v>
      </c>
      <c r="D24" s="1364" t="s">
        <v>258</v>
      </c>
      <c r="E24" s="1364"/>
      <c r="F24" s="2608"/>
      <c r="G24" s="2218" t="str">
        <f>F23&amp;".1"</f>
        <v>1.1.1.1.1.1</v>
      </c>
      <c r="I24" s="2258"/>
      <c r="J24" s="2258">
        <v>1</v>
      </c>
      <c r="K24" s="358"/>
      <c r="L24" s="1294" t="str">
        <f>$G$24</f>
        <v>1.1.1.1.1.1</v>
      </c>
      <c r="M24" s="287" t="s">
        <v>537</v>
      </c>
      <c r="N24" s="301"/>
      <c r="O24" s="2246"/>
      <c r="P24" s="2247"/>
      <c r="Q24" s="2247"/>
      <c r="R24" s="2247"/>
      <c r="S24" s="2247"/>
      <c r="T24" s="2247"/>
      <c r="U24" s="2247"/>
      <c r="V24" s="2247"/>
      <c r="W24" s="2248"/>
      <c r="X24" s="1259" t="s">
        <v>538</v>
      </c>
      <c r="Z24" s="501"/>
      <c r="AA24" s="501" t="str">
        <f>IF(M24="","",M24)</f>
        <v>Группа потребителей</v>
      </c>
      <c r="AB24" s="501"/>
      <c r="AC24" s="501"/>
      <c r="AD24" s="1156">
        <v>82</v>
      </c>
    </row>
    <row customHeight="1" ht="11.549999999999999">
      <c r="A25" s="1364" t="s">
        <v>255</v>
      </c>
      <c r="B25" s="1364" t="s">
        <v>256</v>
      </c>
      <c r="C25" s="1364" t="s">
        <v>257</v>
      </c>
      <c r="D25" s="1364" t="s">
        <v>258</v>
      </c>
      <c r="E25" s="1364"/>
      <c r="F25" s="2608"/>
      <c r="G25" s="2218"/>
      <c r="H25" s="2218" t="str">
        <f>G24&amp;".1"</f>
        <v>1.1.1.1.1.1.1</v>
      </c>
      <c r="I25" s="2258"/>
      <c r="J25" s="2258"/>
      <c r="K25" s="358">
        <v>1</v>
      </c>
      <c r="L25" s="1294" t="str">
        <f>$H$25</f>
        <v>1.1.1.1.1.1.1</v>
      </c>
      <c r="M25" s="1348"/>
      <c r="N25" s="301"/>
      <c r="O25" s="752"/>
      <c r="P25" s="326"/>
      <c r="Q25" s="752"/>
      <c r="R25" s="1258"/>
      <c r="S25" s="2603"/>
      <c r="T25" s="2108" t="s">
        <v>65</v>
      </c>
      <c r="U25" s="2603"/>
      <c r="V25" s="2108" t="s">
        <v>19</v>
      </c>
      <c r="W25" s="326"/>
      <c r="X25" s="2254" t="s">
        <v>540</v>
      </c>
      <c r="Y25" s="512">
        <f>STRCHECKDATE(O26:W26)</f>
      </c>
      <c r="Z25" s="501"/>
      <c r="AA25" s="501" t="str">
        <f>IF(M25="","",M25)</f>
        <v/>
      </c>
      <c r="AB25" s="501"/>
      <c r="AC25" s="501"/>
      <c r="AD25" s="1156">
        <v>11</v>
      </c>
    </row>
    <row customHeight="1" ht="11.549999999999999">
      <c r="A26" s="1364" t="s">
        <v>255</v>
      </c>
      <c r="B26" s="1364" t="s">
        <v>256</v>
      </c>
      <c r="C26" s="1364" t="s">
        <v>257</v>
      </c>
      <c r="D26" s="1364" t="s">
        <v>258</v>
      </c>
      <c r="E26" s="1364"/>
      <c r="F26" s="2608"/>
      <c r="G26" s="2218"/>
      <c r="H26" s="2218"/>
      <c r="I26" s="2258"/>
      <c r="J26" s="2258"/>
      <c r="K26" s="358"/>
      <c r="L26" s="1295"/>
      <c r="M26" s="301"/>
      <c r="N26" s="301"/>
      <c r="O26" s="326"/>
      <c r="P26" s="326"/>
      <c r="Q26" s="326"/>
      <c r="R26" s="329" t="str">
        <f>S25&amp;"-"&amp;U25</f>
        <v>-</v>
      </c>
      <c r="S26" s="2267"/>
      <c r="T26" s="2108"/>
      <c r="U26" s="2267"/>
      <c r="V26" s="2108"/>
      <c r="W26" s="326"/>
      <c r="X26" s="2255"/>
      <c r="Z26" s="501"/>
      <c r="AA26" s="501" t="str">
        <f>IF(M26="","",M26)</f>
        <v/>
      </c>
      <c r="AB26" s="501"/>
      <c r="AC26" s="501"/>
      <c r="AD26" s="1156">
        <v>11</v>
      </c>
    </row>
    <row customHeight="1" ht="15.75">
      <c r="A27" s="1364" t="s">
        <v>255</v>
      </c>
      <c r="B27" s="1364" t="s">
        <v>256</v>
      </c>
      <c r="C27" s="1364" t="s">
        <v>257</v>
      </c>
      <c r="D27" s="1364" t="s">
        <v>258</v>
      </c>
      <c r="E27" s="1364"/>
      <c r="F27" s="2608"/>
      <c r="G27" s="2218"/>
      <c r="I27" s="2258"/>
      <c r="J27" s="2258"/>
      <c r="K27" s="357"/>
      <c r="L27" s="1279"/>
      <c r="M27" s="289" t="s">
        <v>541</v>
      </c>
      <c r="N27" s="368"/>
      <c r="O27" s="368"/>
      <c r="P27" s="368"/>
      <c r="Q27" s="368"/>
      <c r="R27" s="368"/>
      <c r="S27" s="368"/>
      <c r="T27" s="368"/>
      <c r="U27" s="368"/>
      <c r="V27" s="368"/>
      <c r="W27" s="325"/>
      <c r="X27" s="2256"/>
      <c r="Z27" s="501"/>
      <c r="AA27" s="501" t="str">
        <f>IF(M27="","",M27)</f>
        <v>Добавить вид теплоносителя (параметры теплоносителя)</v>
      </c>
      <c r="AB27" s="501"/>
      <c r="AC27" s="501"/>
      <c r="AD27" s="1156">
        <v>15</v>
      </c>
    </row>
    <row customHeight="1" ht="15.75">
      <c r="A28" s="1364" t="s">
        <v>255</v>
      </c>
      <c r="B28" s="1364" t="s">
        <v>256</v>
      </c>
      <c r="C28" s="1364" t="s">
        <v>257</v>
      </c>
      <c r="D28" s="1364" t="s">
        <v>258</v>
      </c>
      <c r="E28" s="1364"/>
      <c r="F28" s="2608"/>
      <c r="I28" s="2258"/>
      <c r="J28" s="1292"/>
      <c r="K28" s="357"/>
      <c r="L28" s="1279"/>
      <c r="M28" s="288" t="s">
        <v>542</v>
      </c>
      <c r="N28" s="368"/>
      <c r="O28" s="368"/>
      <c r="P28" s="368"/>
      <c r="Q28" s="368"/>
      <c r="R28" s="368"/>
      <c r="S28" s="368"/>
      <c r="T28" s="368"/>
      <c r="U28" s="368"/>
      <c r="V28" s="367"/>
      <c r="W28" s="368"/>
      <c r="X28" s="304"/>
      <c r="Z28" s="501"/>
      <c r="AA28" s="501" t="str">
        <f>IF(M28="","",M28)</f>
        <v>Добавить группу потребителей</v>
      </c>
      <c r="AB28" s="501"/>
      <c r="AC28" s="501"/>
      <c r="AD28" s="1156">
        <v>15</v>
      </c>
    </row>
    <row customHeight="1" ht="14.699999999999998">
      <c r="A29" s="1364" t="s">
        <v>255</v>
      </c>
      <c r="B29" s="1364" t="s">
        <v>256</v>
      </c>
      <c r="C29" s="1364" t="s">
        <v>257</v>
      </c>
      <c r="D29" s="1364" t="s">
        <v>258</v>
      </c>
      <c r="E29" s="1364"/>
      <c r="F29" s="1366"/>
      <c r="G29" s="1366"/>
      <c r="H29" s="538"/>
      <c r="I29" s="361"/>
      <c r="J29" s="376"/>
      <c r="K29" s="356"/>
      <c r="L29" s="1279"/>
      <c r="M29" s="366" t="s">
        <v>543</v>
      </c>
      <c r="N29" s="368"/>
      <c r="O29" s="368"/>
      <c r="P29" s="368"/>
      <c r="Q29" s="368"/>
      <c r="R29" s="368"/>
      <c r="S29" s="368"/>
      <c r="T29" s="368"/>
      <c r="U29" s="368"/>
      <c r="V29" s="367"/>
      <c r="W29" s="368"/>
      <c r="X29" s="304"/>
      <c r="Z29" s="501"/>
      <c r="AA29" s="501" t="str">
        <f>IF(M29="","",M29)</f>
        <v>Добавить схему подключения</v>
      </c>
      <c r="AB29" s="501"/>
      <c r="AC29" s="501"/>
      <c r="AD29" s="1156">
        <v>14</v>
      </c>
    </row>
    <row customHeight="1" ht="14.699999999999998">
      <c r="A30" s="1364" t="s">
        <v>255</v>
      </c>
      <c r="B30" s="1364" t="s">
        <v>256</v>
      </c>
      <c r="C30" s="1364" t="s">
        <v>257</v>
      </c>
      <c r="D30" s="1364"/>
      <c r="E30" s="1364" t="s">
        <v>717</v>
      </c>
      <c r="F30" s="1366"/>
      <c r="G30" s="1366"/>
      <c r="H30" s="538"/>
      <c r="I30" s="361"/>
      <c r="J30" s="376"/>
      <c r="K30" s="356"/>
      <c r="L30" s="1280"/>
      <c r="M30" s="1269"/>
      <c r="N30" s="1270"/>
      <c r="O30" s="1270"/>
      <c r="P30" s="1270"/>
      <c r="Q30" s="1270"/>
      <c r="R30" s="1270"/>
      <c r="S30" s="1270"/>
      <c r="T30" s="1270"/>
      <c r="U30" s="1270"/>
      <c r="V30" s="1271"/>
      <c r="W30" s="1270"/>
      <c r="X30" s="1272"/>
      <c r="Z30" s="501"/>
      <c r="AA30" s="501" t="str">
        <f>IF(M30="","",M30)</f>
        <v/>
      </c>
      <c r="AB30" s="501"/>
      <c r="AC30" s="501"/>
      <c r="AD30" s="1156">
        <v>14</v>
      </c>
    </row>
    <row customHeight="1" ht="14.699999999999998">
      <c r="A31" s="1364" t="s">
        <v>255</v>
      </c>
      <c r="B31" s="1364" t="s">
        <v>256</v>
      </c>
      <c r="C31" s="1364"/>
      <c r="D31" s="1364"/>
      <c r="E31" s="1364" t="s">
        <v>2363</v>
      </c>
      <c r="F31" s="1518"/>
      <c r="G31" s="1518"/>
      <c r="H31" s="538"/>
      <c r="I31" s="359"/>
      <c r="J31" s="376"/>
      <c r="K31" s="360"/>
      <c r="L31" s="1280"/>
      <c r="M31" s="1273"/>
      <c r="N31" s="1270"/>
      <c r="O31" s="1270"/>
      <c r="P31" s="1270"/>
      <c r="Q31" s="1270"/>
      <c r="R31" s="1270"/>
      <c r="S31" s="1270"/>
      <c r="T31" s="1270"/>
      <c r="U31" s="1270"/>
      <c r="V31" s="1271"/>
      <c r="W31" s="1270"/>
      <c r="X31" s="1272"/>
      <c r="Z31" s="501"/>
      <c r="AA31" s="501" t="str">
        <f>IF(M31="","",M31)</f>
        <v/>
      </c>
      <c r="AB31" s="501"/>
      <c r="AC31" s="501"/>
      <c r="AD31" s="1156">
        <v>14</v>
      </c>
    </row>
    <row customHeight="1" ht="14.699999999999998">
      <c r="A32" s="1364" t="s">
        <v>2364</v>
      </c>
      <c r="B32" s="1364"/>
      <c r="C32" s="1364"/>
      <c r="D32" s="1364"/>
      <c r="E32" s="1364" t="s">
        <v>118</v>
      </c>
      <c r="F32" s="1518"/>
      <c r="G32" s="1518"/>
      <c r="H32" s="538"/>
      <c r="I32" s="361"/>
      <c r="J32" s="376"/>
      <c r="K32" s="356"/>
      <c r="L32" s="1280"/>
      <c r="M32" s="1274"/>
      <c r="N32" s="1270"/>
      <c r="O32" s="1270"/>
      <c r="P32" s="1270"/>
      <c r="Q32" s="1270"/>
      <c r="R32" s="1270"/>
      <c r="S32" s="1270"/>
      <c r="T32" s="1270"/>
      <c r="U32" s="1270"/>
      <c r="V32" s="1271"/>
      <c r="W32" s="1270"/>
      <c r="X32" s="1272"/>
      <c r="Z32" s="501"/>
      <c r="AA32" s="501" t="str">
        <f>IF(M32="","",M32)</f>
        <v/>
      </c>
      <c r="AB32" s="501"/>
      <c r="AC32" s="501"/>
      <c r="AD32" s="1156">
        <v>14</v>
      </c>
    </row>
    <row s="1851" customFormat="1" customHeight="1" ht="11.549999999999999">
      <c r="A33" s="1364"/>
      <c r="B33" s="1364"/>
      <c r="C33" s="1364"/>
      <c r="D33" s="1364"/>
      <c r="E33" s="1364" t="s">
        <v>222</v>
      </c>
      <c r="F33" s="1519"/>
      <c r="G33" s="1520"/>
      <c r="H33" s="538"/>
      <c r="L33" s="1281"/>
      <c r="M33" s="1275"/>
      <c r="N33" s="1270"/>
      <c r="O33" s="1270"/>
      <c r="P33" s="1270"/>
      <c r="Q33" s="1270"/>
      <c r="R33" s="1270"/>
      <c r="S33" s="1270"/>
      <c r="T33" s="1270"/>
      <c r="U33" s="1270"/>
      <c r="V33" s="1271"/>
      <c r="W33" s="1270"/>
      <c r="X33" s="1272"/>
      <c r="Y33" s="380"/>
      <c r="Z33" s="380"/>
      <c r="AA33" s="380"/>
      <c r="AB33" s="380"/>
      <c r="AC33" s="380"/>
      <c r="AD33" s="374">
        <v>11</v>
      </c>
    </row>
    <row customHeight="1" ht="11.549999999999999">
      <c r="F34" s="1161"/>
      <c r="G34" s="1161"/>
      <c r="H34" s="538"/>
      <c r="I34" s="1156"/>
      <c r="J34" s="1156"/>
      <c r="K34" s="1156"/>
      <c r="Y34" s="1156"/>
      <c r="Z34" s="1156"/>
      <c r="AA34" s="1156"/>
      <c r="AB34" s="1156"/>
      <c r="AC34" s="1156"/>
      <c r="AD34" s="1156">
        <v>11</v>
      </c>
    </row>
    <row customHeight="1" ht="28.5">
      <c r="H35" s="538"/>
      <c r="L35" s="1289" t="s">
        <v>934</v>
      </c>
      <c r="M35" s="2286" t="s">
        <v>2365</v>
      </c>
      <c r="N35" s="2286"/>
      <c r="O35" s="2286"/>
      <c r="P35" s="2286"/>
      <c r="Q35" s="2286"/>
      <c r="R35" s="2286"/>
      <c r="S35" s="2286"/>
      <c r="T35" s="2286"/>
      <c r="U35" s="2286"/>
      <c r="V35" s="2286"/>
      <c r="W35" s="2286"/>
      <c r="X35" s="2286"/>
      <c r="AD35" s="1156">
        <v>27</v>
      </c>
    </row>
    <row customHeight="1" ht="109.19999999999999">
      <c r="H36" s="538"/>
      <c r="I36" s="1304"/>
      <c r="M36" s="2286" t="s">
        <v>2366</v>
      </c>
      <c r="N36" s="2286"/>
      <c r="O36" s="2286"/>
      <c r="P36" s="2286"/>
      <c r="Q36" s="2286"/>
      <c r="R36" s="2286"/>
      <c r="S36" s="2286"/>
      <c r="T36" s="2286"/>
      <c r="U36" s="2286"/>
      <c r="V36" s="2286"/>
      <c r="W36" s="2286"/>
      <c r="X36" s="2286"/>
      <c r="AD36" s="1156">
        <v>104</v>
      </c>
    </row>
    <row customHeight="1" ht="14.699999999999998">
      <c r="H37" s="538"/>
      <c r="AD37" s="1156">
        <v>14</v>
      </c>
    </row>
    <row customHeight="1" ht="14.699999999999998">
      <c r="H38" s="538"/>
      <c r="AD38" s="1156">
        <v>14</v>
      </c>
    </row>
    <row customHeight="1" ht="14.699999999999998">
      <c r="H39" s="538"/>
      <c r="AD39" s="1156">
        <v>14</v>
      </c>
    </row>
    <row customHeight="1" ht="14.699999999999998">
      <c r="H40" s="538"/>
      <c r="AD40" s="1156">
        <v>14</v>
      </c>
    </row>
    <row customHeight="1" ht="22.5" hidden="1">
      <c r="A41" s="1161" t="s">
        <v>86</v>
      </c>
      <c r="B41" s="1161">
        <v>0</v>
      </c>
      <c r="C41" s="1161">
        <v>0</v>
      </c>
      <c r="D41" s="1161">
        <v>0</v>
      </c>
      <c r="E41" s="1161">
        <v>0</v>
      </c>
      <c r="F41" s="1363">
        <v>0</v>
      </c>
      <c r="G41" s="1363">
        <v>0</v>
      </c>
      <c r="H41" s="1363">
        <v>0</v>
      </c>
      <c r="I41" s="1287">
        <v>3</v>
      </c>
      <c r="J41" s="345">
        <v>3</v>
      </c>
      <c r="K41" s="345">
        <v>3</v>
      </c>
      <c r="L41" s="582">
        <v>12</v>
      </c>
      <c r="M41" s="1156">
        <v>31</v>
      </c>
      <c r="N41" s="1156">
        <v>1</v>
      </c>
      <c r="O41" s="1156">
        <v>24</v>
      </c>
      <c r="P41" s="1156">
        <v>24</v>
      </c>
      <c r="Q41" s="1156">
        <v>24</v>
      </c>
      <c r="R41" s="1156">
        <v>24</v>
      </c>
      <c r="S41" s="1156">
        <v>11</v>
      </c>
      <c r="T41" s="1156">
        <v>3</v>
      </c>
      <c r="U41" s="1156">
        <v>11</v>
      </c>
      <c r="V41" s="1156">
        <v>8</v>
      </c>
      <c r="W41" s="1156">
        <v>4</v>
      </c>
      <c r="X41" s="1156">
        <v>115</v>
      </c>
      <c r="Y41" s="512">
        <v>10</v>
      </c>
      <c r="Z41" s="512">
        <v>10</v>
      </c>
      <c r="AA41" s="512">
        <v>10</v>
      </c>
      <c r="AB41" s="512">
        <v>10</v>
      </c>
      <c r="AC41" s="512">
        <v>10</v>
      </c>
      <c r="AD41" s="1156">
        <v>23</v>
      </c>
    </row>
  </sheetData>
  <sheetProtection formatColumns="0" formatRows="0" autoFilter="0" sort="0" insertRows="0" insertColumns="1" deleteRows="0" deleteColumns="0"/>
  <mergeCells count="39">
    <mergeCell ref="O19:W19"/>
    <mergeCell ref="O20:W20"/>
    <mergeCell ref="O21:W21"/>
    <mergeCell ref="O22:W22"/>
    <mergeCell ref="F23:F28"/>
    <mergeCell ref="I23:I28"/>
    <mergeCell ref="O23:W23"/>
    <mergeCell ref="G24:G27"/>
    <mergeCell ref="J24:J27"/>
    <mergeCell ref="O24:W24"/>
    <mergeCell ref="O11:U11"/>
    <mergeCell ref="L12:M12"/>
    <mergeCell ref="O13:V13"/>
    <mergeCell ref="L14:W14"/>
    <mergeCell ref="T18:U18"/>
    <mergeCell ref="L5:U5"/>
    <mergeCell ref="L6:U6"/>
    <mergeCell ref="O8:U8"/>
    <mergeCell ref="O9:U9"/>
    <mergeCell ref="O10:U10"/>
    <mergeCell ref="X14:X17"/>
    <mergeCell ref="L15:L17"/>
    <mergeCell ref="M15:M17"/>
    <mergeCell ref="O15:U15"/>
    <mergeCell ref="V15:V17"/>
    <mergeCell ref="W15:W17"/>
    <mergeCell ref="O16:O17"/>
    <mergeCell ref="P16:P17"/>
    <mergeCell ref="Q16:R16"/>
    <mergeCell ref="S16:U16"/>
    <mergeCell ref="T17:U17"/>
    <mergeCell ref="X25:X27"/>
    <mergeCell ref="M35:X35"/>
    <mergeCell ref="M36:X36"/>
    <mergeCell ref="H25:H26"/>
    <mergeCell ref="S25:S26"/>
    <mergeCell ref="T25:T26"/>
    <mergeCell ref="U25:U26"/>
    <mergeCell ref="V25:V26"/>
  </mergeCells>
  <dataValidations count="8">
    <dataValidation allowBlank="1" sqref="L131099:X131105 L196635:X196641 L262171:X262177 L327707:X327713 L393243:X393249 L458779:X458785 L524315:X524321 L589851:X589857 L655387:X655393 L720923:X720929 L786459:X786465 L851995:X852001 L917531:X917537 L983067:X983073 L65563:X65569"/>
    <dataValidation allowBlank="1" promptTitle="checkPeriodRange" sqref="R26 R65562 R131098 R196634 R262170 R327706 R393242 R458778 R524314 R589850 R655386 R720922 R786458 R851994 R917530 R983066"/>
    <dataValidation allowBlank="1" showInputMessage="1" showErrorMessage="1" prompt="Для выбора выполните двойной щелчок левой клавиши мыши по соответствующей ячейке." sqref="T65561 T131097 T196633 T262169 T327705 T393241 T458777 T524313 T589849 T655385 T720921 T786457 T851993 T917529 T983065 V589849 V655385 V720921 V786457 V851993 V917529 V983065 V65561 V131097 V458777 V196633 V262169 V327705 V393241 V25 T25 V524313"/>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S65561 S131097 S196633 S262169 S327705 S393241 S458777 S524313 S589849 S655385 S720921 S786457 S851993 S917529 S983065 U65561 U131097 U196633 U262169 U327705 U393241 U458777 U524313 U589849 U655385 U720921 U786457 U851993 U917529 U983065 U25 S25"/>
    <dataValidation type="list" allowBlank="1" showInputMessage="1" showErrorMessage="1" errorTitle="Ошибка" error="Выберите значение из списка" sqref="M65561 M131097 M196633 M262169 M327705 M393241 M458777 M524313 M589849 M655385 M720921 M786457 M851993 M917529 M983065">
      <formula1>kind_of_heat_transfer</formula1>
    </dataValidation>
    <dataValidation type="list" allowBlank="1" showInputMessage="1" errorTitle="Ошибка" error="Выберите значение из списка" prompt="Выберите значение из списка" sqref="O983064:W983064 O65560:W65560 O131096:W131096 O196632:W196632 O262168:W262168 O327704:W327704 O393240:W393240 O458776:W458776 O524312:W524312 O589848:W589848 O655384:W655384 O720920:W720920 O786456:W786456 O851992:W851992 O917528:W917528">
      <formula1>kind_of_cons</formula1>
    </dataValidation>
    <dataValidation type="textLength" operator="lessThanOrEqual" allowBlank="1" showInputMessage="1" showErrorMessage="1" errorTitle="Ошибка" error="Допускается ввод не более 900 символов!" sqref="X65555:X65562 X131091:X131098 X196627:X196634 X262163:X262170 X327699:X327706 X393235:X393242 X458771:X458778 X524307:X524314 X589843:X589850 X655379:X655386 X720915:X720922 X786451:X786458 X851987:X851994 X917523:X917530 X983059:X983066">
      <formula1>900</formula1>
    </dataValidation>
    <dataValidation type="list" allowBlank="1" showInputMessage="1" showErrorMessage="1" errorTitle="Ошибка" error="Выберите значение из списка" sqref="O983063:P983063 O65559:P65559 O131095:P131095 O196631:P196631 O262167:P262167 O327703:P327703 O393239:P393239 O458775:P458775 O524311:P524311 O589847:P589847 O655383:P655383 O720919:P720919 O786455:P786455 O851991:P851991 O917527:P917527">
      <formula1>kind_of_scheme_in</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96E3838-29CC-DE08-154D-62987072E528}"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2C83818-7078-8608-2438-F1F8DB47A385}"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F98A965-D915-AC48-F14D-08C13E33C005}"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6344CCD-D127-6368-1378-8E2284167748}"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9CE2BC8-1D88-56C8-985D-EC9A812BB248}"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23CA0B8-8D99-B978-A769-51D2FA61FDE8}" mc:Ignorable="x14ac xr xr2 xr3">
  <sheetPr>
    <tabColor theme="3" tint="0.6"/>
  </sheetPr>
  <dimension ref="A1:J60"/>
  <sheetViews>
    <sheetView showGridLines="0" zoomScale="90" workbookViewId="0">
      <pane xSplit="5" ySplit="12" topLeftCell="F13" activePane="bottomRight" state="frozen"/>
      <selection pane="bottomLeft" activeCell="A13" sqref="A13"/>
      <selection pane="topRight" activeCell="F1" sqref="F1"/>
      <selection pane="bottomRight" activeCell="A1" sqref="A1"/>
    </sheetView>
  </sheetViews>
  <sheetFormatPr defaultColWidth="9.140625" customHeight="1" defaultRowHeight="11.25"/>
  <cols>
    <col min="1" max="1" style="1687" width="15.00390625" hidden="1" customWidth="1"/>
    <col min="2" max="2" style="502" width="15.00390625" hidden="1" customWidth="1"/>
    <col min="3" max="3" style="456" width="3.00390625" customWidth="1"/>
    <col min="4" max="4" style="457" width="6.00390625" customWidth="1"/>
    <col min="5" max="5" style="456" width="52.00390625" customWidth="1"/>
    <col min="6" max="6" style="456" width="48.00390625" customWidth="1"/>
    <col min="7" max="7" style="456" width="121.00390625" customWidth="1"/>
    <col min="8" max="8" style="456" width="8.00390625" customWidth="1"/>
    <col min="9" max="9" style="456" width="64.00390625" customWidth="1"/>
    <col min="10" max="10" style="456" width="9.140625" hidden="1"/>
  </cols>
  <sheetData>
    <row customHeight="1" ht="11.25" hidden="1">
      <c r="A1" s="1687" t="s">
        <v>429</v>
      </c>
      <c r="J1" s="456" t="s">
        <v>14</v>
      </c>
    </row>
    <row customHeight="1" ht="11.25" hidden="1">
      <c r="J2" s="456">
        <v>0</v>
      </c>
    </row>
    <row s="478" customFormat="1" customHeight="1" ht="11.549999999999999">
      <c r="A3" s="1687"/>
      <c r="B3" s="502"/>
      <c r="D3" s="479"/>
      <c r="J3" s="478">
        <v>11</v>
      </c>
    </row>
    <row customHeight="1" ht="27.299999999999997">
      <c r="D4" s="2158" t="str">
        <f>ORG_INFO_NAME_FORM</f>
        <v>Форма 1. Информация о единых теплоснабжающих организациях в системе теплоснабжения,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не отнесенных к ценовым зонам теплоснабжения, и в поселениях и городских округах, отнесенных к ценовым зонам теплоснабжения в соответствии с Федеральным законом от 27 июля 2010 г. N 190-ФЗ "О теплоснабжении", до окончания переходного периода в ценовых зонах теплоснабжения (далее - регулируемые организации); о единых теплоснабжающих организациях,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отнесенных к ценовым зонам теплоснабжения в соответствии с Федеральным законом от 27 июля 2010 г. N 190-ФЗ "О теплоснабжении", после окончания переходного периода в ценовых зонах теплоснабжения (далее соответственно - единые теплоснабжающие организации в ценовых зонах теплоснабжения, теплоснабжающие организации в ценовых зонах теплоснабжения и теплосетевые организации в ценовых зонах теплоснабжения) (общая информация)</v>
      </c>
      <c r="E4" s="2159"/>
      <c r="F4" s="2160"/>
      <c r="I4" s="716"/>
      <c r="J4" s="456">
        <v>26</v>
      </c>
    </row>
    <row customHeight="1" ht="18">
      <c r="D5" s="2177" t="str">
        <f>IF(org=0,"Не определено",org)</f>
        <v>ПАО "ТГК-1" (филиал "Кольский")</v>
      </c>
      <c r="E5" s="2177"/>
      <c r="F5" s="2177"/>
      <c r="I5" s="716"/>
      <c r="J5" s="456">
        <v>17</v>
      </c>
    </row>
    <row s="478" customFormat="1" customHeight="1" ht="11.549999999999999">
      <c r="A6" s="1687"/>
      <c r="B6" s="502"/>
      <c r="D6" s="715"/>
      <c r="E6" s="715"/>
      <c r="F6" s="753"/>
      <c r="G6" s="715"/>
      <c r="J6" s="478">
        <v>11</v>
      </c>
    </row>
    <row customHeight="1" ht="11.25" hidden="1">
      <c r="A7" s="458"/>
      <c r="B7" s="503"/>
      <c r="C7" s="458"/>
      <c r="D7" s="464"/>
      <c r="E7" s="2208"/>
      <c r="F7" s="2208"/>
      <c r="J7" s="456">
        <v>0</v>
      </c>
    </row>
    <row customHeight="1" ht="11.549999999999999">
      <c r="A8" s="458"/>
      <c r="B8" s="503"/>
      <c r="C8" s="458"/>
      <c r="D8" s="2205" t="s">
        <v>430</v>
      </c>
      <c r="E8" s="2206"/>
      <c r="F8" s="2206"/>
      <c r="G8" s="2209" t="s">
        <v>431</v>
      </c>
      <c r="J8" s="456">
        <v>11</v>
      </c>
    </row>
    <row customHeight="1" ht="11.549999999999999">
      <c r="A9" s="458"/>
      <c r="B9" s="503"/>
      <c r="C9" s="458"/>
      <c r="D9" s="473" t="s">
        <v>92</v>
      </c>
      <c r="E9" s="447" t="s">
        <v>432</v>
      </c>
      <c r="F9" s="447" t="s">
        <v>433</v>
      </c>
      <c r="G9" s="2210"/>
      <c r="J9" s="456">
        <v>11</v>
      </c>
    </row>
    <row customHeight="1" ht="12" hidden="1">
      <c r="A10" s="458"/>
      <c r="B10" s="503"/>
      <c r="C10" s="458"/>
      <c r="D10" s="465"/>
      <c r="E10" s="465"/>
      <c r="F10" s="465"/>
      <c r="G10" s="465"/>
      <c r="J10" s="456">
        <v>0</v>
      </c>
    </row>
    <row customHeight="1" ht="22.5" hidden="1">
      <c r="A11" s="458"/>
      <c r="B11" s="503"/>
      <c r="C11" s="458"/>
      <c r="D11" s="1010" t="s">
        <v>123</v>
      </c>
      <c r="E11" s="1013" t="s">
        <v>434</v>
      </c>
      <c r="F11" s="1012" t="str">
        <f>IF(region_name="","",region_name)</f>
        <v>Мурманская область</v>
      </c>
      <c r="G11" s="1013" t="s">
        <v>435</v>
      </c>
      <c r="H11" s="476"/>
      <c r="J11" s="456">
        <v>0</v>
      </c>
    </row>
    <row customHeight="1" ht="22.5" hidden="1">
      <c r="A12" s="458"/>
      <c r="B12" s="503"/>
      <c r="C12" s="458"/>
      <c r="D12" s="446" t="s">
        <v>123</v>
      </c>
      <c r="E12" s="445" t="str">
        <f>IF(TEMPLATE_SPHERE="TKO","Данные об организации (индивидуальном предпринимателе)","Данные о регулируемой организации"&amp;IF(TEMPLATE_SPHERE="HEAT",", о единой теплоснабжающей организации в ценовых зонах теплоснабжения, о теплоснабжающей организации в ценовых зонах теплоснабжения и теплосетевой организации в ценовых зонах теплоснабжения ",""))</f>
        <v>Данные о регулируемой организации, о единой теплоснабжающей организации в ценовых зонах теплоснабжения, о теплоснабжающей организации в ценовых зонах теплоснабжения и теплосетевой организации в ценовых зонах теплоснабжения </v>
      </c>
      <c r="F12" s="444" t="s">
        <v>436</v>
      </c>
      <c r="G12" s="475"/>
      <c r="H12" s="476"/>
      <c r="J12" s="456">
        <v>0</v>
      </c>
    </row>
    <row customHeight="1" ht="23.25">
      <c r="A13" s="458"/>
      <c r="B13" s="503"/>
      <c r="C13" s="458"/>
      <c r="D13" s="446" t="s">
        <v>123</v>
      </c>
      <c r="E13" s="443" t="str">
        <f>"Наименование юридического лица"&amp;IF(TEMPLATE_SPHERE="TKO"," (индивидуального предпринимателя)","")</f>
        <v>Наименование юридического лица</v>
      </c>
      <c r="F13" s="442"/>
      <c r="G13" s="445" t="str">
        <f>"Наименование юридического лица"&amp;IF(TEMPLATE_SPHERE="HEAT"," (согласно уставу регулируемой организации)"," указывается согласно уставу "&amp;IF(TEMPLATE_SPHERE="TKO","организации. Наименование индивидуального предпринимателя указывается согласно сведениям из ЕГРИП.","регулируемой организации."))</f>
        <v>Наименование юридического лица (согласно уставу регулируемой организации)</v>
      </c>
      <c r="H13" s="476"/>
      <c r="J13" s="456">
        <v>22</v>
      </c>
    </row>
    <row customHeight="1" ht="22.5" hidden="1">
      <c r="A14" s="458"/>
      <c r="B14" s="503"/>
      <c r="C14" s="458"/>
      <c r="D14" s="1010" t="s">
        <v>437</v>
      </c>
      <c r="E14" s="1011" t="s">
        <v>438</v>
      </c>
      <c r="F14" s="1012" t="str">
        <f>IF(inn="","",inn)</f>
        <v>7841312071</v>
      </c>
      <c r="G14" s="1013" t="s">
        <v>439</v>
      </c>
      <c r="H14" s="476"/>
      <c r="J14" s="456">
        <v>0</v>
      </c>
    </row>
    <row customHeight="1" ht="22.5" hidden="1">
      <c r="A15" s="458"/>
      <c r="B15" s="503"/>
      <c r="C15" s="458"/>
      <c r="D15" s="1010" t="s">
        <v>440</v>
      </c>
      <c r="E15" s="1011" t="s">
        <v>441</v>
      </c>
      <c r="F15" s="1012" t="str">
        <f>IF(kpp="","",kpp)</f>
        <v>519001001</v>
      </c>
      <c r="G15" s="1013" t="s">
        <v>442</v>
      </c>
      <c r="H15" s="476"/>
      <c r="J15" s="456">
        <v>0</v>
      </c>
    </row>
    <row customHeight="1" ht="39">
      <c r="A16" s="458"/>
      <c r="B16" s="503"/>
      <c r="C16" s="458"/>
      <c r="D16" s="446" t="s">
        <v>107</v>
      </c>
      <c r="E16" s="443" t="str">
        <f>"Основной государственный регистрационный номер (ОГРН)"&amp;IF(TEMPLATE_SPHERE="TKO",""," (основной государственный регистрационный номер индивидуального предпринимателя (ОГРНИП)")</f>
        <v>Основной государственный регистрационный номер (ОГРН) (основной государственный регистрационный номер индивидуального предпринимателя (ОГРНИП)</v>
      </c>
      <c r="F16" s="442"/>
      <c r="G16" s="445" t="str">
        <f>"Указывается основной государственный регистрационный номер юридического лица"&amp;IF(TEMPLATE_SPHERE="TKO",""," (индивидуального предпринимателя)")&amp;"."</f>
        <v>Указывается основной государственный регистрационный номер юридического лица (индивидуального предпринимателя).</v>
      </c>
      <c r="H16" s="476"/>
      <c r="J16" s="456">
        <v>37</v>
      </c>
    </row>
    <row customHeight="1" ht="23.25">
      <c r="A17" s="458"/>
      <c r="B17" s="503"/>
      <c r="C17" s="458"/>
      <c r="D17" s="446" t="s">
        <v>94</v>
      </c>
      <c r="E17" s="443" t="str">
        <f>"Дата присвоения ОГРН"&amp;IF(TEMPLATE_SPHERE="TKO",""," (ОГРНИП)")</f>
        <v>Дата присвоения ОГРН (ОГРНИП)</v>
      </c>
      <c r="F17" s="1733" t="s">
        <v>28</v>
      </c>
      <c r="G17" s="445" t="str">
        <f>"Дата присвоения ОГРН"&amp;IF(TEMPLATE_SPHERE="TKO",""," (ОГРНИП)")&amp;" указывается в виде «ДД.ММ.ГГГГ»."</f>
        <v>Дата присвоения ОГРН (ОГРНИП) указывается в виде «ДД.ММ.ГГГГ».</v>
      </c>
      <c r="H17" s="476"/>
      <c r="J17" s="456">
        <v>22</v>
      </c>
    </row>
    <row customHeight="1" ht="71.25">
      <c r="A18" s="458"/>
      <c r="B18" s="503"/>
      <c r="C18" s="458"/>
      <c r="D18" s="446" t="s">
        <v>95</v>
      </c>
      <c r="E18" s="443" t="str">
        <f>"Наименование органа, принявшего решение о "&amp;IF(TEMPLATE_SPHERE="TKO","государственной регистрации организации ","регистрации в соответствии со свидетельством о государственной регистрации")&amp;" в качестве юридического лица (о государственной регистрации физического лица в качестве индивидуального предпринимателя)"</f>
        <v>Наименование органа, принявшего решение о регистрации в соответствии со свидетельством о государственной регистрации в качестве юридического лица (о государственной регистрации физического лица в качестве индивидуального предпринимателя)</v>
      </c>
      <c r="F18" s="442"/>
      <c r="G18" s="475"/>
      <c r="H18" s="476"/>
      <c r="J18" s="456">
        <v>68</v>
      </c>
    </row>
    <row customHeight="1" ht="22.5">
      <c r="A19" s="2203" t="s">
        <v>443</v>
      </c>
      <c r="B19" s="503"/>
      <c r="C19" s="2214"/>
      <c r="D19" s="446" t="str">
        <f>A19</f>
        <v>5.1</v>
      </c>
      <c r="E19" s="443" t="s">
        <v>444</v>
      </c>
      <c r="F19" s="444" t="s">
        <v>436</v>
      </c>
      <c r="G19" s="445" t="s">
        <v>445</v>
      </c>
      <c r="H19" s="476"/>
      <c r="I19" s="853"/>
      <c r="J19" s="456">
        <v>0</v>
      </c>
    </row>
    <row customHeight="1" ht="24">
      <c r="A20" s="2203"/>
      <c r="B20" s="503"/>
      <c r="C20" s="2214"/>
      <c r="D20" s="441" t="str">
        <f>D19&amp;".1"</f>
        <v>5.1.1</v>
      </c>
      <c r="E20" s="440" t="s">
        <v>446</v>
      </c>
      <c r="F20" s="2840" t="s">
        <v>28</v>
      </c>
      <c r="G20" s="475"/>
      <c r="H20" s="476"/>
      <c r="I20" s="853"/>
      <c r="J20" s="456">
        <v>0</v>
      </c>
    </row>
    <row customHeight="1" ht="22.5">
      <c r="A21" s="2203"/>
      <c r="B21" s="503"/>
      <c r="C21" s="2214"/>
      <c r="D21" s="441" t="str">
        <f>D19&amp;".2"</f>
        <v>5.1.2</v>
      </c>
      <c r="E21" s="440" t="s">
        <v>447</v>
      </c>
      <c r="F21" s="2630" t="s">
        <v>28</v>
      </c>
      <c r="G21" s="445" t="s">
        <v>448</v>
      </c>
      <c r="H21" s="476"/>
      <c r="I21" s="853"/>
      <c r="J21" s="456">
        <v>0</v>
      </c>
    </row>
    <row customHeight="1" ht="22.5">
      <c r="A22" s="2203"/>
      <c r="B22" s="503"/>
      <c r="C22" s="2214"/>
      <c r="D22" s="441" t="str">
        <f>D19&amp;".3"</f>
        <v>5.1.3</v>
      </c>
      <c r="E22" s="440" t="s">
        <v>449</v>
      </c>
      <c r="F22" s="2840" t="s">
        <v>28</v>
      </c>
      <c r="G22" s="475"/>
      <c r="H22" s="476"/>
      <c r="I22" s="853"/>
      <c r="J22" s="456">
        <v>0</v>
      </c>
    </row>
    <row customHeight="1" ht="22.5">
      <c r="A23" s="2203"/>
      <c r="B23" s="503"/>
      <c r="C23" s="2214"/>
      <c r="D23" s="441" t="str">
        <f>D19&amp;".4"</f>
        <v>5.1.4</v>
      </c>
      <c r="E23" s="440" t="s">
        <v>450</v>
      </c>
      <c r="F23" s="2840" t="s">
        <v>28</v>
      </c>
      <c r="G23" s="445" t="s">
        <v>451</v>
      </c>
      <c r="H23" s="476"/>
      <c r="I23" s="853"/>
      <c r="J23" s="456">
        <v>0</v>
      </c>
    </row>
    <row customHeight="1" ht="22.5">
      <c r="A24" s="1979"/>
      <c r="B24" s="503"/>
      <c r="C24" s="493"/>
      <c r="D24" s="468"/>
      <c r="E24" s="1169" t="s">
        <v>452</v>
      </c>
      <c r="F24" s="469"/>
      <c r="G24" s="470"/>
      <c r="H24" s="476"/>
      <c r="I24" s="853"/>
      <c r="J24" s="456">
        <v>0</v>
      </c>
    </row>
    <row s="502" customFormat="1" customHeight="1" ht="24.75" hidden="1">
      <c r="A25" s="458"/>
      <c r="B25" s="503"/>
      <c r="C25" s="503"/>
      <c r="D25" s="1007" t="s">
        <v>94</v>
      </c>
      <c r="E25" s="1009" t="s">
        <v>453</v>
      </c>
      <c r="F25" s="1014" t="s">
        <v>436</v>
      </c>
      <c r="G25" s="1009"/>
      <c r="J25" s="502">
        <v>0</v>
      </c>
    </row>
    <row s="502" customFormat="1" customHeight="1" ht="11.25" hidden="1">
      <c r="A26" s="458"/>
      <c r="B26" s="503"/>
      <c r="C26" s="503"/>
      <c r="D26" s="1007" t="s">
        <v>454</v>
      </c>
      <c r="E26" s="1008" t="s">
        <v>455</v>
      </c>
      <c r="F26" s="1014" t="s">
        <v>436</v>
      </c>
      <c r="G26" s="1009"/>
      <c r="J26" s="502">
        <v>0</v>
      </c>
    </row>
    <row s="502" customFormat="1" customHeight="1" ht="11.25" hidden="1">
      <c r="A27" s="458"/>
      <c r="B27" s="503"/>
      <c r="C27" s="503"/>
      <c r="D27" s="1007" t="s">
        <v>456</v>
      </c>
      <c r="E27" s="1015" t="s">
        <v>457</v>
      </c>
      <c r="F27" s="1016"/>
      <c r="G27" s="1009" t="str">
        <f>"Указывается фамилия должностного лица"&amp;IF(TEMPLATE_SPHERE="HEAT"," регулируемой","")&amp;" организации"&amp;IF(TEMPLATE_SPHERE="HEAT",""," "&amp;TEMPLATE_SPHERE_RUS)&amp;", ответственного за размещение данных, в соответствии с паспортными данными физического лица."</f>
        <v>Указывается фамилия должностного лица регулируемой организации, ответственного за размещение данных, в соответствии с паспортными данными физического лица.</v>
      </c>
      <c r="J27" s="502">
        <v>0</v>
      </c>
    </row>
    <row s="502" customFormat="1" customHeight="1" ht="11.25" hidden="1">
      <c r="A28" s="458"/>
      <c r="B28" s="503"/>
      <c r="C28" s="503"/>
      <c r="D28" s="1007" t="s">
        <v>458</v>
      </c>
      <c r="E28" s="1015" t="s">
        <v>459</v>
      </c>
      <c r="F28" s="1016"/>
      <c r="G28" s="1009" t="str">
        <f>"Указывается имя должностного лица"&amp;IF(TEMPLATE_SPHERE="HEAT"," регулируемой","")&amp;" организации"&amp;IF(TEMPLATE_SPHERE="HEAT",""," "&amp;TEMPLATE_SPHERE_RUS)&amp;", ответственного за размещение данных, в соответствии с паспортными данными физического лица."</f>
        <v>Указывается имя должностного лица регулируемой организации, ответственного за размещение данных, в соответствии с паспортными данными физического лица.</v>
      </c>
      <c r="J28" s="502">
        <v>0</v>
      </c>
    </row>
    <row s="502" customFormat="1" customHeight="1" ht="11.25" hidden="1">
      <c r="A29" s="458"/>
      <c r="B29" s="503"/>
      <c r="C29" s="503"/>
      <c r="D29" s="1007" t="s">
        <v>460</v>
      </c>
      <c r="E29" s="1015" t="s">
        <v>461</v>
      </c>
      <c r="F29" s="1016"/>
      <c r="G29" s="1009" t="str">
        <f>"Указывается отчество должностного лица"&amp;IF(TEMPLATE_SPHERE="HEAT"," регулируемой","")&amp;" организации"&amp;IF(TEMPLATE_SPHERE="HEAT",""," "&amp;TEMPLATE_SPHERE_RUS)&amp;", ответственного за размещение данных, в соответствии с паспортными данными физического лица (при наличии)."</f>
        <v>Указывается отчество должностного лица регулируемой организации, ответственного за размещение данных, в соответствии с паспортными данными физического лица (при наличии).</v>
      </c>
      <c r="J29" s="502">
        <v>0</v>
      </c>
    </row>
    <row s="502" customFormat="1" customHeight="1" ht="11.25" hidden="1">
      <c r="A30" s="458"/>
      <c r="B30" s="503"/>
      <c r="C30" s="503"/>
      <c r="D30" s="1007" t="s">
        <v>462</v>
      </c>
      <c r="E30" s="1008" t="s">
        <v>463</v>
      </c>
      <c r="F30" s="1016"/>
      <c r="G30" s="1009"/>
      <c r="J30" s="502">
        <v>0</v>
      </c>
    </row>
    <row s="502" customFormat="1" customHeight="1" ht="11.25" hidden="1">
      <c r="A31" s="458"/>
      <c r="B31" s="503"/>
      <c r="C31" s="503"/>
      <c r="D31" s="1007" t="s">
        <v>464</v>
      </c>
      <c r="E31" s="1008" t="s">
        <v>465</v>
      </c>
      <c r="F31" s="1016"/>
      <c r="G31" s="1009"/>
      <c r="J31" s="502">
        <v>0</v>
      </c>
    </row>
    <row s="502" customFormat="1" customHeight="1" ht="11.25" hidden="1">
      <c r="A32" s="458"/>
      <c r="B32" s="503"/>
      <c r="C32" s="503"/>
      <c r="D32" s="1007" t="s">
        <v>466</v>
      </c>
      <c r="E32" s="1008" t="s">
        <v>467</v>
      </c>
      <c r="F32" s="1017"/>
      <c r="G32" s="1009"/>
      <c r="J32" s="502">
        <v>0</v>
      </c>
    </row>
    <row customHeight="1" ht="24">
      <c r="A33" s="458" t="str">
        <f>IF(TEMPLATE_SPHERE="HEAT","6","5")</f>
        <v>6</v>
      </c>
      <c r="B33" s="503"/>
      <c r="C33" s="458"/>
      <c r="D33" s="441" t="str">
        <f>A33</f>
        <v>6</v>
      </c>
      <c r="E33" s="439" t="str">
        <f>"Фамилия, имя и отчество руководителя"&amp;IF(TEMPLATE_SPHERE="HEAT"," регулируемой организации, ЕТО, ТО ",IF(TEMPLATE_SPHERE&lt;&gt;"TKO"," регулируемой организации"," организации"))&amp;IF(TEMPLATE_SPHERE&lt;&gt;"TKO"," (индивидуального предпринимателя)","")&amp;":"</f>
        <v>Фамилия, имя и отчество руководителя регулируемой организации, ЕТО, ТО  (индивидуального предпринимателя):</v>
      </c>
      <c r="F33" s="444" t="s">
        <v>436</v>
      </c>
      <c r="G33" s="475"/>
      <c r="H33" s="476"/>
      <c r="J33" s="456">
        <v>23</v>
      </c>
    </row>
    <row customHeight="1" ht="23.25">
      <c r="A34" s="458"/>
      <c r="B34" s="503"/>
      <c r="C34" s="458"/>
      <c r="D34" s="441" t="str">
        <f>D33&amp;".1"</f>
        <v>6.1</v>
      </c>
      <c r="E34" s="443" t="str">
        <f>"фамилия"&amp;IF(TEMPLATE_SPHERE&lt;&gt;"HEAT"," руководителя","")</f>
        <v>фамилия</v>
      </c>
      <c r="F34" s="442"/>
      <c r="G34" s="445" t="str">
        <f>"Указывается фамилия руководителя"&amp;IF(TEMPLATE_SPHERE&lt;&gt;"TKO"," регулируемой организации"&amp;IF(TEMPLATE_SPHERE="HEAT",", ЕТО, ТО","")," организации")&amp;" в соответствии с паспортными данными физического лица."</f>
        <v>Указывается фамилия руководителя регулируемой организации, ЕТО, ТО в соответствии с паспортными данными физического лица.</v>
      </c>
      <c r="H34" s="476"/>
      <c r="J34" s="456">
        <v>22</v>
      </c>
    </row>
    <row customHeight="1" ht="23.25">
      <c r="A35" s="458"/>
      <c r="B35" s="503"/>
      <c r="C35" s="458"/>
      <c r="D35" s="441" t="str">
        <f>D33&amp;".2"</f>
        <v>6.2</v>
      </c>
      <c r="E35" s="443" t="str">
        <f>"имя"&amp;IF(TEMPLATE_SPHERE&lt;&gt;"HEAT"," руководителя","")</f>
        <v>имя</v>
      </c>
      <c r="F35" s="442"/>
      <c r="G35" s="445" t="str">
        <f>"Указывается имя руководителя"&amp;IF(TEMPLATE_SPHERE&lt;&gt;"TKO"," регулируемой организации"&amp;IF(TEMPLATE_SPHERE="HEAT",", ЕТО, ТО","")," организации")&amp;" в соответствии с паспортными данными физического лица."</f>
        <v>Указывается имя руководителя регулируемой организации, ЕТО, ТО в соответствии с паспортными данными физического лица.</v>
      </c>
      <c r="H35" s="476"/>
      <c r="J35" s="456">
        <v>22</v>
      </c>
    </row>
    <row customHeight="1" ht="24">
      <c r="A36" s="458"/>
      <c r="B36" s="503"/>
      <c r="C36" s="458"/>
      <c r="D36" s="441" t="str">
        <f>D33&amp;".3"</f>
        <v>6.3</v>
      </c>
      <c r="E36" s="443" t="str">
        <f>"отчество"&amp;IF(TEMPLATE_SPHERE&lt;&gt;"HEAT"," руководителя","")</f>
        <v>отчество</v>
      </c>
      <c r="F36" s="699"/>
      <c r="G36" s="445" t="str">
        <f>"Указывается отчество руководителя"&amp;IF(TEMPLATE_SPHERE&lt;&gt;"TKO"," регулируемой организации"&amp;IF(TEMPLATE_SPHERE="HEAT",", ЕТО, ТО","")," организации")&amp;" в соответствии с паспортными данными физического лица (при наличии)."</f>
        <v>Указывается отчество руководителя регулируемой организации, ЕТО, ТО в соответствии с паспортными данными физического лица (при наличии).</v>
      </c>
      <c r="H36" s="476"/>
      <c r="J36" s="456">
        <v>23</v>
      </c>
    </row>
    <row customHeight="1" ht="35.699999999999996">
      <c r="A37" s="458"/>
      <c r="B37" s="503"/>
      <c r="C37" s="458"/>
      <c r="D37" s="441">
        <f>D33+1</f>
        <v>7</v>
      </c>
      <c r="E37" s="439" t="str">
        <f>"Почтовый адрес органов управления"&amp;IF(TEMPLATE_SPHERE&lt;&gt;"TKO"," регулируемой","")&amp;" организации"&amp;IF(TEMPLATE_SPHERE="HEAT",", ЕТО, ТО","")</f>
        <v>Почтовый адрес органов управления регулируемой организации, ЕТО, ТО</v>
      </c>
      <c r="F37" s="442"/>
      <c r="G37" s="445" t="s">
        <v>468</v>
      </c>
      <c r="H37" s="476"/>
      <c r="J37" s="456">
        <v>34</v>
      </c>
    </row>
    <row customHeight="1" ht="35.699999999999996">
      <c r="A38" s="458"/>
      <c r="B38" s="503"/>
      <c r="C38" s="458"/>
      <c r="D38" s="441">
        <f>D37+1</f>
        <v>8</v>
      </c>
      <c r="E38" s="439" t="str">
        <f>"Адрес места нахождения органов управления"&amp;IF(TEMPLATE_SPHERE&lt;&gt;"TKO"," регулируемой","")&amp;" организации"&amp;IF(TEMPLATE_SPHERE="HEAT",", ЕТО, ТО","")</f>
        <v>Адрес места нахождения органов управления регулируемой организации, ЕТО, ТО</v>
      </c>
      <c r="F38" s="442"/>
      <c r="G38" s="445" t="s">
        <v>468</v>
      </c>
      <c r="H38" s="476"/>
      <c r="J38" s="456">
        <v>34</v>
      </c>
    </row>
    <row customHeight="1" ht="23.25">
      <c r="A39" s="458"/>
      <c r="B39" s="503"/>
      <c r="C39" s="458"/>
      <c r="D39" s="441">
        <f>D38+1</f>
        <v>9</v>
      </c>
      <c r="E39" s="438" t="str">
        <f>"Контактные телефоны "&amp;IF(TEMPLATE_SPHERE="TKO","","регулируемой ")&amp;"организации"&amp;IF(TEMPLATE_SPHERE="HEAT",", ЕТО, ТО",IF(TEMPLATE_SPHERE="TKO"," (индивидуального предпринимателя)",""))</f>
        <v>Контактные телефоны регулируемой организации, ЕТО, ТО</v>
      </c>
      <c r="F39" s="444" t="s">
        <v>436</v>
      </c>
      <c r="G39" s="2211" t="str">
        <f>"Указывается номер контактного телефона"&amp;IF(TEMPLATE_SPHERE&lt;&gt;"TKO"," регулируемой","")&amp;" организации.
В случае наличия нескольких номеров телефонов, информация по каждому из них указывается в отдельной строке."</f>
        <v>Указывается номер контактного телефона регулируемой организации.
В случае наличия нескольких номеров телефонов, информация по каждому из них указывается в отдельной строке.</v>
      </c>
      <c r="H39" s="476"/>
      <c r="J39" s="456">
        <v>22</v>
      </c>
    </row>
    <row customHeight="1" ht="22.5" hidden="1">
      <c r="A40" s="458"/>
      <c r="B40" s="503"/>
      <c r="C40" s="458"/>
      <c r="D40" s="441" t="str">
        <f>D39&amp;".0"</f>
        <v>9.0</v>
      </c>
      <c r="E40" s="1606"/>
      <c r="F40" s="882"/>
      <c r="G40" s="2212"/>
      <c r="H40" s="476"/>
      <c r="J40" s="456">
        <v>0</v>
      </c>
    </row>
    <row customHeight="1" ht="23.25">
      <c r="A41" s="458"/>
      <c r="B41" s="458"/>
      <c r="C41" s="1689"/>
      <c r="D41" s="441" t="str">
        <f>D39&amp;".1"</f>
        <v>9.1</v>
      </c>
      <c r="E41" s="861"/>
      <c r="F41" s="862"/>
      <c r="G41" s="2212"/>
      <c r="H41" s="476"/>
      <c r="J41" s="456">
        <v>22</v>
      </c>
    </row>
    <row customHeight="1" ht="15.75">
      <c r="A42" s="458"/>
      <c r="B42" s="503"/>
      <c r="C42" s="458"/>
      <c r="D42" s="468"/>
      <c r="E42" s="416" t="s">
        <v>469</v>
      </c>
      <c r="F42" s="470"/>
      <c r="G42" s="2213"/>
      <c r="H42" s="477"/>
      <c r="J42" s="456">
        <v>15</v>
      </c>
    </row>
    <row customHeight="1" ht="27.299999999999997">
      <c r="A43" s="458"/>
      <c r="B43" s="503"/>
      <c r="C43" s="458"/>
      <c r="D43" s="441">
        <f>D39+1</f>
        <v>10</v>
      </c>
      <c r="E43" s="439" t="str">
        <f>IF(TEMPLATE_SPHERE="TKO","Адрес официального сайта организации в сети «Интернет»","Официальный сайт регулируемой организации"&amp;IF(TEMPLATE_SPHERE="HEAT",", ЕТО, ТО","")&amp;" в сети «Интернет»")</f>
        <v>Официальный сайт регулируемой организации, ЕТО, ТО в сети «Интернет»</v>
      </c>
      <c r="F43" s="863"/>
      <c r="G43" s="445" t="str">
        <f>"Указывается адрес официального сайта"&amp;IF(TEMPLATE_SPHERE&lt;&gt;"TKO"," регулируемой","")&amp;" организации"&amp;" в сети «Интернет». В случае отсутствия официального сайта"&amp;IF(TEMPLATE_SPHERE&lt;&gt;"TKO"," регулируемой","")&amp;" организации в сети «Интернет» указывается «Отсутствует»."</f>
        <v>Указывается адрес официального сайта регулируемой организации в сети «Интернет». В случае отсутствия официального сайта регулируемой организации в сети «Интернет» указывается «Отсутствует».</v>
      </c>
      <c r="H43" s="476"/>
      <c r="J43" s="456">
        <v>26</v>
      </c>
    </row>
    <row customHeight="1" ht="23.25">
      <c r="A44" s="458"/>
      <c r="B44" s="503"/>
      <c r="C44" s="458"/>
      <c r="D44" s="441">
        <f>D43+1</f>
        <v>11</v>
      </c>
      <c r="E44" s="439" t="str">
        <f>"Адрес электронной почты "&amp;IF(TEMPLATE_SPHERE="TKO","","регулируемой ")&amp;"организации"&amp;IF(TEMPLATE_SPHERE="HEAT",", ЕТО, ТО",IF(TEMPLATE_SPHERE="TKO"," (индивидуального предпринимателя)",""))</f>
        <v>Адрес электронной почты регулируемой организации, ЕТО, ТО</v>
      </c>
      <c r="F44" s="379"/>
      <c r="G44" s="475" t="s">
        <v>470</v>
      </c>
      <c r="H44" s="476"/>
      <c r="J44" s="456">
        <v>22</v>
      </c>
    </row>
    <row customHeight="1" ht="23.25">
      <c r="A45" s="458"/>
      <c r="B45" s="503"/>
      <c r="C45" s="458"/>
      <c r="D45" s="441">
        <f>D44+1</f>
        <v>12</v>
      </c>
      <c r="E45" s="439" t="s">
        <v>471</v>
      </c>
      <c r="F45" s="444" t="s">
        <v>436</v>
      </c>
      <c r="G45" s="438" t="str">
        <f>IF(TEMPLATE_SPHERE="TKO","Указывается режим работы организации.","")</f>
        <v/>
      </c>
      <c r="H45" s="476"/>
      <c r="J45" s="456">
        <v>22</v>
      </c>
    </row>
    <row customHeight="1" ht="24">
      <c r="A46" s="458"/>
      <c r="B46" s="503"/>
      <c r="C46" s="458"/>
      <c r="D46" s="441" t="str">
        <f>D45&amp;".1"</f>
        <v>12.1</v>
      </c>
      <c r="E46" s="443" t="str">
        <f>"режим работы регулируемой организации"&amp;IF(TEMPLATE_SPHERE="HEAT",", ЕТО, ТО","")</f>
        <v>режим работы регулируемой организации, ЕТО, ТО</v>
      </c>
      <c r="F46" s="1685"/>
      <c r="G46" s="438" t="s">
        <v>472</v>
      </c>
      <c r="H46" s="476"/>
      <c r="J46" s="456">
        <v>23</v>
      </c>
    </row>
    <row customHeight="1" ht="24">
      <c r="A47" s="2203"/>
      <c r="B47" s="503"/>
      <c r="C47" s="493"/>
      <c r="D47" s="441" t="str">
        <f>D45&amp;".2"</f>
        <v>12.2</v>
      </c>
      <c r="E47" s="443" t="s">
        <v>473</v>
      </c>
      <c r="F47" s="491"/>
      <c r="G47" s="438" t="s">
        <v>474</v>
      </c>
      <c r="H47" s="476"/>
      <c r="J47" s="456">
        <v>23</v>
      </c>
    </row>
    <row customHeight="1" ht="24">
      <c r="A48" s="2203"/>
      <c r="B48" s="503"/>
      <c r="C48" s="493"/>
      <c r="D48" s="441" t="str">
        <f>D45&amp;".3"</f>
        <v>12.3</v>
      </c>
      <c r="E48" s="443" t="s">
        <v>475</v>
      </c>
      <c r="F48" s="491"/>
      <c r="G48" s="438" t="s">
        <v>476</v>
      </c>
      <c r="H48" s="476"/>
      <c r="J48" s="456">
        <v>23</v>
      </c>
    </row>
    <row customHeight="1" ht="24">
      <c r="A49" s="2203"/>
      <c r="B49" s="503"/>
      <c r="C49" s="493"/>
      <c r="D49" s="441" t="str">
        <f>IF(TEMPLATE_SPHERE="TKO",D45&amp;".0",D45&amp;".4")</f>
        <v>12.4</v>
      </c>
      <c r="E49" s="437" t="s">
        <v>477</v>
      </c>
      <c r="F49" s="1686"/>
      <c r="G49" s="1763" t="s">
        <v>478</v>
      </c>
      <c r="H49" s="476"/>
      <c r="J49" s="456">
        <v>23</v>
      </c>
    </row>
    <row customHeight="1" ht="24">
      <c r="A50" s="458"/>
      <c r="B50" s="503"/>
      <c r="C50" s="458"/>
      <c r="D50" s="468"/>
      <c r="E50" s="416" t="s">
        <v>479</v>
      </c>
      <c r="F50" s="469"/>
      <c r="G50" s="1763" t="s">
        <v>480</v>
      </c>
      <c r="H50" s="477"/>
      <c r="J50" s="456">
        <v>23</v>
      </c>
    </row>
    <row customHeight="1" ht="24">
      <c r="A51" s="859"/>
      <c r="B51" s="503"/>
      <c r="C51" s="493"/>
      <c r="D51" s="441">
        <f>D45+1</f>
        <v>13</v>
      </c>
      <c r="E51" s="529" t="s">
        <v>481</v>
      </c>
      <c r="F51" s="491"/>
      <c r="G51" s="1690" t="str">
        <f>"Указывается наличие «да» или отсутствие «нет» утвержденной в установленном порядке инвестиционной программы"&amp;IF(TEMPLATE_SPHERE="HEAT","В соответствии с пунктом 1(1) Правил согласования и утверждения инвестиционных программ организаций, осуществляющих регулируемые виды деятельности в сфере теплоснабжения, "&amp;"а также требований к составу и содержанию таких программ (за исключением таких программ, утверждаемых "&amp;"в соответствии с законодательством российской федерации об электроэнергетике), утвержденных постановлением Правительства Российской Федерации от 05.05.2014 № 410, "&amp;"в ценовых зонах теплоснабжения инвестиционная программа в отношении деятельности по подключению (технологическому присоединению) к системе теплоснабжения не разрабатывается и не утверждается.","")</f>
        <v>Указывается наличие «да» или отсутствие «нет» утвержденной в установленном порядке инвестиционной программыВ соответствии с пунктом 1(1) Правил согласования и утверждения инвестиционных программ организаций, осуществляющих регулируемые виды деятельности в сфере теплоснабжения, а также требований к составу и содержанию таких программ (за исключением таких программ, утверждаемых в соответствии с законодательством российской федерации об электроэнергетике), утвержденных постановлением Правительства Российской Федерации от 05.05.2014 № 410, в ценовых зонах теплоснабжения инвестиционная программа в отношении деятельности по подключению (технологическому присоединению) к системе теплоснабжения не разрабатывается и не утверждается.</v>
      </c>
      <c r="H51" s="476"/>
      <c r="J51" s="456">
        <v>23</v>
      </c>
    </row>
    <row customHeight="1" ht="11.549999999999999">
      <c r="A52" s="458"/>
      <c r="B52" s="503"/>
      <c r="C52" s="458"/>
      <c r="J52" s="456">
        <v>11</v>
      </c>
    </row>
    <row s="461" customFormat="1" customHeight="1" ht="31.5">
      <c r="A53" s="1688"/>
      <c r="B53" s="504"/>
      <c r="C53" s="2204"/>
      <c r="D53" s="2207" t="str">
        <f>"В случае если регулируемая организация"&amp;IF(TEMPLATE_SPHERE="HEAT",", единая теплоснабжающая организация в ценовых зонах теплоснабжения, теплоснабжающая организация в ценовых зонах теплоснабжения и теплосетевая организация в ценовых зонах теплоснабжения","")&amp;" осуществляет несколько видов деятельности в сфере "&amp;TEMPLATE_SPHERE_RUS&amp;", информация о которых подлежит раскрытию в соответствии со Стандартами раскрытия информации в сфере "&amp;IF(TEMPLATE_SPHERE="HEAT","теплоснабжения","водоснабжения и водоотведения")&amp;", утвержденными постановлением Правительства Российской Федерации от 26.01.2023 № "&amp;IF(TEMPLATE_SPHERE="HEAT","110",IF(TEMPLATE_SPHERE="TKO","109 ""Об утверждении стандартов раскрытия информации в области обращения с твердыми коммунальными отходами""","108"))&amp;", информация по каждому виду деятельности раскрывается отдельно."</f>
        <v>В случае если регулируемая организация, единая теплоснабжающая организация в ценовых зонах теплоснабжения, теплоснабжающая организация в ценовых зонах теплоснабжения и теплосетевая организация в ценовых зонах теплоснабжения осуществляет несколько видов деятельности в сфере теплоснабжения, информация о которых подлежит раскрытию в соответствии со Стандартами раскрытия информации в сфере теплоснабжения, утвержденными постановлением Правительства Российской Федерации от 26.01.2023 № 110, информация по каждому виду деятельности раскрывается отдельно.</v>
      </c>
      <c r="E53" s="2207"/>
      <c r="F53" s="2207"/>
      <c r="G53" s="2207"/>
      <c r="H53" s="455"/>
      <c r="I53" s="455"/>
      <c r="J53" s="461">
        <v>30</v>
      </c>
    </row>
    <row s="461" customFormat="1" customHeight="1" ht="42">
      <c r="A54" s="458"/>
      <c r="B54" s="503"/>
      <c r="C54" s="2204"/>
      <c r="D54" s="2207" t="str">
        <f>IF(ORG_INFO_P_NOTE_MAIN=0,"",ORG_INFO_P_NOTE_MAIN)</f>
        <v>В случае если регулируемыми организациями,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оказываются услуги по теплоснабжению по нескольким технологически не связанным между собой централизованным системам теплоснабжения, и если в отношении указанных систем устанавливаются различные тарифы в сфере теплоснабжения, то информация раскрывается отдельно по каждой централизованной системе теплоснабжения.</v>
      </c>
      <c r="E54" s="2207"/>
      <c r="F54" s="2207"/>
      <c r="G54" s="2207"/>
      <c r="J54" s="461">
        <v>40</v>
      </c>
    </row>
    <row customHeight="1" ht="11.549999999999999">
      <c r="D55" s="459"/>
      <c r="E55" s="460"/>
      <c r="F55" s="460"/>
      <c r="G55" s="460"/>
      <c r="J55" s="456">
        <v>11</v>
      </c>
    </row>
    <row customHeight="1" ht="28.5">
      <c r="D56" s="462"/>
      <c r="E56" s="459"/>
      <c r="F56" s="471"/>
      <c r="G56" s="471"/>
      <c r="J56" s="456">
        <v>27</v>
      </c>
    </row>
    <row customHeight="1" ht="11.549999999999999">
      <c r="D57" s="459"/>
      <c r="E57" s="459"/>
      <c r="F57" s="460"/>
      <c r="G57" s="460"/>
      <c r="J57" s="456">
        <v>11</v>
      </c>
    </row>
    <row customHeight="1" ht="40.949999999999996">
      <c r="D58" s="463"/>
      <c r="E58" s="472"/>
      <c r="F58" s="472"/>
      <c r="G58" s="472"/>
      <c r="J58" s="456">
        <v>39</v>
      </c>
    </row>
    <row customHeight="1" ht="28.5">
      <c r="D59" s="463"/>
      <c r="E59" s="472"/>
      <c r="F59" s="472"/>
      <c r="G59" s="472"/>
      <c r="J59" s="456">
        <v>27</v>
      </c>
    </row>
    <row customHeight="1" ht="11.25" hidden="1">
      <c r="A60" s="1687" t="s">
        <v>86</v>
      </c>
      <c r="B60" s="502">
        <v>0</v>
      </c>
      <c r="C60" s="456">
        <v>3</v>
      </c>
      <c r="D60" s="457">
        <v>6</v>
      </c>
      <c r="E60" s="456">
        <v>52</v>
      </c>
      <c r="F60" s="456">
        <v>48</v>
      </c>
      <c r="G60" s="456">
        <v>121</v>
      </c>
      <c r="H60" s="456">
        <v>8</v>
      </c>
      <c r="I60" s="456">
        <v>64</v>
      </c>
      <c r="J60" s="456">
        <v>11</v>
      </c>
    </row>
  </sheetData>
  <sheetProtection formatColumns="0" formatRows="0" sort="0" autoFilter="0" insertRows="0" insertColumns="1" deleteRows="0" deleteColumns="0"/>
  <mergeCells count="12">
    <mergeCell ref="D4:F4"/>
    <mergeCell ref="A47:A49"/>
    <mergeCell ref="C53:C54"/>
    <mergeCell ref="D8:F8"/>
    <mergeCell ref="D53:G53"/>
    <mergeCell ref="D54:G54"/>
    <mergeCell ref="E7:F7"/>
    <mergeCell ref="G8:G9"/>
    <mergeCell ref="D5:F5"/>
    <mergeCell ref="G39:G42"/>
    <mergeCell ref="A19:A23"/>
    <mergeCell ref="C19:C23"/>
  </mergeCells>
  <dataValidations count="3">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F21 F17"/>
    <dataValidation type="textLength" operator="lessThanOrEqual" allowBlank="1" showInputMessage="1" showErrorMessage="1" errorTitle="Ошибка" error="Допускается ввод не более 900 символов!" sqref="F13 F43:F44 F27:F32 F16 E40:F41 F18 F20 F34:F38 F22:F23">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F51 F46:F49">
      <formula1>"a"</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7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FE2A14B-F67C-2EC8-D05E-1F6FD72D7558}"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D23DEC8-58FE-9798-0708-8B1FC7E0B3A2}"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FA29C3F-CF65-0808-A7C8-0A2ED9BA66E8}" mc:Ignorable="x14ac xr xr2 xr3">
  <sheetPr>
    <tabColor rgb="FFFFCC99"/>
  </sheetPr>
  <dimension ref="A1:A1"/>
  <sheetViews>
    <sheetView topLeftCell="A1" showGridLines="0" workbookViewId="0">
      <selection activeCell="A1" sqref="A1"/>
    </sheetView>
  </sheetViews>
  <sheetFormatPr customHeight="1" defaultRowHeight="11.25"/>
  <sheetData>
    <row customHeight="1" ht="11.25">
      <c r="A1" s="67"/>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B2BCA6D-5D41-D95D-BCF8-E0C6426E9188}" mc:Ignorable="x14ac xr xr2 xr3">
  <dimension ref="A1:E8"/>
  <sheetViews>
    <sheetView topLeftCell="A1" showGridLines="0" workbookViewId="0">
      <selection activeCell="A1" sqref="A1"/>
    </sheetView>
  </sheetViews>
  <sheetFormatPr customHeight="1" defaultRowHeight="11.25"/>
  <cols>
    <col min="1" max="1" style="65" width="10.57421875" customWidth="1"/>
    <col min="2" max="2" style="65" width="8.7109375" customWidth="1"/>
    <col min="3" max="3" style="65" width="18.140625" customWidth="1"/>
    <col min="4" max="4" style="65" width="12.57421875" customWidth="1"/>
  </cols>
  <sheetData>
    <row customHeight="1" ht="11.25">
      <c r="A1" s="2616" t="s">
        <v>2367</v>
      </c>
      <c r="B1" s="2617" t="s">
        <v>2368</v>
      </c>
      <c r="C1" s="2618" t="s">
        <v>2369</v>
      </c>
      <c r="D1" s="2619"/>
      <c r="E1" s="837" t="s">
        <v>2370</v>
      </c>
    </row>
    <row customHeight="1" ht="11.25">
      <c r="A2" s="2620"/>
      <c r="B2" s="766" t="s">
        <v>26</v>
      </c>
      <c r="C2" s="754"/>
      <c r="D2" s="765"/>
      <c r="E2" s="837"/>
    </row>
    <row customHeight="1" ht="11.25">
      <c r="A3" s="2621"/>
      <c r="B3" s="2622" t="s">
        <v>33</v>
      </c>
      <c r="C3" s="754"/>
      <c r="D3" s="765"/>
      <c r="E3" s="837"/>
    </row>
    <row customHeight="1" ht="11.25">
      <c r="A4" s="2623"/>
      <c r="B4" s="767" t="s">
        <v>1791</v>
      </c>
      <c r="C4" s="754"/>
      <c r="D4" s="765"/>
      <c r="E4" s="837"/>
    </row>
    <row customHeight="1" ht="11.25">
      <c r="A5" s="2624"/>
      <c r="B5" s="767" t="s">
        <v>1785</v>
      </c>
      <c r="C5" s="2625" t="s">
        <v>2134</v>
      </c>
      <c r="D5" s="2626" t="s">
        <v>2371</v>
      </c>
      <c r="E5" s="837"/>
    </row>
    <row s="1851" customFormat="1" customHeight="1" ht="11.25">
      <c r="A6" s="2627"/>
      <c r="B6" s="767" t="s">
        <v>1795</v>
      </c>
      <c r="C6" s="754"/>
      <c r="D6" s="765"/>
      <c r="E6" s="837"/>
    </row>
    <row customHeight="1" ht="11.25">
      <c r="A7" s="2628"/>
      <c r="B7" s="767" t="s">
        <v>1803</v>
      </c>
      <c r="C7" s="754"/>
      <c r="D7" s="765"/>
      <c r="E7" s="837"/>
    </row>
    <row customHeight="1" ht="11.25">
      <c r="A8" s="757"/>
      <c r="B8" s="767" t="s">
        <v>1798</v>
      </c>
      <c r="C8" s="754"/>
      <c r="D8" s="765"/>
      <c r="E8" s="837"/>
    </row>
  </sheetData>
  <sheetProtection formatColumns="0" formatRows="0" autoFilter="0" sort="0" insertRows="0" insertColumns="1" deleteRows="0" deleteColumns="0"/>
  <mergeCells count="1">
    <mergeCell ref="C1:D1"/>
  </mergeCell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0305513-12BF-6578-AAFD-1D61DEA81FDD}"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1EC8A38-E8F9-0544-40AC-2089F476FB68}"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E76CEE8-3408-F498-D1F8-64C2DDF562CA}" mc:Ignorable="x14ac xr xr2 xr3">
  <sheetPr>
    <tabColor rgb="FFFFCC99"/>
  </sheetPr>
  <dimension ref="A1:I239"/>
  <sheetViews>
    <sheetView topLeftCell="A1" showGridLines="0" workbookViewId="0">
      <selection activeCell="A1" sqref="A1"/>
    </sheetView>
  </sheetViews>
  <sheetFormatPr defaultColWidth="9.140625" customHeight="1" defaultRowHeight="11.25"/>
  <cols>
    <col min="1" max="2" style="1851" width="9.140625"/>
    <col min="3" max="3" style="1851" width="20.7109375" customWidth="1"/>
    <col min="4" max="4" style="1851" width="25.140625" customWidth="1"/>
    <col min="5" max="9" style="1851" width="9.140625"/>
  </cols>
  <sheetData>
    <row customHeight="1" ht="11.25">
      <c r="A1" s="69" t="s">
        <v>2372</v>
      </c>
      <c r="B1" s="69" t="s">
        <v>2373</v>
      </c>
      <c r="C1" s="69" t="s">
        <v>2374</v>
      </c>
      <c r="D1" s="69" t="s">
        <v>2375</v>
      </c>
      <c r="E1" s="69" t="s">
        <v>2376</v>
      </c>
      <c r="F1" s="69" t="s">
        <v>2377</v>
      </c>
      <c r="G1" s="69" t="s">
        <v>2378</v>
      </c>
      <c r="H1" s="69" t="s">
        <v>2379</v>
      </c>
      <c r="I1" s="69" t="s">
        <v>2380</v>
      </c>
    </row>
    <row customHeight="1" ht="11.25">
      <c r="A2" s="1851" t="s">
        <v>2381</v>
      </c>
      <c r="B2" s="1851" t="s">
        <v>16</v>
      </c>
      <c r="C2" s="1851" t="s">
        <v>2382</v>
      </c>
      <c r="D2" s="1851" t="s">
        <v>2383</v>
      </c>
      <c r="E2" s="1851" t="s">
        <v>2384</v>
      </c>
      <c r="F2" s="1851" t="s">
        <v>2385</v>
      </c>
      <c r="G2" s="1851" t="s">
        <v>2386</v>
      </c>
      <c r="H2" s="1851" t="s">
        <v>28</v>
      </c>
      <c r="I2" s="1851" t="s">
        <v>938</v>
      </c>
    </row>
    <row customHeight="1" ht="11.25">
      <c r="A3" s="1851" t="s">
        <v>2381</v>
      </c>
      <c r="B3" s="1851" t="s">
        <v>16</v>
      </c>
      <c r="C3" s="1851" t="s">
        <v>2387</v>
      </c>
      <c r="D3" s="1851" t="s">
        <v>2383</v>
      </c>
      <c r="E3" s="1851" t="s">
        <v>2384</v>
      </c>
      <c r="F3" s="1851" t="s">
        <v>2388</v>
      </c>
      <c r="G3" s="1851" t="s">
        <v>2389</v>
      </c>
      <c r="H3" s="1851" t="s">
        <v>28</v>
      </c>
      <c r="I3" s="1851" t="s">
        <v>938</v>
      </c>
    </row>
    <row customHeight="1" ht="11.25">
      <c r="A4" s="1851" t="s">
        <v>2381</v>
      </c>
      <c r="B4" s="1851" t="s">
        <v>16</v>
      </c>
      <c r="C4" s="1851" t="s">
        <v>2390</v>
      </c>
      <c r="D4" s="1851" t="s">
        <v>2391</v>
      </c>
      <c r="E4" s="1851" t="s">
        <v>2392</v>
      </c>
      <c r="F4" s="1851" t="s">
        <v>2393</v>
      </c>
      <c r="G4" s="1851" t="s">
        <v>28</v>
      </c>
      <c r="H4" s="1851" t="s">
        <v>28</v>
      </c>
      <c r="I4" s="1851" t="s">
        <v>938</v>
      </c>
    </row>
    <row customHeight="1" ht="11.25">
      <c r="A5" s="1851" t="s">
        <v>2381</v>
      </c>
      <c r="B5" s="1851" t="s">
        <v>16</v>
      </c>
      <c r="C5" s="1851" t="s">
        <v>2394</v>
      </c>
      <c r="D5" s="1851" t="s">
        <v>2395</v>
      </c>
      <c r="E5" s="1851" t="s">
        <v>2396</v>
      </c>
      <c r="F5" s="1851" t="s">
        <v>2397</v>
      </c>
      <c r="G5" s="1851" t="s">
        <v>2398</v>
      </c>
      <c r="H5" s="1851" t="s">
        <v>28</v>
      </c>
      <c r="I5" s="1851" t="s">
        <v>938</v>
      </c>
    </row>
    <row customHeight="1" ht="11.25">
      <c r="A6" s="1851" t="s">
        <v>2381</v>
      </c>
      <c r="B6" s="1851" t="s">
        <v>16</v>
      </c>
      <c r="C6" s="1851" t="s">
        <v>2399</v>
      </c>
      <c r="D6" s="1851" t="s">
        <v>2400</v>
      </c>
      <c r="E6" s="1851" t="s">
        <v>2401</v>
      </c>
      <c r="F6" s="1851" t="s">
        <v>2402</v>
      </c>
      <c r="G6" s="1851" t="s">
        <v>28</v>
      </c>
      <c r="H6" s="1851" t="s">
        <v>28</v>
      </c>
      <c r="I6" s="1851" t="s">
        <v>938</v>
      </c>
    </row>
    <row customHeight="1" ht="11.25">
      <c r="A7" s="1851" t="s">
        <v>2381</v>
      </c>
      <c r="B7" s="1851" t="s">
        <v>16</v>
      </c>
      <c r="C7" s="1851" t="s">
        <v>2403</v>
      </c>
      <c r="D7" s="1851" t="s">
        <v>2404</v>
      </c>
      <c r="E7" s="1851" t="s">
        <v>2405</v>
      </c>
      <c r="F7" s="1851" t="s">
        <v>2406</v>
      </c>
      <c r="G7" s="1851" t="s">
        <v>2407</v>
      </c>
      <c r="H7" s="1851" t="s">
        <v>28</v>
      </c>
      <c r="I7" s="1851" t="s">
        <v>938</v>
      </c>
    </row>
    <row customHeight="1" ht="11.25">
      <c r="A8" s="1851" t="s">
        <v>2381</v>
      </c>
      <c r="B8" s="1851" t="s">
        <v>16</v>
      </c>
      <c r="C8" s="1851" t="s">
        <v>2408</v>
      </c>
      <c r="D8" s="1851" t="s">
        <v>2409</v>
      </c>
      <c r="E8" s="1851" t="s">
        <v>2410</v>
      </c>
      <c r="F8" s="1851" t="s">
        <v>2411</v>
      </c>
      <c r="G8" s="1851" t="s">
        <v>28</v>
      </c>
      <c r="H8" s="1851" t="s">
        <v>28</v>
      </c>
      <c r="I8" s="1851" t="s">
        <v>938</v>
      </c>
    </row>
    <row customHeight="1" ht="11.25">
      <c r="A9" s="1851" t="s">
        <v>2381</v>
      </c>
      <c r="B9" s="1851" t="s">
        <v>16</v>
      </c>
      <c r="C9" s="1851" t="s">
        <v>2412</v>
      </c>
      <c r="D9" s="1851" t="s">
        <v>2413</v>
      </c>
      <c r="E9" s="1851" t="s">
        <v>2414</v>
      </c>
      <c r="F9" s="1851" t="s">
        <v>55</v>
      </c>
      <c r="G9" s="1851" t="s">
        <v>28</v>
      </c>
      <c r="H9" s="1851" t="s">
        <v>28</v>
      </c>
      <c r="I9" s="1851" t="s">
        <v>938</v>
      </c>
    </row>
    <row customHeight="1" ht="11.25">
      <c r="A10" s="1851" t="s">
        <v>2381</v>
      </c>
      <c r="B10" s="1851" t="s">
        <v>16</v>
      </c>
      <c r="C10" s="1851" t="s">
        <v>2415</v>
      </c>
      <c r="D10" s="1851" t="s">
        <v>2416</v>
      </c>
      <c r="E10" s="1851" t="s">
        <v>2417</v>
      </c>
      <c r="F10" s="1851" t="s">
        <v>55</v>
      </c>
      <c r="G10" s="1851" t="s">
        <v>2418</v>
      </c>
      <c r="H10" s="1851" t="s">
        <v>28</v>
      </c>
      <c r="I10" s="1851" t="s">
        <v>938</v>
      </c>
    </row>
    <row customHeight="1" ht="11.25">
      <c r="A11" s="1851" t="s">
        <v>2381</v>
      </c>
      <c r="B11" s="1851" t="s">
        <v>16</v>
      </c>
      <c r="C11" s="1851" t="s">
        <v>2419</v>
      </c>
      <c r="D11" s="1851" t="s">
        <v>2420</v>
      </c>
      <c r="E11" s="1851" t="s">
        <v>2421</v>
      </c>
      <c r="F11" s="1851" t="s">
        <v>55</v>
      </c>
      <c r="G11" s="1851" t="s">
        <v>28</v>
      </c>
      <c r="H11" s="1851" t="s">
        <v>28</v>
      </c>
      <c r="I11" s="1851" t="s">
        <v>938</v>
      </c>
    </row>
    <row customHeight="1" ht="11.25">
      <c r="A12" s="1851" t="s">
        <v>2381</v>
      </c>
      <c r="B12" s="1851" t="s">
        <v>16</v>
      </c>
      <c r="C12" s="1851" t="s">
        <v>2422</v>
      </c>
      <c r="D12" s="1851" t="s">
        <v>2423</v>
      </c>
      <c r="E12" s="1851" t="s">
        <v>2424</v>
      </c>
      <c r="F12" s="1851" t="s">
        <v>2425</v>
      </c>
      <c r="G12" s="1851" t="s">
        <v>28</v>
      </c>
      <c r="H12" s="1851" t="s">
        <v>28</v>
      </c>
      <c r="I12" s="1851" t="s">
        <v>938</v>
      </c>
    </row>
    <row customHeight="1" ht="11.25">
      <c r="A13" s="1851" t="s">
        <v>2381</v>
      </c>
      <c r="B13" s="1851" t="s">
        <v>16</v>
      </c>
      <c r="C13" s="1851" t="s">
        <v>2426</v>
      </c>
      <c r="D13" s="1851" t="s">
        <v>2427</v>
      </c>
      <c r="E13" s="1851" t="s">
        <v>2428</v>
      </c>
      <c r="F13" s="1851" t="s">
        <v>2429</v>
      </c>
      <c r="G13" s="1851" t="s">
        <v>2430</v>
      </c>
      <c r="H13" s="1851" t="s">
        <v>28</v>
      </c>
      <c r="I13" s="1851" t="s">
        <v>938</v>
      </c>
    </row>
    <row customHeight="1" ht="11.25">
      <c r="A14" s="1851" t="s">
        <v>2381</v>
      </c>
      <c r="B14" s="1851" t="s">
        <v>16</v>
      </c>
      <c r="C14" s="1851" t="s">
        <v>2431</v>
      </c>
      <c r="D14" s="1851" t="s">
        <v>2432</v>
      </c>
      <c r="E14" s="1851" t="s">
        <v>2433</v>
      </c>
      <c r="F14" s="1851" t="s">
        <v>2434</v>
      </c>
      <c r="G14" s="1851" t="s">
        <v>28</v>
      </c>
      <c r="H14" s="1851" t="s">
        <v>28</v>
      </c>
      <c r="I14" s="1851" t="s">
        <v>938</v>
      </c>
    </row>
    <row customHeight="1" ht="11.25">
      <c r="A15" s="1851" t="s">
        <v>2381</v>
      </c>
      <c r="B15" s="1851" t="s">
        <v>16</v>
      </c>
      <c r="C15" s="1851" t="s">
        <v>2435</v>
      </c>
      <c r="D15" s="1851" t="s">
        <v>2436</v>
      </c>
      <c r="E15" s="1851" t="s">
        <v>2437</v>
      </c>
      <c r="F15" s="1851" t="s">
        <v>2438</v>
      </c>
      <c r="G15" s="1851" t="s">
        <v>2439</v>
      </c>
      <c r="H15" s="1851" t="s">
        <v>28</v>
      </c>
      <c r="I15" s="1851" t="s">
        <v>938</v>
      </c>
    </row>
    <row customHeight="1" ht="11.25">
      <c r="A16" s="1851" t="s">
        <v>2381</v>
      </c>
      <c r="B16" s="1851" t="s">
        <v>16</v>
      </c>
      <c r="C16" s="1851" t="s">
        <v>2440</v>
      </c>
      <c r="D16" s="1851" t="s">
        <v>2441</v>
      </c>
      <c r="E16" s="1851" t="s">
        <v>2442</v>
      </c>
      <c r="F16" s="1851" t="s">
        <v>2443</v>
      </c>
      <c r="G16" s="1851" t="s">
        <v>28</v>
      </c>
      <c r="H16" s="1851" t="s">
        <v>28</v>
      </c>
      <c r="I16" s="1851" t="s">
        <v>938</v>
      </c>
    </row>
    <row customHeight="1" ht="11.25">
      <c r="A17" s="1851" t="s">
        <v>2381</v>
      </c>
      <c r="B17" s="1851" t="s">
        <v>16</v>
      </c>
      <c r="C17" s="1851" t="s">
        <v>2444</v>
      </c>
      <c r="D17" s="1851" t="s">
        <v>2445</v>
      </c>
      <c r="E17" s="1851" t="s">
        <v>2446</v>
      </c>
      <c r="F17" s="1851" t="s">
        <v>55</v>
      </c>
      <c r="G17" s="1851" t="s">
        <v>2447</v>
      </c>
      <c r="H17" s="1851" t="s">
        <v>28</v>
      </c>
      <c r="I17" s="1851" t="s">
        <v>938</v>
      </c>
    </row>
    <row customHeight="1" ht="11.25">
      <c r="A18" s="1851" t="s">
        <v>2381</v>
      </c>
      <c r="B18" s="1851" t="s">
        <v>16</v>
      </c>
      <c r="C18" s="1851" t="s">
        <v>2448</v>
      </c>
      <c r="D18" s="1851" t="s">
        <v>2449</v>
      </c>
      <c r="E18" s="1851" t="s">
        <v>2450</v>
      </c>
      <c r="F18" s="1851" t="s">
        <v>2451</v>
      </c>
      <c r="G18" s="1851" t="s">
        <v>28</v>
      </c>
      <c r="H18" s="1851" t="s">
        <v>28</v>
      </c>
      <c r="I18" s="1851" t="s">
        <v>938</v>
      </c>
    </row>
    <row customHeight="1" ht="11.25">
      <c r="A19" s="1851" t="s">
        <v>2381</v>
      </c>
      <c r="B19" s="1851" t="s">
        <v>16</v>
      </c>
      <c r="C19" s="1851" t="s">
        <v>2452</v>
      </c>
      <c r="D19" s="1851" t="s">
        <v>2453</v>
      </c>
      <c r="E19" s="1851" t="s">
        <v>2454</v>
      </c>
      <c r="F19" s="1851" t="s">
        <v>55</v>
      </c>
      <c r="G19" s="1851" t="s">
        <v>28</v>
      </c>
      <c r="H19" s="1851" t="s">
        <v>28</v>
      </c>
      <c r="I19" s="1851" t="s">
        <v>938</v>
      </c>
    </row>
    <row customHeight="1" ht="11.25">
      <c r="A20" s="1851" t="s">
        <v>2381</v>
      </c>
      <c r="B20" s="1851" t="s">
        <v>16</v>
      </c>
      <c r="C20" s="1851" t="s">
        <v>2455</v>
      </c>
      <c r="D20" s="1851" t="s">
        <v>2456</v>
      </c>
      <c r="E20" s="1851" t="s">
        <v>2457</v>
      </c>
      <c r="F20" s="1851" t="s">
        <v>2458</v>
      </c>
      <c r="G20" s="1851" t="s">
        <v>28</v>
      </c>
      <c r="H20" s="1851" t="s">
        <v>28</v>
      </c>
      <c r="I20" s="1851" t="s">
        <v>938</v>
      </c>
    </row>
    <row customHeight="1" ht="11.25">
      <c r="A21" s="1851" t="s">
        <v>2381</v>
      </c>
      <c r="B21" s="1851" t="s">
        <v>16</v>
      </c>
      <c r="C21" s="1851" t="s">
        <v>2459</v>
      </c>
      <c r="D21" s="1851" t="s">
        <v>2460</v>
      </c>
      <c r="E21" s="1851" t="s">
        <v>2461</v>
      </c>
      <c r="F21" s="1851" t="s">
        <v>55</v>
      </c>
      <c r="G21" s="1851" t="s">
        <v>2462</v>
      </c>
      <c r="H21" s="1851" t="s">
        <v>28</v>
      </c>
      <c r="I21" s="1851" t="s">
        <v>938</v>
      </c>
    </row>
    <row customHeight="1" ht="11.25">
      <c r="A22" s="1851" t="s">
        <v>2381</v>
      </c>
      <c r="B22" s="1851" t="s">
        <v>16</v>
      </c>
      <c r="C22" s="1851" t="s">
        <v>2463</v>
      </c>
      <c r="D22" s="1851" t="s">
        <v>2464</v>
      </c>
      <c r="E22" s="1851" t="s">
        <v>2465</v>
      </c>
      <c r="F22" s="1851" t="s">
        <v>2466</v>
      </c>
      <c r="G22" s="1851" t="s">
        <v>28</v>
      </c>
      <c r="H22" s="1851" t="s">
        <v>28</v>
      </c>
      <c r="I22" s="1851" t="s">
        <v>938</v>
      </c>
    </row>
    <row customHeight="1" ht="11.25">
      <c r="A23" s="1851" t="s">
        <v>2381</v>
      </c>
      <c r="B23" s="1851" t="s">
        <v>16</v>
      </c>
      <c r="C23" s="1851" t="s">
        <v>28</v>
      </c>
      <c r="D23" s="1851" t="s">
        <v>2467</v>
      </c>
      <c r="E23" s="1851" t="s">
        <v>2468</v>
      </c>
      <c r="F23" s="1851" t="s">
        <v>55</v>
      </c>
      <c r="G23" s="1851" t="s">
        <v>28</v>
      </c>
      <c r="H23" s="1851" t="s">
        <v>28</v>
      </c>
      <c r="I23" s="1851" t="s">
        <v>938</v>
      </c>
    </row>
    <row customHeight="1" ht="11.25">
      <c r="A24" s="1851" t="s">
        <v>2381</v>
      </c>
      <c r="B24" s="1851" t="s">
        <v>16</v>
      </c>
      <c r="C24" s="1851" t="s">
        <v>2469</v>
      </c>
      <c r="D24" s="1851" t="s">
        <v>2470</v>
      </c>
      <c r="E24" s="1851" t="s">
        <v>2471</v>
      </c>
      <c r="F24" s="1851" t="s">
        <v>2472</v>
      </c>
      <c r="G24" s="1851" t="s">
        <v>28</v>
      </c>
      <c r="H24" s="1851" t="s">
        <v>28</v>
      </c>
      <c r="I24" s="1851" t="s">
        <v>938</v>
      </c>
    </row>
    <row customHeight="1" ht="11.25">
      <c r="A25" s="1851" t="s">
        <v>2381</v>
      </c>
      <c r="B25" s="1851" t="s">
        <v>16</v>
      </c>
      <c r="C25" s="1851" t="s">
        <v>2473</v>
      </c>
      <c r="D25" s="1851" t="s">
        <v>2474</v>
      </c>
      <c r="E25" s="1851" t="s">
        <v>2475</v>
      </c>
      <c r="F25" s="1851" t="s">
        <v>2393</v>
      </c>
      <c r="G25" s="1851" t="s">
        <v>28</v>
      </c>
      <c r="H25" s="1851" t="s">
        <v>2476</v>
      </c>
      <c r="I25" s="1851" t="s">
        <v>938</v>
      </c>
    </row>
    <row customHeight="1" ht="11.25">
      <c r="A26" s="1851" t="s">
        <v>2381</v>
      </c>
      <c r="B26" s="1851" t="s">
        <v>16</v>
      </c>
      <c r="C26" s="1851" t="s">
        <v>2477</v>
      </c>
      <c r="D26" s="1851" t="s">
        <v>2478</v>
      </c>
      <c r="E26" s="1851" t="s">
        <v>2479</v>
      </c>
      <c r="F26" s="1851" t="s">
        <v>2472</v>
      </c>
      <c r="G26" s="1851" t="s">
        <v>2480</v>
      </c>
      <c r="H26" s="1851" t="s">
        <v>28</v>
      </c>
      <c r="I26" s="1851" t="s">
        <v>938</v>
      </c>
    </row>
    <row customHeight="1" ht="11.25">
      <c r="A27" s="1851" t="s">
        <v>2381</v>
      </c>
      <c r="B27" s="1851" t="s">
        <v>16</v>
      </c>
      <c r="C27" s="1851" t="s">
        <v>2481</v>
      </c>
      <c r="D27" s="1851" t="s">
        <v>2482</v>
      </c>
      <c r="E27" s="1851" t="s">
        <v>2483</v>
      </c>
      <c r="F27" s="1851" t="s">
        <v>2472</v>
      </c>
      <c r="G27" s="1851" t="s">
        <v>2484</v>
      </c>
      <c r="H27" s="1851" t="s">
        <v>2485</v>
      </c>
      <c r="I27" s="1851" t="s">
        <v>938</v>
      </c>
    </row>
    <row customHeight="1" ht="11.25">
      <c r="A28" s="1851" t="s">
        <v>2381</v>
      </c>
      <c r="B28" s="1851" t="s">
        <v>16</v>
      </c>
      <c r="C28" s="1851" t="s">
        <v>2486</v>
      </c>
      <c r="D28" s="1851" t="s">
        <v>2487</v>
      </c>
      <c r="E28" s="1851" t="s">
        <v>2488</v>
      </c>
      <c r="F28" s="1851" t="s">
        <v>2489</v>
      </c>
      <c r="G28" s="1851" t="s">
        <v>2490</v>
      </c>
      <c r="H28" s="1851" t="s">
        <v>28</v>
      </c>
      <c r="I28" s="1851" t="s">
        <v>938</v>
      </c>
    </row>
    <row customHeight="1" ht="11.25">
      <c r="A29" s="1851" t="s">
        <v>2381</v>
      </c>
      <c r="B29" s="1851" t="s">
        <v>16</v>
      </c>
      <c r="C29" s="1851" t="s">
        <v>2491</v>
      </c>
      <c r="D29" s="1851" t="s">
        <v>2492</v>
      </c>
      <c r="E29" s="1851" t="s">
        <v>2493</v>
      </c>
      <c r="F29" s="1851" t="s">
        <v>2429</v>
      </c>
      <c r="G29" s="1851" t="s">
        <v>28</v>
      </c>
      <c r="H29" s="1851" t="s">
        <v>28</v>
      </c>
      <c r="I29" s="1851" t="s">
        <v>938</v>
      </c>
    </row>
    <row customHeight="1" ht="11.25">
      <c r="A30" s="1851" t="s">
        <v>2381</v>
      </c>
      <c r="B30" s="1851" t="s">
        <v>16</v>
      </c>
      <c r="C30" s="1851" t="s">
        <v>2494</v>
      </c>
      <c r="D30" s="1851" t="s">
        <v>2495</v>
      </c>
      <c r="E30" s="1851" t="s">
        <v>2496</v>
      </c>
      <c r="F30" s="1851" t="s">
        <v>2497</v>
      </c>
      <c r="G30" s="1851" t="s">
        <v>28</v>
      </c>
      <c r="H30" s="1851" t="s">
        <v>28</v>
      </c>
      <c r="I30" s="1851" t="s">
        <v>938</v>
      </c>
    </row>
    <row customHeight="1" ht="11.25">
      <c r="A31" s="1851" t="s">
        <v>2381</v>
      </c>
      <c r="B31" s="1851" t="s">
        <v>16</v>
      </c>
      <c r="C31" s="1851" t="s">
        <v>2498</v>
      </c>
      <c r="D31" s="1851" t="s">
        <v>2499</v>
      </c>
      <c r="E31" s="1851" t="s">
        <v>2500</v>
      </c>
      <c r="F31" s="1851" t="s">
        <v>2402</v>
      </c>
      <c r="G31" s="1851" t="s">
        <v>28</v>
      </c>
      <c r="H31" s="1851" t="s">
        <v>28</v>
      </c>
      <c r="I31" s="1851" t="s">
        <v>938</v>
      </c>
    </row>
    <row customHeight="1" ht="11.25">
      <c r="A32" s="1851" t="s">
        <v>2381</v>
      </c>
      <c r="B32" s="1851" t="s">
        <v>16</v>
      </c>
      <c r="C32" s="1851" t="s">
        <v>2501</v>
      </c>
      <c r="D32" s="1851" t="s">
        <v>2502</v>
      </c>
      <c r="E32" s="1851" t="s">
        <v>2503</v>
      </c>
      <c r="F32" s="1851" t="s">
        <v>2393</v>
      </c>
      <c r="G32" s="1851" t="s">
        <v>28</v>
      </c>
      <c r="H32" s="1851" t="s">
        <v>28</v>
      </c>
      <c r="I32" s="1851" t="s">
        <v>938</v>
      </c>
    </row>
    <row customHeight="1" ht="11.25">
      <c r="A33" s="1851" t="s">
        <v>2381</v>
      </c>
      <c r="B33" s="1851" t="s">
        <v>16</v>
      </c>
      <c r="C33" s="1851" t="s">
        <v>2504</v>
      </c>
      <c r="D33" s="1851" t="s">
        <v>2505</v>
      </c>
      <c r="E33" s="1851" t="s">
        <v>2506</v>
      </c>
      <c r="F33" s="1851" t="s">
        <v>2438</v>
      </c>
      <c r="G33" s="1851" t="s">
        <v>28</v>
      </c>
      <c r="H33" s="1851" t="s">
        <v>2507</v>
      </c>
      <c r="I33" s="1851" t="s">
        <v>938</v>
      </c>
    </row>
    <row customHeight="1" ht="11.25">
      <c r="A34" s="1851" t="s">
        <v>2381</v>
      </c>
      <c r="B34" s="1851" t="s">
        <v>16</v>
      </c>
      <c r="C34" s="1851" t="s">
        <v>2508</v>
      </c>
      <c r="D34" s="1851" t="s">
        <v>2509</v>
      </c>
      <c r="E34" s="1851" t="s">
        <v>2510</v>
      </c>
      <c r="F34" s="1851" t="s">
        <v>2393</v>
      </c>
      <c r="G34" s="1851" t="s">
        <v>28</v>
      </c>
      <c r="H34" s="1851" t="s">
        <v>2511</v>
      </c>
      <c r="I34" s="1851" t="s">
        <v>938</v>
      </c>
    </row>
    <row customHeight="1" ht="11.25">
      <c r="A35" s="1851" t="s">
        <v>2381</v>
      </c>
      <c r="B35" s="1851" t="s">
        <v>16</v>
      </c>
      <c r="C35" s="1851" t="s">
        <v>2512</v>
      </c>
      <c r="D35" s="1851" t="s">
        <v>2513</v>
      </c>
      <c r="E35" s="1851" t="s">
        <v>2514</v>
      </c>
      <c r="F35" s="1851" t="s">
        <v>55</v>
      </c>
      <c r="G35" s="1851" t="s">
        <v>28</v>
      </c>
      <c r="H35" s="1851" t="s">
        <v>28</v>
      </c>
      <c r="I35" s="1851" t="s">
        <v>938</v>
      </c>
    </row>
    <row customHeight="1" ht="11.25">
      <c r="A36" s="1851" t="s">
        <v>2381</v>
      </c>
      <c r="B36" s="1851" t="s">
        <v>16</v>
      </c>
      <c r="C36" s="1851" t="s">
        <v>2515</v>
      </c>
      <c r="D36" s="1851" t="s">
        <v>2516</v>
      </c>
      <c r="E36" s="1851" t="s">
        <v>2517</v>
      </c>
      <c r="F36" s="1851" t="s">
        <v>2489</v>
      </c>
      <c r="G36" s="1851" t="s">
        <v>28</v>
      </c>
      <c r="H36" s="1851" t="s">
        <v>28</v>
      </c>
      <c r="I36" s="1851" t="s">
        <v>938</v>
      </c>
    </row>
    <row customHeight="1" ht="11.25">
      <c r="A37" s="1851" t="s">
        <v>2381</v>
      </c>
      <c r="B37" s="1851" t="s">
        <v>16</v>
      </c>
      <c r="C37" s="1851" t="s">
        <v>2518</v>
      </c>
      <c r="D37" s="1851" t="s">
        <v>2519</v>
      </c>
      <c r="E37" s="1851" t="s">
        <v>2520</v>
      </c>
      <c r="F37" s="1851" t="s">
        <v>2489</v>
      </c>
      <c r="G37" s="1851" t="s">
        <v>2521</v>
      </c>
      <c r="H37" s="1851" t="s">
        <v>28</v>
      </c>
      <c r="I37" s="1851" t="s">
        <v>938</v>
      </c>
    </row>
    <row customHeight="1" ht="11.25">
      <c r="A38" s="1851" t="s">
        <v>2381</v>
      </c>
      <c r="B38" s="1851" t="s">
        <v>16</v>
      </c>
      <c r="C38" s="1851" t="s">
        <v>2522</v>
      </c>
      <c r="D38" s="1851" t="s">
        <v>2523</v>
      </c>
      <c r="E38" s="1851" t="s">
        <v>2524</v>
      </c>
      <c r="F38" s="1851" t="s">
        <v>2525</v>
      </c>
      <c r="G38" s="1851" t="s">
        <v>28</v>
      </c>
      <c r="H38" s="1851" t="s">
        <v>28</v>
      </c>
      <c r="I38" s="1851" t="s">
        <v>938</v>
      </c>
    </row>
    <row customHeight="1" ht="11.25">
      <c r="A39" s="1851" t="s">
        <v>2381</v>
      </c>
      <c r="B39" s="1851" t="s">
        <v>16</v>
      </c>
      <c r="C39" s="1851" t="s">
        <v>2526</v>
      </c>
      <c r="D39" s="1851" t="s">
        <v>2527</v>
      </c>
      <c r="E39" s="1851" t="s">
        <v>2528</v>
      </c>
      <c r="F39" s="1851" t="s">
        <v>2472</v>
      </c>
      <c r="G39" s="1851" t="s">
        <v>28</v>
      </c>
      <c r="H39" s="1851" t="s">
        <v>28</v>
      </c>
      <c r="I39" s="1851" t="s">
        <v>938</v>
      </c>
    </row>
    <row customHeight="1" ht="11.25">
      <c r="A40" s="1851" t="s">
        <v>2381</v>
      </c>
      <c r="B40" s="1851" t="s">
        <v>16</v>
      </c>
      <c r="C40" s="1851" t="s">
        <v>2529</v>
      </c>
      <c r="D40" s="1851" t="s">
        <v>2530</v>
      </c>
      <c r="E40" s="1851" t="s">
        <v>2531</v>
      </c>
      <c r="F40" s="1851" t="s">
        <v>2393</v>
      </c>
      <c r="G40" s="1851" t="s">
        <v>28</v>
      </c>
      <c r="H40" s="1851" t="s">
        <v>28</v>
      </c>
      <c r="I40" s="1851" t="s">
        <v>938</v>
      </c>
    </row>
    <row customHeight="1" ht="11.25">
      <c r="A41" s="1851" t="s">
        <v>2381</v>
      </c>
      <c r="B41" s="1851" t="s">
        <v>16</v>
      </c>
      <c r="C41" s="1851" t="s">
        <v>2532</v>
      </c>
      <c r="D41" s="1851" t="s">
        <v>2533</v>
      </c>
      <c r="E41" s="1851" t="s">
        <v>2534</v>
      </c>
      <c r="F41" s="1851" t="s">
        <v>2438</v>
      </c>
      <c r="G41" s="1851" t="s">
        <v>28</v>
      </c>
      <c r="H41" s="1851" t="s">
        <v>28</v>
      </c>
      <c r="I41" s="1851" t="s">
        <v>938</v>
      </c>
    </row>
    <row customHeight="1" ht="11.25">
      <c r="A42" s="1851" t="s">
        <v>2381</v>
      </c>
      <c r="B42" s="1851" t="s">
        <v>16</v>
      </c>
      <c r="C42" s="1851" t="s">
        <v>2535</v>
      </c>
      <c r="D42" s="1851" t="s">
        <v>2536</v>
      </c>
      <c r="E42" s="1851" t="s">
        <v>2537</v>
      </c>
      <c r="F42" s="1851" t="s">
        <v>2538</v>
      </c>
      <c r="G42" s="1851" t="s">
        <v>28</v>
      </c>
      <c r="H42" s="1851" t="s">
        <v>28</v>
      </c>
      <c r="I42" s="1851" t="s">
        <v>938</v>
      </c>
    </row>
    <row customHeight="1" ht="11.25">
      <c r="A43" s="1851" t="s">
        <v>2381</v>
      </c>
      <c r="B43" s="1851" t="s">
        <v>16</v>
      </c>
      <c r="C43" s="1851" t="s">
        <v>2539</v>
      </c>
      <c r="D43" s="1851" t="s">
        <v>2540</v>
      </c>
      <c r="E43" s="1851" t="s">
        <v>2541</v>
      </c>
      <c r="F43" s="1851" t="s">
        <v>2393</v>
      </c>
      <c r="G43" s="1851" t="s">
        <v>2542</v>
      </c>
      <c r="H43" s="1851" t="s">
        <v>28</v>
      </c>
      <c r="I43" s="1851" t="s">
        <v>938</v>
      </c>
    </row>
    <row customHeight="1" ht="11.25">
      <c r="A44" s="1851" t="s">
        <v>2381</v>
      </c>
      <c r="B44" s="1851" t="s">
        <v>16</v>
      </c>
      <c r="C44" s="1851" t="s">
        <v>2543</v>
      </c>
      <c r="D44" s="1851" t="s">
        <v>2544</v>
      </c>
      <c r="E44" s="1851" t="s">
        <v>2545</v>
      </c>
      <c r="F44" s="1851" t="s">
        <v>2489</v>
      </c>
      <c r="G44" s="1851" t="s">
        <v>2546</v>
      </c>
      <c r="H44" s="1851" t="s">
        <v>28</v>
      </c>
      <c r="I44" s="1851" t="s">
        <v>938</v>
      </c>
    </row>
    <row customHeight="1" ht="11.25">
      <c r="A45" s="1851" t="s">
        <v>2381</v>
      </c>
      <c r="B45" s="1851" t="s">
        <v>16</v>
      </c>
      <c r="C45" s="1851" t="s">
        <v>2547</v>
      </c>
      <c r="D45" s="1851" t="s">
        <v>2548</v>
      </c>
      <c r="E45" s="1851" t="s">
        <v>2549</v>
      </c>
      <c r="F45" s="1851" t="s">
        <v>2393</v>
      </c>
      <c r="G45" s="1851" t="s">
        <v>28</v>
      </c>
      <c r="H45" s="1851" t="s">
        <v>28</v>
      </c>
      <c r="I45" s="1851" t="s">
        <v>938</v>
      </c>
    </row>
    <row customHeight="1" ht="11.25">
      <c r="A46" s="1851" t="s">
        <v>2381</v>
      </c>
      <c r="B46" s="1851" t="s">
        <v>16</v>
      </c>
      <c r="C46" s="1851" t="s">
        <v>2550</v>
      </c>
      <c r="D46" s="1851" t="s">
        <v>2551</v>
      </c>
      <c r="E46" s="1851" t="s">
        <v>2552</v>
      </c>
      <c r="F46" s="1851" t="s">
        <v>2553</v>
      </c>
      <c r="G46" s="1851" t="s">
        <v>2554</v>
      </c>
      <c r="H46" s="1851" t="s">
        <v>28</v>
      </c>
      <c r="I46" s="1851" t="s">
        <v>938</v>
      </c>
    </row>
    <row customHeight="1" ht="11.25">
      <c r="A47" s="1851" t="s">
        <v>2381</v>
      </c>
      <c r="B47" s="1851" t="s">
        <v>16</v>
      </c>
      <c r="C47" s="1851" t="s">
        <v>2555</v>
      </c>
      <c r="D47" s="1851" t="s">
        <v>2556</v>
      </c>
      <c r="E47" s="1851" t="s">
        <v>2557</v>
      </c>
      <c r="F47" s="1851" t="s">
        <v>2558</v>
      </c>
      <c r="G47" s="1851" t="s">
        <v>2559</v>
      </c>
      <c r="H47" s="1851" t="s">
        <v>28</v>
      </c>
      <c r="I47" s="1851" t="s">
        <v>938</v>
      </c>
    </row>
    <row customHeight="1" ht="11.25">
      <c r="A48" s="1851" t="s">
        <v>2381</v>
      </c>
      <c r="B48" s="1851" t="s">
        <v>16</v>
      </c>
      <c r="C48" s="1851" t="s">
        <v>2560</v>
      </c>
      <c r="D48" s="1851" t="s">
        <v>2561</v>
      </c>
      <c r="E48" s="1851" t="s">
        <v>2562</v>
      </c>
      <c r="F48" s="1851" t="s">
        <v>2563</v>
      </c>
      <c r="G48" s="1851" t="s">
        <v>28</v>
      </c>
      <c r="H48" s="1851" t="s">
        <v>28</v>
      </c>
      <c r="I48" s="1851" t="s">
        <v>938</v>
      </c>
    </row>
    <row customHeight="1" ht="11.25">
      <c r="A49" s="1851" t="s">
        <v>2381</v>
      </c>
      <c r="B49" s="1851" t="s">
        <v>16</v>
      </c>
      <c r="C49" s="1851" t="s">
        <v>2564</v>
      </c>
      <c r="D49" s="1851" t="s">
        <v>2565</v>
      </c>
      <c r="E49" s="1851" t="s">
        <v>2566</v>
      </c>
      <c r="F49" s="1851" t="s">
        <v>2393</v>
      </c>
      <c r="G49" s="1851" t="s">
        <v>28</v>
      </c>
      <c r="H49" s="1851" t="s">
        <v>28</v>
      </c>
      <c r="I49" s="1851" t="s">
        <v>938</v>
      </c>
    </row>
    <row customHeight="1" ht="11.25">
      <c r="A50" s="1851" t="s">
        <v>2381</v>
      </c>
      <c r="B50" s="1851" t="s">
        <v>16</v>
      </c>
      <c r="C50" s="1851" t="s">
        <v>2567</v>
      </c>
      <c r="D50" s="1851" t="s">
        <v>2568</v>
      </c>
      <c r="E50" s="1851" t="s">
        <v>2569</v>
      </c>
      <c r="F50" s="1851" t="s">
        <v>2570</v>
      </c>
      <c r="G50" s="1851" t="s">
        <v>2571</v>
      </c>
      <c r="H50" s="1851" t="s">
        <v>28</v>
      </c>
      <c r="I50" s="1851" t="s">
        <v>938</v>
      </c>
    </row>
    <row customHeight="1" ht="11.25">
      <c r="A51" s="1851" t="s">
        <v>2381</v>
      </c>
      <c r="B51" s="1851" t="s">
        <v>16</v>
      </c>
      <c r="C51" s="1851" t="s">
        <v>2572</v>
      </c>
      <c r="D51" s="1851" t="s">
        <v>2573</v>
      </c>
      <c r="E51" s="1851" t="s">
        <v>2574</v>
      </c>
      <c r="F51" s="1851" t="s">
        <v>2393</v>
      </c>
      <c r="G51" s="1851" t="s">
        <v>28</v>
      </c>
      <c r="H51" s="1851" t="s">
        <v>28</v>
      </c>
      <c r="I51" s="1851" t="s">
        <v>938</v>
      </c>
    </row>
    <row customHeight="1" ht="11.25">
      <c r="A52" s="1851" t="s">
        <v>2381</v>
      </c>
      <c r="B52" s="1851" t="s">
        <v>16</v>
      </c>
      <c r="C52" s="1851" t="s">
        <v>2575</v>
      </c>
      <c r="D52" s="1851" t="s">
        <v>2576</v>
      </c>
      <c r="E52" s="1851" t="s">
        <v>2577</v>
      </c>
      <c r="F52" s="1851" t="s">
        <v>2578</v>
      </c>
      <c r="G52" s="1851" t="s">
        <v>2579</v>
      </c>
      <c r="H52" s="1851" t="s">
        <v>28</v>
      </c>
      <c r="I52" s="1851" t="s">
        <v>938</v>
      </c>
    </row>
    <row customHeight="1" ht="11.25">
      <c r="A53" s="1851" t="s">
        <v>2381</v>
      </c>
      <c r="B53" s="1851" t="s">
        <v>16</v>
      </c>
      <c r="C53" s="1851" t="s">
        <v>2580</v>
      </c>
      <c r="D53" s="1851" t="s">
        <v>2581</v>
      </c>
      <c r="E53" s="1851" t="s">
        <v>2582</v>
      </c>
      <c r="F53" s="1851" t="s">
        <v>55</v>
      </c>
      <c r="G53" s="1851" t="s">
        <v>28</v>
      </c>
      <c r="H53" s="1851" t="s">
        <v>2583</v>
      </c>
      <c r="I53" s="1851" t="s">
        <v>938</v>
      </c>
    </row>
    <row customHeight="1" ht="11.25">
      <c r="A54" s="1851" t="s">
        <v>2381</v>
      </c>
      <c r="B54" s="1851" t="s">
        <v>16</v>
      </c>
      <c r="C54" s="1851" t="s">
        <v>2584</v>
      </c>
      <c r="D54" s="1851" t="s">
        <v>2585</v>
      </c>
      <c r="E54" s="1851" t="s">
        <v>2586</v>
      </c>
      <c r="F54" s="1851" t="s">
        <v>2489</v>
      </c>
      <c r="G54" s="1851" t="s">
        <v>28</v>
      </c>
      <c r="H54" s="1851" t="s">
        <v>28</v>
      </c>
      <c r="I54" s="1851" t="s">
        <v>938</v>
      </c>
    </row>
    <row customHeight="1" ht="11.25">
      <c r="A55" s="1851" t="s">
        <v>2381</v>
      </c>
      <c r="B55" s="1851" t="s">
        <v>16</v>
      </c>
      <c r="C55" s="1851" t="s">
        <v>2587</v>
      </c>
      <c r="D55" s="1851" t="s">
        <v>2588</v>
      </c>
      <c r="E55" s="1851" t="s">
        <v>2589</v>
      </c>
      <c r="F55" s="1851" t="s">
        <v>2458</v>
      </c>
      <c r="G55" s="1851" t="s">
        <v>28</v>
      </c>
      <c r="H55" s="1851" t="s">
        <v>28</v>
      </c>
      <c r="I55" s="1851" t="s">
        <v>938</v>
      </c>
    </row>
    <row customHeight="1" ht="11.25">
      <c r="A56" s="1851" t="s">
        <v>2381</v>
      </c>
      <c r="B56" s="1851" t="s">
        <v>16</v>
      </c>
      <c r="C56" s="1851" t="s">
        <v>2590</v>
      </c>
      <c r="D56" s="1851" t="s">
        <v>2591</v>
      </c>
      <c r="E56" s="1851" t="s">
        <v>2592</v>
      </c>
      <c r="F56" s="1851" t="s">
        <v>2489</v>
      </c>
      <c r="G56" s="1851" t="s">
        <v>2593</v>
      </c>
      <c r="H56" s="1851" t="s">
        <v>28</v>
      </c>
      <c r="I56" s="1851" t="s">
        <v>938</v>
      </c>
    </row>
    <row customHeight="1" ht="11.25">
      <c r="A57" s="1851" t="s">
        <v>2381</v>
      </c>
      <c r="B57" s="1851" t="s">
        <v>16</v>
      </c>
      <c r="C57" s="1851" t="s">
        <v>2594</v>
      </c>
      <c r="D57" s="1851" t="s">
        <v>2595</v>
      </c>
      <c r="E57" s="1851" t="s">
        <v>2596</v>
      </c>
      <c r="F57" s="1851" t="s">
        <v>2402</v>
      </c>
      <c r="G57" s="1851" t="s">
        <v>2597</v>
      </c>
      <c r="H57" s="1851" t="s">
        <v>28</v>
      </c>
      <c r="I57" s="1851" t="s">
        <v>938</v>
      </c>
    </row>
    <row customHeight="1" ht="11.25">
      <c r="A58" s="1851" t="s">
        <v>2381</v>
      </c>
      <c r="B58" s="1851" t="s">
        <v>16</v>
      </c>
      <c r="C58" s="1851" t="s">
        <v>2598</v>
      </c>
      <c r="D58" s="1851" t="s">
        <v>2599</v>
      </c>
      <c r="E58" s="1851" t="s">
        <v>2600</v>
      </c>
      <c r="F58" s="1851" t="s">
        <v>2601</v>
      </c>
      <c r="G58" s="1851" t="s">
        <v>28</v>
      </c>
      <c r="H58" s="1851" t="s">
        <v>28</v>
      </c>
      <c r="I58" s="1851" t="s">
        <v>938</v>
      </c>
    </row>
    <row customHeight="1" ht="11.25">
      <c r="A59" s="1851" t="s">
        <v>2381</v>
      </c>
      <c r="B59" s="1851" t="s">
        <v>16</v>
      </c>
      <c r="C59" s="1851" t="s">
        <v>2602</v>
      </c>
      <c r="D59" s="1851" t="s">
        <v>2603</v>
      </c>
      <c r="E59" s="1851" t="s">
        <v>2604</v>
      </c>
      <c r="F59" s="1851" t="s">
        <v>2605</v>
      </c>
      <c r="G59" s="1851" t="s">
        <v>2606</v>
      </c>
      <c r="H59" s="1851" t="s">
        <v>28</v>
      </c>
      <c r="I59" s="1851" t="s">
        <v>938</v>
      </c>
    </row>
    <row customHeight="1" ht="11.25">
      <c r="A60" s="1851" t="s">
        <v>2381</v>
      </c>
      <c r="B60" s="1851" t="s">
        <v>16</v>
      </c>
      <c r="C60" s="1851" t="s">
        <v>2607</v>
      </c>
      <c r="D60" s="1851" t="s">
        <v>2608</v>
      </c>
      <c r="E60" s="1851" t="s">
        <v>2609</v>
      </c>
      <c r="F60" s="1851" t="s">
        <v>2578</v>
      </c>
      <c r="G60" s="1851" t="s">
        <v>28</v>
      </c>
      <c r="H60" s="1851" t="s">
        <v>28</v>
      </c>
      <c r="I60" s="1851" t="s">
        <v>938</v>
      </c>
    </row>
    <row customHeight="1" ht="11.25">
      <c r="A61" s="1851" t="s">
        <v>2381</v>
      </c>
      <c r="B61" s="1851" t="s">
        <v>16</v>
      </c>
      <c r="C61" s="1851" t="s">
        <v>2610</v>
      </c>
      <c r="D61" s="1851" t="s">
        <v>2611</v>
      </c>
      <c r="E61" s="1851" t="s">
        <v>2612</v>
      </c>
      <c r="F61" s="1851" t="s">
        <v>2429</v>
      </c>
      <c r="G61" s="1851" t="s">
        <v>28</v>
      </c>
      <c r="H61" s="1851" t="s">
        <v>28</v>
      </c>
      <c r="I61" s="1851" t="s">
        <v>938</v>
      </c>
    </row>
    <row customHeight="1" ht="11.25">
      <c r="A62" s="1851" t="s">
        <v>2381</v>
      </c>
      <c r="B62" s="1851" t="s">
        <v>16</v>
      </c>
      <c r="C62" s="1851" t="s">
        <v>2613</v>
      </c>
      <c r="D62" s="1851" t="s">
        <v>2614</v>
      </c>
      <c r="E62" s="1851" t="s">
        <v>2615</v>
      </c>
      <c r="F62" s="1851" t="s">
        <v>2489</v>
      </c>
      <c r="G62" s="1851" t="s">
        <v>28</v>
      </c>
      <c r="H62" s="1851" t="s">
        <v>28</v>
      </c>
      <c r="I62" s="1851" t="s">
        <v>938</v>
      </c>
    </row>
    <row customHeight="1" ht="11.25">
      <c r="A63" s="1851" t="s">
        <v>2381</v>
      </c>
      <c r="B63" s="1851" t="s">
        <v>16</v>
      </c>
      <c r="C63" s="1851" t="s">
        <v>2616</v>
      </c>
      <c r="D63" s="1851" t="s">
        <v>2617</v>
      </c>
      <c r="E63" s="1851" t="s">
        <v>2618</v>
      </c>
      <c r="F63" s="1851" t="s">
        <v>2619</v>
      </c>
      <c r="G63" s="1851" t="s">
        <v>2620</v>
      </c>
      <c r="H63" s="1851" t="s">
        <v>28</v>
      </c>
      <c r="I63" s="1851" t="s">
        <v>938</v>
      </c>
    </row>
    <row customHeight="1" ht="11.25">
      <c r="A64" s="1851" t="s">
        <v>2381</v>
      </c>
      <c r="B64" s="1851" t="s">
        <v>16</v>
      </c>
      <c r="C64" s="1851" t="s">
        <v>2621</v>
      </c>
      <c r="D64" s="1851" t="s">
        <v>2622</v>
      </c>
      <c r="E64" s="1851" t="s">
        <v>2557</v>
      </c>
      <c r="F64" s="1851" t="s">
        <v>2623</v>
      </c>
      <c r="G64" s="1851" t="s">
        <v>28</v>
      </c>
      <c r="H64" s="1851" t="s">
        <v>28</v>
      </c>
      <c r="I64" s="1851" t="s">
        <v>938</v>
      </c>
    </row>
    <row customHeight="1" ht="11.25">
      <c r="A65" s="1851" t="s">
        <v>2381</v>
      </c>
      <c r="B65" s="1851" t="s">
        <v>16</v>
      </c>
      <c r="C65" s="1851" t="s">
        <v>13</v>
      </c>
      <c r="D65" s="1851" t="s">
        <v>50</v>
      </c>
      <c r="E65" s="1851" t="s">
        <v>53</v>
      </c>
      <c r="F65" s="1851" t="s">
        <v>55</v>
      </c>
      <c r="G65" s="1851" t="s">
        <v>28</v>
      </c>
      <c r="H65" s="1851" t="s">
        <v>28</v>
      </c>
      <c r="I65" s="1851" t="s">
        <v>938</v>
      </c>
    </row>
    <row customHeight="1" ht="11.25">
      <c r="A66" s="1851" t="s">
        <v>2381</v>
      </c>
      <c r="B66" s="1851" t="s">
        <v>16</v>
      </c>
      <c r="C66" s="1851" t="s">
        <v>2624</v>
      </c>
      <c r="D66" s="1851" t="s">
        <v>2625</v>
      </c>
      <c r="E66" s="1851" t="s">
        <v>2618</v>
      </c>
      <c r="F66" s="1851" t="s">
        <v>2626</v>
      </c>
      <c r="G66" s="1851" t="s">
        <v>2627</v>
      </c>
      <c r="H66" s="1851" t="s">
        <v>28</v>
      </c>
      <c r="I66" s="1851" t="s">
        <v>938</v>
      </c>
    </row>
    <row customHeight="1" ht="11.25">
      <c r="A67" s="1851" t="s">
        <v>2381</v>
      </c>
      <c r="B67" s="1851" t="s">
        <v>16</v>
      </c>
      <c r="C67" s="1851" t="s">
        <v>2628</v>
      </c>
      <c r="D67" s="1851" t="s">
        <v>2629</v>
      </c>
      <c r="E67" s="1851" t="s">
        <v>2630</v>
      </c>
      <c r="F67" s="1851" t="s">
        <v>2393</v>
      </c>
      <c r="G67" s="1851" t="s">
        <v>2631</v>
      </c>
      <c r="H67" s="1851" t="s">
        <v>2632</v>
      </c>
      <c r="I67" s="1851" t="s">
        <v>938</v>
      </c>
    </row>
    <row customHeight="1" ht="11.25">
      <c r="A68" s="1851" t="s">
        <v>2381</v>
      </c>
      <c r="B68" s="1851" t="s">
        <v>16</v>
      </c>
      <c r="C68" s="1851" t="s">
        <v>2633</v>
      </c>
      <c r="D68" s="1851" t="s">
        <v>2634</v>
      </c>
      <c r="E68" s="1851" t="s">
        <v>2635</v>
      </c>
      <c r="F68" s="1851" t="s">
        <v>2636</v>
      </c>
      <c r="G68" s="1851" t="s">
        <v>28</v>
      </c>
      <c r="H68" s="1851" t="s">
        <v>28</v>
      </c>
      <c r="I68" s="1851" t="s">
        <v>938</v>
      </c>
    </row>
    <row customHeight="1" ht="11.25">
      <c r="A69" s="1851" t="s">
        <v>2381</v>
      </c>
      <c r="B69" s="1851" t="s">
        <v>16</v>
      </c>
      <c r="C69" s="1851" t="s">
        <v>2637</v>
      </c>
      <c r="D69" s="1851" t="s">
        <v>2638</v>
      </c>
      <c r="E69" s="1851" t="s">
        <v>2639</v>
      </c>
      <c r="F69" s="1851" t="s">
        <v>2640</v>
      </c>
      <c r="G69" s="1851" t="s">
        <v>2641</v>
      </c>
      <c r="H69" s="1851" t="s">
        <v>28</v>
      </c>
      <c r="I69" s="1851" t="s">
        <v>938</v>
      </c>
    </row>
    <row customHeight="1" ht="11.25">
      <c r="A70" s="1851" t="s">
        <v>2381</v>
      </c>
      <c r="B70" s="1851" t="s">
        <v>16</v>
      </c>
      <c r="C70" s="1851" t="s">
        <v>2642</v>
      </c>
      <c r="D70" s="1851" t="s">
        <v>2643</v>
      </c>
      <c r="E70" s="1851" t="s">
        <v>2644</v>
      </c>
      <c r="F70" s="1851" t="s">
        <v>2393</v>
      </c>
      <c r="G70" s="1851" t="s">
        <v>28</v>
      </c>
      <c r="H70" s="1851" t="s">
        <v>28</v>
      </c>
      <c r="I70" s="1851" t="s">
        <v>938</v>
      </c>
    </row>
    <row customHeight="1" ht="11.25">
      <c r="A71" s="1851" t="s">
        <v>2381</v>
      </c>
      <c r="B71" s="1851" t="s">
        <v>16</v>
      </c>
      <c r="C71" s="1851" t="s">
        <v>2645</v>
      </c>
      <c r="D71" s="1851" t="s">
        <v>2646</v>
      </c>
      <c r="E71" s="1851" t="s">
        <v>2647</v>
      </c>
      <c r="F71" s="1851" t="s">
        <v>2563</v>
      </c>
      <c r="G71" s="1851" t="s">
        <v>28</v>
      </c>
      <c r="H71" s="1851" t="s">
        <v>28</v>
      </c>
      <c r="I71" s="1851" t="s">
        <v>938</v>
      </c>
    </row>
    <row customHeight="1" ht="11.25">
      <c r="A72" s="1851" t="s">
        <v>2381</v>
      </c>
      <c r="B72" s="1851" t="s">
        <v>16</v>
      </c>
      <c r="C72" s="1851" t="s">
        <v>2382</v>
      </c>
      <c r="D72" s="1851" t="s">
        <v>2383</v>
      </c>
      <c r="E72" s="1851" t="s">
        <v>2384</v>
      </c>
      <c r="F72" s="1851" t="s">
        <v>2385</v>
      </c>
      <c r="G72" s="1851" t="s">
        <v>2386</v>
      </c>
      <c r="H72" s="1851" t="s">
        <v>28</v>
      </c>
      <c r="I72" s="1851" t="s">
        <v>1024</v>
      </c>
    </row>
    <row customHeight="1" ht="11.25">
      <c r="A73" s="1851" t="s">
        <v>2381</v>
      </c>
      <c r="B73" s="1851" t="s">
        <v>16</v>
      </c>
      <c r="C73" s="1851" t="s">
        <v>2387</v>
      </c>
      <c r="D73" s="1851" t="s">
        <v>2383</v>
      </c>
      <c r="E73" s="1851" t="s">
        <v>2384</v>
      </c>
      <c r="F73" s="1851" t="s">
        <v>2388</v>
      </c>
      <c r="G73" s="1851" t="s">
        <v>2389</v>
      </c>
      <c r="H73" s="1851" t="s">
        <v>28</v>
      </c>
      <c r="I73" s="1851" t="s">
        <v>1024</v>
      </c>
    </row>
    <row customHeight="1" ht="11.25">
      <c r="A74" s="1851" t="s">
        <v>2381</v>
      </c>
      <c r="B74" s="1851" t="s">
        <v>16</v>
      </c>
      <c r="C74" s="1851" t="s">
        <v>2399</v>
      </c>
      <c r="D74" s="1851" t="s">
        <v>2400</v>
      </c>
      <c r="E74" s="1851" t="s">
        <v>2401</v>
      </c>
      <c r="F74" s="1851" t="s">
        <v>2402</v>
      </c>
      <c r="G74" s="1851" t="s">
        <v>28</v>
      </c>
      <c r="H74" s="1851" t="s">
        <v>28</v>
      </c>
      <c r="I74" s="1851" t="s">
        <v>1024</v>
      </c>
    </row>
    <row customHeight="1" ht="11.25">
      <c r="A75" s="1851" t="s">
        <v>2381</v>
      </c>
      <c r="B75" s="1851" t="s">
        <v>16</v>
      </c>
      <c r="C75" s="1851" t="s">
        <v>2403</v>
      </c>
      <c r="D75" s="1851" t="s">
        <v>2404</v>
      </c>
      <c r="E75" s="1851" t="s">
        <v>2405</v>
      </c>
      <c r="F75" s="1851" t="s">
        <v>2406</v>
      </c>
      <c r="G75" s="1851" t="s">
        <v>2407</v>
      </c>
      <c r="H75" s="1851" t="s">
        <v>28</v>
      </c>
      <c r="I75" s="1851" t="s">
        <v>1024</v>
      </c>
    </row>
    <row customHeight="1" ht="11.25">
      <c r="A76" s="1851" t="s">
        <v>2381</v>
      </c>
      <c r="B76" s="1851" t="s">
        <v>16</v>
      </c>
      <c r="C76" s="1851" t="s">
        <v>2408</v>
      </c>
      <c r="D76" s="1851" t="s">
        <v>2409</v>
      </c>
      <c r="E76" s="1851" t="s">
        <v>2410</v>
      </c>
      <c r="F76" s="1851" t="s">
        <v>2411</v>
      </c>
      <c r="G76" s="1851" t="s">
        <v>28</v>
      </c>
      <c r="H76" s="1851" t="s">
        <v>28</v>
      </c>
      <c r="I76" s="1851" t="s">
        <v>1024</v>
      </c>
    </row>
    <row customHeight="1" ht="11.25">
      <c r="A77" s="1851" t="s">
        <v>2381</v>
      </c>
      <c r="B77" s="1851" t="s">
        <v>16</v>
      </c>
      <c r="C77" s="1851" t="s">
        <v>2412</v>
      </c>
      <c r="D77" s="1851" t="s">
        <v>2413</v>
      </c>
      <c r="E77" s="1851" t="s">
        <v>2414</v>
      </c>
      <c r="F77" s="1851" t="s">
        <v>55</v>
      </c>
      <c r="G77" s="1851" t="s">
        <v>28</v>
      </c>
      <c r="H77" s="1851" t="s">
        <v>28</v>
      </c>
      <c r="I77" s="1851" t="s">
        <v>1024</v>
      </c>
    </row>
    <row customHeight="1" ht="11.25">
      <c r="A78" s="1851" t="s">
        <v>2381</v>
      </c>
      <c r="B78" s="1851" t="s">
        <v>16</v>
      </c>
      <c r="C78" s="1851" t="s">
        <v>2419</v>
      </c>
      <c r="D78" s="1851" t="s">
        <v>2420</v>
      </c>
      <c r="E78" s="1851" t="s">
        <v>2421</v>
      </c>
      <c r="F78" s="1851" t="s">
        <v>55</v>
      </c>
      <c r="G78" s="1851" t="s">
        <v>28</v>
      </c>
      <c r="H78" s="1851" t="s">
        <v>28</v>
      </c>
      <c r="I78" s="1851" t="s">
        <v>1024</v>
      </c>
    </row>
    <row customHeight="1" ht="11.25">
      <c r="A79" s="1851" t="s">
        <v>2381</v>
      </c>
      <c r="B79" s="1851" t="s">
        <v>16</v>
      </c>
      <c r="C79" s="1851" t="s">
        <v>2426</v>
      </c>
      <c r="D79" s="1851" t="s">
        <v>2427</v>
      </c>
      <c r="E79" s="1851" t="s">
        <v>2428</v>
      </c>
      <c r="F79" s="1851" t="s">
        <v>2429</v>
      </c>
      <c r="G79" s="1851" t="s">
        <v>2430</v>
      </c>
      <c r="H79" s="1851" t="s">
        <v>28</v>
      </c>
      <c r="I79" s="1851" t="s">
        <v>1024</v>
      </c>
    </row>
    <row customHeight="1" ht="11.25">
      <c r="A80" s="1851" t="s">
        <v>2381</v>
      </c>
      <c r="B80" s="1851" t="s">
        <v>16</v>
      </c>
      <c r="C80" s="1851" t="s">
        <v>2431</v>
      </c>
      <c r="D80" s="1851" t="s">
        <v>2432</v>
      </c>
      <c r="E80" s="1851" t="s">
        <v>2433</v>
      </c>
      <c r="F80" s="1851" t="s">
        <v>2434</v>
      </c>
      <c r="G80" s="1851" t="s">
        <v>28</v>
      </c>
      <c r="H80" s="1851" t="s">
        <v>28</v>
      </c>
      <c r="I80" s="1851" t="s">
        <v>1024</v>
      </c>
    </row>
    <row customHeight="1" ht="11.25">
      <c r="A81" s="1851" t="s">
        <v>2381</v>
      </c>
      <c r="B81" s="1851" t="s">
        <v>16</v>
      </c>
      <c r="C81" s="1851" t="s">
        <v>2444</v>
      </c>
      <c r="D81" s="1851" t="s">
        <v>2445</v>
      </c>
      <c r="E81" s="1851" t="s">
        <v>2446</v>
      </c>
      <c r="F81" s="1851" t="s">
        <v>55</v>
      </c>
      <c r="G81" s="1851" t="s">
        <v>2447</v>
      </c>
      <c r="H81" s="1851" t="s">
        <v>28</v>
      </c>
      <c r="I81" s="1851" t="s">
        <v>1024</v>
      </c>
    </row>
    <row customHeight="1" ht="11.25">
      <c r="A82" s="1851" t="s">
        <v>2381</v>
      </c>
      <c r="B82" s="1851" t="s">
        <v>16</v>
      </c>
      <c r="C82" s="1851" t="s">
        <v>2455</v>
      </c>
      <c r="D82" s="1851" t="s">
        <v>2456</v>
      </c>
      <c r="E82" s="1851" t="s">
        <v>2457</v>
      </c>
      <c r="F82" s="1851" t="s">
        <v>2458</v>
      </c>
      <c r="G82" s="1851" t="s">
        <v>28</v>
      </c>
      <c r="H82" s="1851" t="s">
        <v>28</v>
      </c>
      <c r="I82" s="1851" t="s">
        <v>1024</v>
      </c>
    </row>
    <row customHeight="1" ht="11.25">
      <c r="A83" s="1851" t="s">
        <v>2381</v>
      </c>
      <c r="B83" s="1851" t="s">
        <v>16</v>
      </c>
      <c r="C83" s="1851" t="s">
        <v>2459</v>
      </c>
      <c r="D83" s="1851" t="s">
        <v>2460</v>
      </c>
      <c r="E83" s="1851" t="s">
        <v>2461</v>
      </c>
      <c r="F83" s="1851" t="s">
        <v>55</v>
      </c>
      <c r="G83" s="1851" t="s">
        <v>2462</v>
      </c>
      <c r="H83" s="1851" t="s">
        <v>28</v>
      </c>
      <c r="I83" s="1851" t="s">
        <v>1024</v>
      </c>
    </row>
    <row customHeight="1" ht="11.25">
      <c r="A84" s="1851" t="s">
        <v>2381</v>
      </c>
      <c r="B84" s="1851" t="s">
        <v>16</v>
      </c>
      <c r="C84" s="1851" t="s">
        <v>2463</v>
      </c>
      <c r="D84" s="1851" t="s">
        <v>2464</v>
      </c>
      <c r="E84" s="1851" t="s">
        <v>2465</v>
      </c>
      <c r="F84" s="1851" t="s">
        <v>2466</v>
      </c>
      <c r="G84" s="1851" t="s">
        <v>28</v>
      </c>
      <c r="H84" s="1851" t="s">
        <v>28</v>
      </c>
      <c r="I84" s="1851" t="s">
        <v>1024</v>
      </c>
    </row>
    <row customHeight="1" ht="11.25">
      <c r="A85" s="1851" t="s">
        <v>2381</v>
      </c>
      <c r="B85" s="1851" t="s">
        <v>16</v>
      </c>
      <c r="C85" s="1851" t="s">
        <v>28</v>
      </c>
      <c r="D85" s="1851" t="s">
        <v>2467</v>
      </c>
      <c r="E85" s="1851" t="s">
        <v>2468</v>
      </c>
      <c r="F85" s="1851" t="s">
        <v>55</v>
      </c>
      <c r="G85" s="1851" t="s">
        <v>28</v>
      </c>
      <c r="H85" s="1851" t="s">
        <v>28</v>
      </c>
      <c r="I85" s="1851" t="s">
        <v>1024</v>
      </c>
    </row>
    <row customHeight="1" ht="11.25">
      <c r="A86" s="1851" t="s">
        <v>2381</v>
      </c>
      <c r="B86" s="1851" t="s">
        <v>16</v>
      </c>
      <c r="C86" s="1851" t="s">
        <v>2469</v>
      </c>
      <c r="D86" s="1851" t="s">
        <v>2470</v>
      </c>
      <c r="E86" s="1851" t="s">
        <v>2471</v>
      </c>
      <c r="F86" s="1851" t="s">
        <v>2472</v>
      </c>
      <c r="G86" s="1851" t="s">
        <v>28</v>
      </c>
      <c r="H86" s="1851" t="s">
        <v>28</v>
      </c>
      <c r="I86" s="1851" t="s">
        <v>1024</v>
      </c>
    </row>
    <row customHeight="1" ht="11.25">
      <c r="A87" s="1851" t="s">
        <v>2381</v>
      </c>
      <c r="B87" s="1851" t="s">
        <v>16</v>
      </c>
      <c r="C87" s="1851" t="s">
        <v>2494</v>
      </c>
      <c r="D87" s="1851" t="s">
        <v>2495</v>
      </c>
      <c r="E87" s="1851" t="s">
        <v>2496</v>
      </c>
      <c r="F87" s="1851" t="s">
        <v>2497</v>
      </c>
      <c r="G87" s="1851" t="s">
        <v>28</v>
      </c>
      <c r="H87" s="1851" t="s">
        <v>28</v>
      </c>
      <c r="I87" s="1851" t="s">
        <v>1024</v>
      </c>
    </row>
    <row customHeight="1" ht="11.25">
      <c r="A88" s="1851" t="s">
        <v>2381</v>
      </c>
      <c r="B88" s="1851" t="s">
        <v>16</v>
      </c>
      <c r="C88" s="1851" t="s">
        <v>2498</v>
      </c>
      <c r="D88" s="1851" t="s">
        <v>2499</v>
      </c>
      <c r="E88" s="1851" t="s">
        <v>2500</v>
      </c>
      <c r="F88" s="1851" t="s">
        <v>2402</v>
      </c>
      <c r="G88" s="1851" t="s">
        <v>28</v>
      </c>
      <c r="H88" s="1851" t="s">
        <v>28</v>
      </c>
      <c r="I88" s="1851" t="s">
        <v>1024</v>
      </c>
    </row>
    <row customHeight="1" ht="11.25">
      <c r="A89" s="1851" t="s">
        <v>2381</v>
      </c>
      <c r="B89" s="1851" t="s">
        <v>16</v>
      </c>
      <c r="C89" s="1851" t="s">
        <v>2501</v>
      </c>
      <c r="D89" s="1851" t="s">
        <v>2502</v>
      </c>
      <c r="E89" s="1851" t="s">
        <v>2503</v>
      </c>
      <c r="F89" s="1851" t="s">
        <v>2393</v>
      </c>
      <c r="G89" s="1851" t="s">
        <v>28</v>
      </c>
      <c r="H89" s="1851" t="s">
        <v>28</v>
      </c>
      <c r="I89" s="1851" t="s">
        <v>1024</v>
      </c>
    </row>
    <row customHeight="1" ht="11.25">
      <c r="A90" s="1851" t="s">
        <v>2381</v>
      </c>
      <c r="B90" s="1851" t="s">
        <v>16</v>
      </c>
      <c r="C90" s="1851" t="s">
        <v>2504</v>
      </c>
      <c r="D90" s="1851" t="s">
        <v>2505</v>
      </c>
      <c r="E90" s="1851" t="s">
        <v>2506</v>
      </c>
      <c r="F90" s="1851" t="s">
        <v>2438</v>
      </c>
      <c r="G90" s="1851" t="s">
        <v>28</v>
      </c>
      <c r="H90" s="1851" t="s">
        <v>2507</v>
      </c>
      <c r="I90" s="1851" t="s">
        <v>1024</v>
      </c>
    </row>
    <row customHeight="1" ht="11.25">
      <c r="A91" s="1851" t="s">
        <v>2381</v>
      </c>
      <c r="B91" s="1851" t="s">
        <v>16</v>
      </c>
      <c r="C91" s="1851" t="s">
        <v>2508</v>
      </c>
      <c r="D91" s="1851" t="s">
        <v>2509</v>
      </c>
      <c r="E91" s="1851" t="s">
        <v>2510</v>
      </c>
      <c r="F91" s="1851" t="s">
        <v>2393</v>
      </c>
      <c r="G91" s="1851" t="s">
        <v>28</v>
      </c>
      <c r="H91" s="1851" t="s">
        <v>2511</v>
      </c>
      <c r="I91" s="1851" t="s">
        <v>1024</v>
      </c>
    </row>
    <row customHeight="1" ht="11.25">
      <c r="A92" s="1851" t="s">
        <v>2381</v>
      </c>
      <c r="B92" s="1851" t="s">
        <v>16</v>
      </c>
      <c r="C92" s="1851" t="s">
        <v>2512</v>
      </c>
      <c r="D92" s="1851" t="s">
        <v>2513</v>
      </c>
      <c r="E92" s="1851" t="s">
        <v>2514</v>
      </c>
      <c r="F92" s="1851" t="s">
        <v>55</v>
      </c>
      <c r="G92" s="1851" t="s">
        <v>28</v>
      </c>
      <c r="H92" s="1851" t="s">
        <v>28</v>
      </c>
      <c r="I92" s="1851" t="s">
        <v>1024</v>
      </c>
    </row>
    <row customHeight="1" ht="11.25">
      <c r="A93" s="1851" t="s">
        <v>2381</v>
      </c>
      <c r="B93" s="1851" t="s">
        <v>16</v>
      </c>
      <c r="C93" s="1851" t="s">
        <v>2526</v>
      </c>
      <c r="D93" s="1851" t="s">
        <v>2527</v>
      </c>
      <c r="E93" s="1851" t="s">
        <v>2528</v>
      </c>
      <c r="F93" s="1851" t="s">
        <v>2472</v>
      </c>
      <c r="G93" s="1851" t="s">
        <v>28</v>
      </c>
      <c r="H93" s="1851" t="s">
        <v>28</v>
      </c>
      <c r="I93" s="1851" t="s">
        <v>1024</v>
      </c>
    </row>
    <row customHeight="1" ht="11.25">
      <c r="A94" s="1851" t="s">
        <v>2381</v>
      </c>
      <c r="B94" s="1851" t="s">
        <v>16</v>
      </c>
      <c r="C94" s="1851" t="s">
        <v>2529</v>
      </c>
      <c r="D94" s="1851" t="s">
        <v>2530</v>
      </c>
      <c r="E94" s="1851" t="s">
        <v>2531</v>
      </c>
      <c r="F94" s="1851" t="s">
        <v>2393</v>
      </c>
      <c r="G94" s="1851" t="s">
        <v>28</v>
      </c>
      <c r="H94" s="1851" t="s">
        <v>28</v>
      </c>
      <c r="I94" s="1851" t="s">
        <v>1024</v>
      </c>
    </row>
    <row customHeight="1" ht="11.25">
      <c r="A95" s="1851" t="s">
        <v>2381</v>
      </c>
      <c r="B95" s="1851" t="s">
        <v>16</v>
      </c>
      <c r="C95" s="1851" t="s">
        <v>2532</v>
      </c>
      <c r="D95" s="1851" t="s">
        <v>2533</v>
      </c>
      <c r="E95" s="1851" t="s">
        <v>2534</v>
      </c>
      <c r="F95" s="1851" t="s">
        <v>2438</v>
      </c>
      <c r="G95" s="1851" t="s">
        <v>28</v>
      </c>
      <c r="H95" s="1851" t="s">
        <v>28</v>
      </c>
      <c r="I95" s="1851" t="s">
        <v>1024</v>
      </c>
    </row>
    <row customHeight="1" ht="11.25">
      <c r="A96" s="1851" t="s">
        <v>2381</v>
      </c>
      <c r="B96" s="1851" t="s">
        <v>16</v>
      </c>
      <c r="C96" s="1851" t="s">
        <v>2535</v>
      </c>
      <c r="D96" s="1851" t="s">
        <v>2536</v>
      </c>
      <c r="E96" s="1851" t="s">
        <v>2537</v>
      </c>
      <c r="F96" s="1851" t="s">
        <v>2538</v>
      </c>
      <c r="G96" s="1851" t="s">
        <v>28</v>
      </c>
      <c r="H96" s="1851" t="s">
        <v>28</v>
      </c>
      <c r="I96" s="1851" t="s">
        <v>1024</v>
      </c>
    </row>
    <row customHeight="1" ht="11.25">
      <c r="A97" s="1851" t="s">
        <v>2381</v>
      </c>
      <c r="B97" s="1851" t="s">
        <v>16</v>
      </c>
      <c r="C97" s="1851" t="s">
        <v>2547</v>
      </c>
      <c r="D97" s="1851" t="s">
        <v>2548</v>
      </c>
      <c r="E97" s="1851" t="s">
        <v>2549</v>
      </c>
      <c r="F97" s="1851" t="s">
        <v>2393</v>
      </c>
      <c r="G97" s="1851" t="s">
        <v>28</v>
      </c>
      <c r="H97" s="1851" t="s">
        <v>28</v>
      </c>
      <c r="I97" s="1851" t="s">
        <v>1024</v>
      </c>
    </row>
    <row customHeight="1" ht="11.25">
      <c r="A98" s="1851" t="s">
        <v>2381</v>
      </c>
      <c r="B98" s="1851" t="s">
        <v>16</v>
      </c>
      <c r="C98" s="1851" t="s">
        <v>2550</v>
      </c>
      <c r="D98" s="1851" t="s">
        <v>2551</v>
      </c>
      <c r="E98" s="1851" t="s">
        <v>2552</v>
      </c>
      <c r="F98" s="1851" t="s">
        <v>2553</v>
      </c>
      <c r="G98" s="1851" t="s">
        <v>2554</v>
      </c>
      <c r="H98" s="1851" t="s">
        <v>28</v>
      </c>
      <c r="I98" s="1851" t="s">
        <v>1024</v>
      </c>
    </row>
    <row customHeight="1" ht="11.25">
      <c r="A99" s="1851" t="s">
        <v>2381</v>
      </c>
      <c r="B99" s="1851" t="s">
        <v>16</v>
      </c>
      <c r="C99" s="1851" t="s">
        <v>2560</v>
      </c>
      <c r="D99" s="1851" t="s">
        <v>2561</v>
      </c>
      <c r="E99" s="1851" t="s">
        <v>2562</v>
      </c>
      <c r="F99" s="1851" t="s">
        <v>2563</v>
      </c>
      <c r="G99" s="1851" t="s">
        <v>28</v>
      </c>
      <c r="H99" s="1851" t="s">
        <v>28</v>
      </c>
      <c r="I99" s="1851" t="s">
        <v>1024</v>
      </c>
    </row>
    <row customHeight="1" ht="11.25">
      <c r="A100" s="1851" t="s">
        <v>2381</v>
      </c>
      <c r="B100" s="1851" t="s">
        <v>16</v>
      </c>
      <c r="C100" s="1851" t="s">
        <v>2564</v>
      </c>
      <c r="D100" s="1851" t="s">
        <v>2565</v>
      </c>
      <c r="E100" s="1851" t="s">
        <v>2566</v>
      </c>
      <c r="F100" s="1851" t="s">
        <v>2393</v>
      </c>
      <c r="G100" s="1851" t="s">
        <v>28</v>
      </c>
      <c r="H100" s="1851" t="s">
        <v>28</v>
      </c>
      <c r="I100" s="1851" t="s">
        <v>1024</v>
      </c>
    </row>
    <row customHeight="1" ht="11.25">
      <c r="A101" s="1851" t="s">
        <v>2381</v>
      </c>
      <c r="B101" s="1851" t="s">
        <v>16</v>
      </c>
      <c r="C101" s="1851" t="s">
        <v>2572</v>
      </c>
      <c r="D101" s="1851" t="s">
        <v>2573</v>
      </c>
      <c r="E101" s="1851" t="s">
        <v>2574</v>
      </c>
      <c r="F101" s="1851" t="s">
        <v>2393</v>
      </c>
      <c r="G101" s="1851" t="s">
        <v>28</v>
      </c>
      <c r="H101" s="1851" t="s">
        <v>28</v>
      </c>
      <c r="I101" s="1851" t="s">
        <v>1024</v>
      </c>
    </row>
    <row customHeight="1" ht="11.25">
      <c r="A102" s="1851" t="s">
        <v>2381</v>
      </c>
      <c r="B102" s="1851" t="s">
        <v>16</v>
      </c>
      <c r="C102" s="1851" t="s">
        <v>2575</v>
      </c>
      <c r="D102" s="1851" t="s">
        <v>2576</v>
      </c>
      <c r="E102" s="1851" t="s">
        <v>2577</v>
      </c>
      <c r="F102" s="1851" t="s">
        <v>2578</v>
      </c>
      <c r="G102" s="1851" t="s">
        <v>2579</v>
      </c>
      <c r="H102" s="1851" t="s">
        <v>28</v>
      </c>
      <c r="I102" s="1851" t="s">
        <v>1024</v>
      </c>
    </row>
    <row customHeight="1" ht="11.25">
      <c r="A103" s="1851" t="s">
        <v>2381</v>
      </c>
      <c r="B103" s="1851" t="s">
        <v>16</v>
      </c>
      <c r="C103" s="1851" t="s">
        <v>2580</v>
      </c>
      <c r="D103" s="1851" t="s">
        <v>2581</v>
      </c>
      <c r="E103" s="1851" t="s">
        <v>2582</v>
      </c>
      <c r="F103" s="1851" t="s">
        <v>55</v>
      </c>
      <c r="G103" s="1851" t="s">
        <v>28</v>
      </c>
      <c r="H103" s="1851" t="s">
        <v>2583</v>
      </c>
      <c r="I103" s="1851" t="s">
        <v>1024</v>
      </c>
    </row>
    <row customHeight="1" ht="11.25">
      <c r="A104" s="1851" t="s">
        <v>2381</v>
      </c>
      <c r="B104" s="1851" t="s">
        <v>16</v>
      </c>
      <c r="C104" s="1851" t="s">
        <v>2584</v>
      </c>
      <c r="D104" s="1851" t="s">
        <v>2585</v>
      </c>
      <c r="E104" s="1851" t="s">
        <v>2586</v>
      </c>
      <c r="F104" s="1851" t="s">
        <v>2489</v>
      </c>
      <c r="G104" s="1851" t="s">
        <v>28</v>
      </c>
      <c r="H104" s="1851" t="s">
        <v>28</v>
      </c>
      <c r="I104" s="1851" t="s">
        <v>1024</v>
      </c>
    </row>
    <row customHeight="1" ht="11.25">
      <c r="A105" s="1851" t="s">
        <v>2381</v>
      </c>
      <c r="B105" s="1851" t="s">
        <v>16</v>
      </c>
      <c r="C105" s="1851" t="s">
        <v>2594</v>
      </c>
      <c r="D105" s="1851" t="s">
        <v>2595</v>
      </c>
      <c r="E105" s="1851" t="s">
        <v>2596</v>
      </c>
      <c r="F105" s="1851" t="s">
        <v>2402</v>
      </c>
      <c r="G105" s="1851" t="s">
        <v>2597</v>
      </c>
      <c r="H105" s="1851" t="s">
        <v>28</v>
      </c>
      <c r="I105" s="1851" t="s">
        <v>1024</v>
      </c>
    </row>
    <row customHeight="1" ht="11.25">
      <c r="A106" s="1851" t="s">
        <v>2381</v>
      </c>
      <c r="B106" s="1851" t="s">
        <v>16</v>
      </c>
      <c r="C106" s="1851" t="s">
        <v>2598</v>
      </c>
      <c r="D106" s="1851" t="s">
        <v>2599</v>
      </c>
      <c r="E106" s="1851" t="s">
        <v>2600</v>
      </c>
      <c r="F106" s="1851" t="s">
        <v>2601</v>
      </c>
      <c r="G106" s="1851" t="s">
        <v>28</v>
      </c>
      <c r="H106" s="1851" t="s">
        <v>28</v>
      </c>
      <c r="I106" s="1851" t="s">
        <v>1024</v>
      </c>
    </row>
    <row customHeight="1" ht="11.25">
      <c r="A107" s="1851" t="s">
        <v>2381</v>
      </c>
      <c r="B107" s="1851" t="s">
        <v>16</v>
      </c>
      <c r="C107" s="1851" t="s">
        <v>2607</v>
      </c>
      <c r="D107" s="1851" t="s">
        <v>2608</v>
      </c>
      <c r="E107" s="1851" t="s">
        <v>2609</v>
      </c>
      <c r="F107" s="1851" t="s">
        <v>2578</v>
      </c>
      <c r="G107" s="1851" t="s">
        <v>28</v>
      </c>
      <c r="H107" s="1851" t="s">
        <v>28</v>
      </c>
      <c r="I107" s="1851" t="s">
        <v>1024</v>
      </c>
    </row>
    <row customHeight="1" ht="11.25">
      <c r="A108" s="1851" t="s">
        <v>2381</v>
      </c>
      <c r="B108" s="1851" t="s">
        <v>16</v>
      </c>
      <c r="C108" s="1851" t="s">
        <v>2610</v>
      </c>
      <c r="D108" s="1851" t="s">
        <v>2611</v>
      </c>
      <c r="E108" s="1851" t="s">
        <v>2612</v>
      </c>
      <c r="F108" s="1851" t="s">
        <v>2429</v>
      </c>
      <c r="G108" s="1851" t="s">
        <v>28</v>
      </c>
      <c r="H108" s="1851" t="s">
        <v>28</v>
      </c>
      <c r="I108" s="1851" t="s">
        <v>1024</v>
      </c>
    </row>
    <row customHeight="1" ht="11.25">
      <c r="A109" s="1851" t="s">
        <v>2381</v>
      </c>
      <c r="B109" s="1851" t="s">
        <v>16</v>
      </c>
      <c r="C109" s="1851" t="s">
        <v>2613</v>
      </c>
      <c r="D109" s="1851" t="s">
        <v>2614</v>
      </c>
      <c r="E109" s="1851" t="s">
        <v>2615</v>
      </c>
      <c r="F109" s="1851" t="s">
        <v>2489</v>
      </c>
      <c r="G109" s="1851" t="s">
        <v>28</v>
      </c>
      <c r="H109" s="1851" t="s">
        <v>28</v>
      </c>
      <c r="I109" s="1851" t="s">
        <v>1024</v>
      </c>
    </row>
    <row customHeight="1" ht="11.25">
      <c r="A110" s="1851" t="s">
        <v>2381</v>
      </c>
      <c r="B110" s="1851" t="s">
        <v>16</v>
      </c>
      <c r="C110" s="1851" t="s">
        <v>2616</v>
      </c>
      <c r="D110" s="1851" t="s">
        <v>2617</v>
      </c>
      <c r="E110" s="1851" t="s">
        <v>2618</v>
      </c>
      <c r="F110" s="1851" t="s">
        <v>2619</v>
      </c>
      <c r="G110" s="1851" t="s">
        <v>2620</v>
      </c>
      <c r="H110" s="1851" t="s">
        <v>28</v>
      </c>
      <c r="I110" s="1851" t="s">
        <v>1024</v>
      </c>
    </row>
    <row customHeight="1" ht="11.25">
      <c r="A111" s="1851" t="s">
        <v>2381</v>
      </c>
      <c r="B111" s="1851" t="s">
        <v>16</v>
      </c>
      <c r="C111" s="1851" t="s">
        <v>13</v>
      </c>
      <c r="D111" s="1851" t="s">
        <v>50</v>
      </c>
      <c r="E111" s="1851" t="s">
        <v>53</v>
      </c>
      <c r="F111" s="1851" t="s">
        <v>55</v>
      </c>
      <c r="G111" s="1851" t="s">
        <v>28</v>
      </c>
      <c r="H111" s="1851" t="s">
        <v>28</v>
      </c>
      <c r="I111" s="1851" t="s">
        <v>1024</v>
      </c>
    </row>
    <row customHeight="1" ht="11.25">
      <c r="A112" s="1851" t="s">
        <v>2381</v>
      </c>
      <c r="B112" s="1851" t="s">
        <v>16</v>
      </c>
      <c r="C112" s="1851" t="s">
        <v>2624</v>
      </c>
      <c r="D112" s="1851" t="s">
        <v>2625</v>
      </c>
      <c r="E112" s="1851" t="s">
        <v>2618</v>
      </c>
      <c r="F112" s="1851" t="s">
        <v>2626</v>
      </c>
      <c r="G112" s="1851" t="s">
        <v>2627</v>
      </c>
      <c r="H112" s="1851" t="s">
        <v>28</v>
      </c>
      <c r="I112" s="1851" t="s">
        <v>1024</v>
      </c>
    </row>
    <row customHeight="1" ht="11.25">
      <c r="A113" s="1851" t="s">
        <v>2381</v>
      </c>
      <c r="B113" s="1851" t="s">
        <v>16</v>
      </c>
      <c r="C113" s="1851" t="s">
        <v>2633</v>
      </c>
      <c r="D113" s="1851" t="s">
        <v>2634</v>
      </c>
      <c r="E113" s="1851" t="s">
        <v>2635</v>
      </c>
      <c r="F113" s="1851" t="s">
        <v>2636</v>
      </c>
      <c r="G113" s="1851" t="s">
        <v>28</v>
      </c>
      <c r="H113" s="1851" t="s">
        <v>28</v>
      </c>
      <c r="I113" s="1851" t="s">
        <v>1024</v>
      </c>
    </row>
    <row customHeight="1" ht="11.25">
      <c r="A114" s="1851" t="s">
        <v>2381</v>
      </c>
      <c r="B114" s="1851" t="s">
        <v>16</v>
      </c>
      <c r="C114" s="1851" t="s">
        <v>2382</v>
      </c>
      <c r="D114" s="1851" t="s">
        <v>2383</v>
      </c>
      <c r="E114" s="1851" t="s">
        <v>2384</v>
      </c>
      <c r="F114" s="1851" t="s">
        <v>2385</v>
      </c>
      <c r="G114" s="1851" t="s">
        <v>2386</v>
      </c>
      <c r="H114" s="1851" t="s">
        <v>28</v>
      </c>
      <c r="I114" s="1851" t="s">
        <v>984</v>
      </c>
    </row>
    <row customHeight="1" ht="11.25">
      <c r="A115" s="1851" t="s">
        <v>2381</v>
      </c>
      <c r="B115" s="1851" t="s">
        <v>16</v>
      </c>
      <c r="C115" s="1851" t="s">
        <v>2387</v>
      </c>
      <c r="D115" s="1851" t="s">
        <v>2383</v>
      </c>
      <c r="E115" s="1851" t="s">
        <v>2384</v>
      </c>
      <c r="F115" s="1851" t="s">
        <v>2388</v>
      </c>
      <c r="G115" s="1851" t="s">
        <v>2389</v>
      </c>
      <c r="H115" s="1851" t="s">
        <v>28</v>
      </c>
      <c r="I115" s="1851" t="s">
        <v>984</v>
      </c>
    </row>
    <row customHeight="1" ht="11.25">
      <c r="A116" s="1851" t="s">
        <v>2381</v>
      </c>
      <c r="B116" s="1851" t="s">
        <v>16</v>
      </c>
      <c r="C116" s="1851" t="s">
        <v>2648</v>
      </c>
      <c r="D116" s="1851" t="s">
        <v>2649</v>
      </c>
      <c r="E116" s="1851" t="s">
        <v>2650</v>
      </c>
      <c r="F116" s="1851" t="s">
        <v>2451</v>
      </c>
      <c r="G116" s="1851" t="s">
        <v>2651</v>
      </c>
      <c r="H116" s="1851" t="s">
        <v>28</v>
      </c>
      <c r="I116" s="1851" t="s">
        <v>984</v>
      </c>
    </row>
    <row customHeight="1" ht="11.25">
      <c r="A117" s="1851" t="s">
        <v>2381</v>
      </c>
      <c r="B117" s="1851" t="s">
        <v>16</v>
      </c>
      <c r="C117" s="1851" t="s">
        <v>2390</v>
      </c>
      <c r="D117" s="1851" t="s">
        <v>2391</v>
      </c>
      <c r="E117" s="1851" t="s">
        <v>2392</v>
      </c>
      <c r="F117" s="1851" t="s">
        <v>2393</v>
      </c>
      <c r="G117" s="1851" t="s">
        <v>28</v>
      </c>
      <c r="H117" s="1851" t="s">
        <v>28</v>
      </c>
      <c r="I117" s="1851" t="s">
        <v>984</v>
      </c>
    </row>
    <row customHeight="1" ht="11.25">
      <c r="A118" s="1851" t="s">
        <v>2381</v>
      </c>
      <c r="B118" s="1851" t="s">
        <v>16</v>
      </c>
      <c r="C118" s="1851" t="s">
        <v>2652</v>
      </c>
      <c r="D118" s="1851" t="s">
        <v>2653</v>
      </c>
      <c r="E118" s="1851" t="s">
        <v>2654</v>
      </c>
      <c r="F118" s="1851" t="s">
        <v>2393</v>
      </c>
      <c r="G118" s="1851" t="s">
        <v>2655</v>
      </c>
      <c r="H118" s="1851" t="s">
        <v>28</v>
      </c>
      <c r="I118" s="1851" t="s">
        <v>984</v>
      </c>
    </row>
    <row customHeight="1" ht="11.25">
      <c r="A119" s="1851" t="s">
        <v>2381</v>
      </c>
      <c r="B119" s="1851" t="s">
        <v>16</v>
      </c>
      <c r="C119" s="1851" t="s">
        <v>2403</v>
      </c>
      <c r="D119" s="1851" t="s">
        <v>2404</v>
      </c>
      <c r="E119" s="1851" t="s">
        <v>2405</v>
      </c>
      <c r="F119" s="1851" t="s">
        <v>2406</v>
      </c>
      <c r="G119" s="1851" t="s">
        <v>2407</v>
      </c>
      <c r="H119" s="1851" t="s">
        <v>28</v>
      </c>
      <c r="I119" s="1851" t="s">
        <v>984</v>
      </c>
    </row>
    <row customHeight="1" ht="11.25">
      <c r="A120" s="1851" t="s">
        <v>2381</v>
      </c>
      <c r="B120" s="1851" t="s">
        <v>16</v>
      </c>
      <c r="C120" s="1851" t="s">
        <v>2656</v>
      </c>
      <c r="D120" s="1851" t="s">
        <v>2657</v>
      </c>
      <c r="E120" s="1851" t="s">
        <v>2658</v>
      </c>
      <c r="F120" s="1851" t="s">
        <v>2411</v>
      </c>
      <c r="G120" s="1851" t="s">
        <v>2659</v>
      </c>
      <c r="H120" s="1851" t="s">
        <v>28</v>
      </c>
      <c r="I120" s="1851" t="s">
        <v>984</v>
      </c>
    </row>
    <row customHeight="1" ht="11.25">
      <c r="A121" s="1851" t="s">
        <v>2381</v>
      </c>
      <c r="B121" s="1851" t="s">
        <v>16</v>
      </c>
      <c r="C121" s="1851" t="s">
        <v>2415</v>
      </c>
      <c r="D121" s="1851" t="s">
        <v>2416</v>
      </c>
      <c r="E121" s="1851" t="s">
        <v>2417</v>
      </c>
      <c r="F121" s="1851" t="s">
        <v>55</v>
      </c>
      <c r="G121" s="1851" t="s">
        <v>2418</v>
      </c>
      <c r="H121" s="1851" t="s">
        <v>28</v>
      </c>
      <c r="I121" s="1851" t="s">
        <v>984</v>
      </c>
    </row>
    <row customHeight="1" ht="11.25">
      <c r="A122" s="1851" t="s">
        <v>2381</v>
      </c>
      <c r="B122" s="1851" t="s">
        <v>16</v>
      </c>
      <c r="C122" s="1851" t="s">
        <v>2422</v>
      </c>
      <c r="D122" s="1851" t="s">
        <v>2423</v>
      </c>
      <c r="E122" s="1851" t="s">
        <v>2424</v>
      </c>
      <c r="F122" s="1851" t="s">
        <v>2425</v>
      </c>
      <c r="G122" s="1851" t="s">
        <v>28</v>
      </c>
      <c r="H122" s="1851" t="s">
        <v>28</v>
      </c>
      <c r="I122" s="1851" t="s">
        <v>984</v>
      </c>
    </row>
    <row customHeight="1" ht="11.25">
      <c r="A123" s="1851" t="s">
        <v>2381</v>
      </c>
      <c r="B123" s="1851" t="s">
        <v>16</v>
      </c>
      <c r="C123" s="1851" t="s">
        <v>2426</v>
      </c>
      <c r="D123" s="1851" t="s">
        <v>2427</v>
      </c>
      <c r="E123" s="1851" t="s">
        <v>2428</v>
      </c>
      <c r="F123" s="1851" t="s">
        <v>2429</v>
      </c>
      <c r="G123" s="1851" t="s">
        <v>2430</v>
      </c>
      <c r="H123" s="1851" t="s">
        <v>28</v>
      </c>
      <c r="I123" s="1851" t="s">
        <v>984</v>
      </c>
    </row>
    <row customHeight="1" ht="11.25">
      <c r="A124" s="1851" t="s">
        <v>2381</v>
      </c>
      <c r="B124" s="1851" t="s">
        <v>16</v>
      </c>
      <c r="C124" s="1851" t="s">
        <v>2660</v>
      </c>
      <c r="D124" s="1851" t="s">
        <v>2661</v>
      </c>
      <c r="E124" s="1851" t="s">
        <v>2442</v>
      </c>
      <c r="F124" s="1851" t="s">
        <v>2640</v>
      </c>
      <c r="G124" s="1851" t="s">
        <v>2662</v>
      </c>
      <c r="H124" s="1851" t="s">
        <v>28</v>
      </c>
      <c r="I124" s="1851" t="s">
        <v>984</v>
      </c>
    </row>
    <row customHeight="1" ht="11.25">
      <c r="A125" s="1851" t="s">
        <v>2381</v>
      </c>
      <c r="B125" s="1851" t="s">
        <v>16</v>
      </c>
      <c r="C125" s="1851" t="s">
        <v>2444</v>
      </c>
      <c r="D125" s="1851" t="s">
        <v>2445</v>
      </c>
      <c r="E125" s="1851" t="s">
        <v>2446</v>
      </c>
      <c r="F125" s="1851" t="s">
        <v>55</v>
      </c>
      <c r="G125" s="1851" t="s">
        <v>2447</v>
      </c>
      <c r="H125" s="1851" t="s">
        <v>28</v>
      </c>
      <c r="I125" s="1851" t="s">
        <v>984</v>
      </c>
    </row>
    <row customHeight="1" ht="11.25">
      <c r="A126" s="1851" t="s">
        <v>2381</v>
      </c>
      <c r="B126" s="1851" t="s">
        <v>16</v>
      </c>
      <c r="C126" s="1851" t="s">
        <v>2455</v>
      </c>
      <c r="D126" s="1851" t="s">
        <v>2456</v>
      </c>
      <c r="E126" s="1851" t="s">
        <v>2457</v>
      </c>
      <c r="F126" s="1851" t="s">
        <v>2458</v>
      </c>
      <c r="G126" s="1851" t="s">
        <v>28</v>
      </c>
      <c r="H126" s="1851" t="s">
        <v>28</v>
      </c>
      <c r="I126" s="1851" t="s">
        <v>984</v>
      </c>
    </row>
    <row customHeight="1" ht="11.25">
      <c r="A127" s="1851" t="s">
        <v>2381</v>
      </c>
      <c r="B127" s="1851" t="s">
        <v>16</v>
      </c>
      <c r="C127" s="1851" t="s">
        <v>2663</v>
      </c>
      <c r="D127" s="1851" t="s">
        <v>2664</v>
      </c>
      <c r="E127" s="1851" t="s">
        <v>2665</v>
      </c>
      <c r="F127" s="1851" t="s">
        <v>2489</v>
      </c>
      <c r="G127" s="1851" t="s">
        <v>2666</v>
      </c>
      <c r="H127" s="1851" t="s">
        <v>28</v>
      </c>
      <c r="I127" s="1851" t="s">
        <v>984</v>
      </c>
    </row>
    <row customHeight="1" ht="11.25">
      <c r="A128" s="1851" t="s">
        <v>2381</v>
      </c>
      <c r="B128" s="1851" t="s">
        <v>16</v>
      </c>
      <c r="C128" s="1851" t="s">
        <v>2459</v>
      </c>
      <c r="D128" s="1851" t="s">
        <v>2460</v>
      </c>
      <c r="E128" s="1851" t="s">
        <v>2461</v>
      </c>
      <c r="F128" s="1851" t="s">
        <v>55</v>
      </c>
      <c r="G128" s="1851" t="s">
        <v>2462</v>
      </c>
      <c r="H128" s="1851" t="s">
        <v>28</v>
      </c>
      <c r="I128" s="1851" t="s">
        <v>984</v>
      </c>
    </row>
    <row customHeight="1" ht="11.25">
      <c r="A129" s="1851" t="s">
        <v>2381</v>
      </c>
      <c r="B129" s="1851" t="s">
        <v>16</v>
      </c>
      <c r="C129" s="1851" t="s">
        <v>2667</v>
      </c>
      <c r="D129" s="1851" t="s">
        <v>2668</v>
      </c>
      <c r="E129" s="1851" t="s">
        <v>2669</v>
      </c>
      <c r="F129" s="1851" t="s">
        <v>2553</v>
      </c>
      <c r="G129" s="1851" t="s">
        <v>2670</v>
      </c>
      <c r="H129" s="1851" t="s">
        <v>28</v>
      </c>
      <c r="I129" s="1851" t="s">
        <v>984</v>
      </c>
    </row>
    <row customHeight="1" ht="11.25">
      <c r="A130" s="1851" t="s">
        <v>2381</v>
      </c>
      <c r="B130" s="1851" t="s">
        <v>16</v>
      </c>
      <c r="C130" s="1851" t="s">
        <v>2463</v>
      </c>
      <c r="D130" s="1851" t="s">
        <v>2464</v>
      </c>
      <c r="E130" s="1851" t="s">
        <v>2465</v>
      </c>
      <c r="F130" s="1851" t="s">
        <v>2466</v>
      </c>
      <c r="G130" s="1851" t="s">
        <v>28</v>
      </c>
      <c r="H130" s="1851" t="s">
        <v>28</v>
      </c>
      <c r="I130" s="1851" t="s">
        <v>984</v>
      </c>
    </row>
    <row customHeight="1" ht="11.25">
      <c r="A131" s="1851" t="s">
        <v>2381</v>
      </c>
      <c r="B131" s="1851" t="s">
        <v>16</v>
      </c>
      <c r="C131" s="1851" t="s">
        <v>28</v>
      </c>
      <c r="D131" s="1851" t="s">
        <v>2467</v>
      </c>
      <c r="E131" s="1851" t="s">
        <v>2468</v>
      </c>
      <c r="F131" s="1851" t="s">
        <v>55</v>
      </c>
      <c r="G131" s="1851" t="s">
        <v>28</v>
      </c>
      <c r="H131" s="1851" t="s">
        <v>28</v>
      </c>
      <c r="I131" s="1851" t="s">
        <v>984</v>
      </c>
    </row>
    <row customHeight="1" ht="11.25">
      <c r="A132" s="1851" t="s">
        <v>2381</v>
      </c>
      <c r="B132" s="1851" t="s">
        <v>16</v>
      </c>
      <c r="C132" s="1851" t="s">
        <v>2469</v>
      </c>
      <c r="D132" s="1851" t="s">
        <v>2470</v>
      </c>
      <c r="E132" s="1851" t="s">
        <v>2471</v>
      </c>
      <c r="F132" s="1851" t="s">
        <v>2472</v>
      </c>
      <c r="G132" s="1851" t="s">
        <v>28</v>
      </c>
      <c r="H132" s="1851" t="s">
        <v>28</v>
      </c>
      <c r="I132" s="1851" t="s">
        <v>984</v>
      </c>
    </row>
    <row customHeight="1" ht="11.25">
      <c r="A133" s="1851" t="s">
        <v>2381</v>
      </c>
      <c r="B133" s="1851" t="s">
        <v>16</v>
      </c>
      <c r="C133" s="1851" t="s">
        <v>2671</v>
      </c>
      <c r="D133" s="1851" t="s">
        <v>2672</v>
      </c>
      <c r="E133" s="1851" t="s">
        <v>2673</v>
      </c>
      <c r="F133" s="1851" t="s">
        <v>2393</v>
      </c>
      <c r="G133" s="1851" t="s">
        <v>28</v>
      </c>
      <c r="H133" s="1851" t="s">
        <v>28</v>
      </c>
      <c r="I133" s="1851" t="s">
        <v>984</v>
      </c>
    </row>
    <row customHeight="1" ht="11.25">
      <c r="A134" s="1851" t="s">
        <v>2381</v>
      </c>
      <c r="B134" s="1851" t="s">
        <v>16</v>
      </c>
      <c r="C134" s="1851" t="s">
        <v>2473</v>
      </c>
      <c r="D134" s="1851" t="s">
        <v>2474</v>
      </c>
      <c r="E134" s="1851" t="s">
        <v>2475</v>
      </c>
      <c r="F134" s="1851" t="s">
        <v>2393</v>
      </c>
      <c r="G134" s="1851" t="s">
        <v>28</v>
      </c>
      <c r="H134" s="1851" t="s">
        <v>2476</v>
      </c>
      <c r="I134" s="1851" t="s">
        <v>984</v>
      </c>
    </row>
    <row customHeight="1" ht="11.25">
      <c r="A135" s="1851" t="s">
        <v>2381</v>
      </c>
      <c r="B135" s="1851" t="s">
        <v>16</v>
      </c>
      <c r="C135" s="1851" t="s">
        <v>2477</v>
      </c>
      <c r="D135" s="1851" t="s">
        <v>2478</v>
      </c>
      <c r="E135" s="1851" t="s">
        <v>2479</v>
      </c>
      <c r="F135" s="1851" t="s">
        <v>2472</v>
      </c>
      <c r="G135" s="1851" t="s">
        <v>2480</v>
      </c>
      <c r="H135" s="1851" t="s">
        <v>28</v>
      </c>
      <c r="I135" s="1851" t="s">
        <v>984</v>
      </c>
    </row>
    <row customHeight="1" ht="11.25">
      <c r="A136" s="1851" t="s">
        <v>2381</v>
      </c>
      <c r="B136" s="1851" t="s">
        <v>16</v>
      </c>
      <c r="C136" s="1851" t="s">
        <v>2481</v>
      </c>
      <c r="D136" s="1851" t="s">
        <v>2482</v>
      </c>
      <c r="E136" s="1851" t="s">
        <v>2483</v>
      </c>
      <c r="F136" s="1851" t="s">
        <v>2472</v>
      </c>
      <c r="G136" s="1851" t="s">
        <v>2484</v>
      </c>
      <c r="H136" s="1851" t="s">
        <v>2485</v>
      </c>
      <c r="I136" s="1851" t="s">
        <v>984</v>
      </c>
    </row>
    <row customHeight="1" ht="11.25">
      <c r="A137" s="1851" t="s">
        <v>2381</v>
      </c>
      <c r="B137" s="1851" t="s">
        <v>16</v>
      </c>
      <c r="C137" s="1851" t="s">
        <v>2486</v>
      </c>
      <c r="D137" s="1851" t="s">
        <v>2487</v>
      </c>
      <c r="E137" s="1851" t="s">
        <v>2488</v>
      </c>
      <c r="F137" s="1851" t="s">
        <v>2489</v>
      </c>
      <c r="G137" s="1851" t="s">
        <v>2490</v>
      </c>
      <c r="H137" s="1851" t="s">
        <v>28</v>
      </c>
      <c r="I137" s="1851" t="s">
        <v>984</v>
      </c>
    </row>
    <row customHeight="1" ht="11.25">
      <c r="A138" s="1851" t="s">
        <v>2381</v>
      </c>
      <c r="B138" s="1851" t="s">
        <v>16</v>
      </c>
      <c r="C138" s="1851" t="s">
        <v>2674</v>
      </c>
      <c r="D138" s="1851" t="s">
        <v>2675</v>
      </c>
      <c r="E138" s="1851" t="s">
        <v>2676</v>
      </c>
      <c r="F138" s="1851" t="s">
        <v>2677</v>
      </c>
      <c r="G138" s="1851" t="s">
        <v>28</v>
      </c>
      <c r="H138" s="1851" t="s">
        <v>28</v>
      </c>
      <c r="I138" s="1851" t="s">
        <v>984</v>
      </c>
    </row>
    <row customHeight="1" ht="11.25">
      <c r="A139" s="1851" t="s">
        <v>2381</v>
      </c>
      <c r="B139" s="1851" t="s">
        <v>16</v>
      </c>
      <c r="C139" s="1851" t="s">
        <v>2498</v>
      </c>
      <c r="D139" s="1851" t="s">
        <v>2499</v>
      </c>
      <c r="E139" s="1851" t="s">
        <v>2500</v>
      </c>
      <c r="F139" s="1851" t="s">
        <v>2402</v>
      </c>
      <c r="G139" s="1851" t="s">
        <v>28</v>
      </c>
      <c r="H139" s="1851" t="s">
        <v>28</v>
      </c>
      <c r="I139" s="1851" t="s">
        <v>984</v>
      </c>
    </row>
    <row customHeight="1" ht="11.25">
      <c r="A140" s="1851" t="s">
        <v>2381</v>
      </c>
      <c r="B140" s="1851" t="s">
        <v>16</v>
      </c>
      <c r="C140" s="1851" t="s">
        <v>2501</v>
      </c>
      <c r="D140" s="1851" t="s">
        <v>2502</v>
      </c>
      <c r="E140" s="1851" t="s">
        <v>2503</v>
      </c>
      <c r="F140" s="1851" t="s">
        <v>2393</v>
      </c>
      <c r="G140" s="1851" t="s">
        <v>28</v>
      </c>
      <c r="H140" s="1851" t="s">
        <v>28</v>
      </c>
      <c r="I140" s="1851" t="s">
        <v>984</v>
      </c>
    </row>
    <row customHeight="1" ht="11.25">
      <c r="A141" s="1851" t="s">
        <v>2381</v>
      </c>
      <c r="B141" s="1851" t="s">
        <v>16</v>
      </c>
      <c r="C141" s="1851" t="s">
        <v>2678</v>
      </c>
      <c r="D141" s="1851" t="s">
        <v>2679</v>
      </c>
      <c r="E141" s="1851" t="s">
        <v>2680</v>
      </c>
      <c r="F141" s="1851" t="s">
        <v>2402</v>
      </c>
      <c r="G141" s="1851" t="s">
        <v>2681</v>
      </c>
      <c r="H141" s="1851" t="s">
        <v>2682</v>
      </c>
      <c r="I141" s="1851" t="s">
        <v>984</v>
      </c>
    </row>
    <row customHeight="1" ht="11.25">
      <c r="A142" s="1851" t="s">
        <v>2381</v>
      </c>
      <c r="B142" s="1851" t="s">
        <v>16</v>
      </c>
      <c r="C142" s="1851" t="s">
        <v>2508</v>
      </c>
      <c r="D142" s="1851" t="s">
        <v>2509</v>
      </c>
      <c r="E142" s="1851" t="s">
        <v>2510</v>
      </c>
      <c r="F142" s="1851" t="s">
        <v>2393</v>
      </c>
      <c r="G142" s="1851" t="s">
        <v>28</v>
      </c>
      <c r="H142" s="1851" t="s">
        <v>2511</v>
      </c>
      <c r="I142" s="1851" t="s">
        <v>984</v>
      </c>
    </row>
    <row customHeight="1" ht="11.25">
      <c r="A143" s="1851" t="s">
        <v>2381</v>
      </c>
      <c r="B143" s="1851" t="s">
        <v>16</v>
      </c>
      <c r="C143" s="1851" t="s">
        <v>2515</v>
      </c>
      <c r="D143" s="1851" t="s">
        <v>2516</v>
      </c>
      <c r="E143" s="1851" t="s">
        <v>2517</v>
      </c>
      <c r="F143" s="1851" t="s">
        <v>2489</v>
      </c>
      <c r="G143" s="1851" t="s">
        <v>28</v>
      </c>
      <c r="H143" s="1851" t="s">
        <v>28</v>
      </c>
      <c r="I143" s="1851" t="s">
        <v>984</v>
      </c>
    </row>
    <row customHeight="1" ht="11.25">
      <c r="A144" s="1851" t="s">
        <v>2381</v>
      </c>
      <c r="B144" s="1851" t="s">
        <v>16</v>
      </c>
      <c r="C144" s="1851" t="s">
        <v>2518</v>
      </c>
      <c r="D144" s="1851" t="s">
        <v>2519</v>
      </c>
      <c r="E144" s="1851" t="s">
        <v>2520</v>
      </c>
      <c r="F144" s="1851" t="s">
        <v>2489</v>
      </c>
      <c r="G144" s="1851" t="s">
        <v>2521</v>
      </c>
      <c r="H144" s="1851" t="s">
        <v>28</v>
      </c>
      <c r="I144" s="1851" t="s">
        <v>984</v>
      </c>
    </row>
    <row customHeight="1" ht="11.25">
      <c r="A145" s="1851" t="s">
        <v>2381</v>
      </c>
      <c r="B145" s="1851" t="s">
        <v>16</v>
      </c>
      <c r="C145" s="1851" t="s">
        <v>2683</v>
      </c>
      <c r="D145" s="1851" t="s">
        <v>2684</v>
      </c>
      <c r="E145" s="1851" t="s">
        <v>2685</v>
      </c>
      <c r="F145" s="1851" t="s">
        <v>2472</v>
      </c>
      <c r="G145" s="1851" t="s">
        <v>28</v>
      </c>
      <c r="H145" s="1851" t="s">
        <v>28</v>
      </c>
      <c r="I145" s="1851" t="s">
        <v>984</v>
      </c>
    </row>
    <row customHeight="1" ht="11.25">
      <c r="A146" s="1851" t="s">
        <v>2381</v>
      </c>
      <c r="B146" s="1851" t="s">
        <v>16</v>
      </c>
      <c r="C146" s="1851" t="s">
        <v>2529</v>
      </c>
      <c r="D146" s="1851" t="s">
        <v>2530</v>
      </c>
      <c r="E146" s="1851" t="s">
        <v>2531</v>
      </c>
      <c r="F146" s="1851" t="s">
        <v>2393</v>
      </c>
      <c r="G146" s="1851" t="s">
        <v>28</v>
      </c>
      <c r="H146" s="1851" t="s">
        <v>28</v>
      </c>
      <c r="I146" s="1851" t="s">
        <v>984</v>
      </c>
    </row>
    <row customHeight="1" ht="11.25">
      <c r="A147" s="1851" t="s">
        <v>2381</v>
      </c>
      <c r="B147" s="1851" t="s">
        <v>16</v>
      </c>
      <c r="C147" s="1851" t="s">
        <v>2535</v>
      </c>
      <c r="D147" s="1851" t="s">
        <v>2536</v>
      </c>
      <c r="E147" s="1851" t="s">
        <v>2537</v>
      </c>
      <c r="F147" s="1851" t="s">
        <v>2538</v>
      </c>
      <c r="G147" s="1851" t="s">
        <v>28</v>
      </c>
      <c r="H147" s="1851" t="s">
        <v>28</v>
      </c>
      <c r="I147" s="1851" t="s">
        <v>984</v>
      </c>
    </row>
    <row customHeight="1" ht="11.25">
      <c r="A148" s="1851" t="s">
        <v>2381</v>
      </c>
      <c r="B148" s="1851" t="s">
        <v>16</v>
      </c>
      <c r="C148" s="1851" t="s">
        <v>2543</v>
      </c>
      <c r="D148" s="1851" t="s">
        <v>2544</v>
      </c>
      <c r="E148" s="1851" t="s">
        <v>2545</v>
      </c>
      <c r="F148" s="1851" t="s">
        <v>2489</v>
      </c>
      <c r="G148" s="1851" t="s">
        <v>2546</v>
      </c>
      <c r="H148" s="1851" t="s">
        <v>28</v>
      </c>
      <c r="I148" s="1851" t="s">
        <v>984</v>
      </c>
    </row>
    <row customHeight="1" ht="11.25">
      <c r="A149" s="1851" t="s">
        <v>2381</v>
      </c>
      <c r="B149" s="1851" t="s">
        <v>16</v>
      </c>
      <c r="C149" s="1851" t="s">
        <v>2547</v>
      </c>
      <c r="D149" s="1851" t="s">
        <v>2548</v>
      </c>
      <c r="E149" s="1851" t="s">
        <v>2549</v>
      </c>
      <c r="F149" s="1851" t="s">
        <v>2393</v>
      </c>
      <c r="G149" s="1851" t="s">
        <v>28</v>
      </c>
      <c r="H149" s="1851" t="s">
        <v>28</v>
      </c>
      <c r="I149" s="1851" t="s">
        <v>984</v>
      </c>
    </row>
    <row customHeight="1" ht="11.25">
      <c r="A150" s="1851" t="s">
        <v>2381</v>
      </c>
      <c r="B150" s="1851" t="s">
        <v>16</v>
      </c>
      <c r="C150" s="1851" t="s">
        <v>2686</v>
      </c>
      <c r="D150" s="1851" t="s">
        <v>2687</v>
      </c>
      <c r="E150" s="1851" t="s">
        <v>2688</v>
      </c>
      <c r="F150" s="1851" t="s">
        <v>2677</v>
      </c>
      <c r="G150" s="1851" t="s">
        <v>28</v>
      </c>
      <c r="H150" s="1851" t="s">
        <v>2689</v>
      </c>
      <c r="I150" s="1851" t="s">
        <v>984</v>
      </c>
    </row>
    <row customHeight="1" ht="11.25">
      <c r="A151" s="1851" t="s">
        <v>2381</v>
      </c>
      <c r="B151" s="1851" t="s">
        <v>16</v>
      </c>
      <c r="C151" s="1851" t="s">
        <v>2690</v>
      </c>
      <c r="D151" s="1851" t="s">
        <v>2691</v>
      </c>
      <c r="E151" s="1851" t="s">
        <v>2692</v>
      </c>
      <c r="F151" s="1851" t="s">
        <v>55</v>
      </c>
      <c r="G151" s="1851" t="s">
        <v>2693</v>
      </c>
      <c r="H151" s="1851" t="s">
        <v>2694</v>
      </c>
      <c r="I151" s="1851" t="s">
        <v>984</v>
      </c>
    </row>
    <row customHeight="1" ht="11.25">
      <c r="A152" s="1851" t="s">
        <v>2381</v>
      </c>
      <c r="B152" s="1851" t="s">
        <v>16</v>
      </c>
      <c r="C152" s="1851" t="s">
        <v>2555</v>
      </c>
      <c r="D152" s="1851" t="s">
        <v>2556</v>
      </c>
      <c r="E152" s="1851" t="s">
        <v>2557</v>
      </c>
      <c r="F152" s="1851" t="s">
        <v>2558</v>
      </c>
      <c r="G152" s="1851" t="s">
        <v>2559</v>
      </c>
      <c r="H152" s="1851" t="s">
        <v>28</v>
      </c>
      <c r="I152" s="1851" t="s">
        <v>984</v>
      </c>
    </row>
    <row customHeight="1" ht="11.25">
      <c r="A153" s="1851" t="s">
        <v>2381</v>
      </c>
      <c r="B153" s="1851" t="s">
        <v>16</v>
      </c>
      <c r="C153" s="1851" t="s">
        <v>2695</v>
      </c>
      <c r="D153" s="1851" t="s">
        <v>2696</v>
      </c>
      <c r="E153" s="1851" t="s">
        <v>2697</v>
      </c>
      <c r="F153" s="1851" t="s">
        <v>2698</v>
      </c>
      <c r="G153" s="1851" t="s">
        <v>2699</v>
      </c>
      <c r="H153" s="1851" t="s">
        <v>28</v>
      </c>
      <c r="I153" s="1851" t="s">
        <v>984</v>
      </c>
    </row>
    <row customHeight="1" ht="11.25">
      <c r="A154" s="1851" t="s">
        <v>2381</v>
      </c>
      <c r="B154" s="1851" t="s">
        <v>16</v>
      </c>
      <c r="C154" s="1851" t="s">
        <v>2560</v>
      </c>
      <c r="D154" s="1851" t="s">
        <v>2561</v>
      </c>
      <c r="E154" s="1851" t="s">
        <v>2562</v>
      </c>
      <c r="F154" s="1851" t="s">
        <v>2563</v>
      </c>
      <c r="G154" s="1851" t="s">
        <v>28</v>
      </c>
      <c r="H154" s="1851" t="s">
        <v>28</v>
      </c>
      <c r="I154" s="1851" t="s">
        <v>984</v>
      </c>
    </row>
    <row customHeight="1" ht="11.25">
      <c r="A155" s="1851" t="s">
        <v>2381</v>
      </c>
      <c r="B155" s="1851" t="s">
        <v>16</v>
      </c>
      <c r="C155" s="1851" t="s">
        <v>2700</v>
      </c>
      <c r="D155" s="1851" t="s">
        <v>2701</v>
      </c>
      <c r="E155" s="1851" t="s">
        <v>2702</v>
      </c>
      <c r="F155" s="1851" t="s">
        <v>2703</v>
      </c>
      <c r="G155" s="1851" t="s">
        <v>28</v>
      </c>
      <c r="H155" s="1851" t="s">
        <v>28</v>
      </c>
      <c r="I155" s="1851" t="s">
        <v>984</v>
      </c>
    </row>
    <row customHeight="1" ht="11.25">
      <c r="A156" s="1851" t="s">
        <v>2381</v>
      </c>
      <c r="B156" s="1851" t="s">
        <v>16</v>
      </c>
      <c r="C156" s="1851" t="s">
        <v>2704</v>
      </c>
      <c r="D156" s="1851" t="s">
        <v>2705</v>
      </c>
      <c r="E156" s="1851" t="s">
        <v>2706</v>
      </c>
      <c r="F156" s="1851" t="s">
        <v>2703</v>
      </c>
      <c r="G156" s="1851" t="s">
        <v>28</v>
      </c>
      <c r="H156" s="1851" t="s">
        <v>28</v>
      </c>
      <c r="I156" s="1851" t="s">
        <v>984</v>
      </c>
    </row>
    <row customHeight="1" ht="11.25">
      <c r="A157" s="1851" t="s">
        <v>2381</v>
      </c>
      <c r="B157" s="1851" t="s">
        <v>16</v>
      </c>
      <c r="C157" s="1851" t="s">
        <v>2707</v>
      </c>
      <c r="D157" s="1851" t="s">
        <v>2708</v>
      </c>
      <c r="E157" s="1851" t="s">
        <v>2709</v>
      </c>
      <c r="F157" s="1851" t="s">
        <v>2698</v>
      </c>
      <c r="G157" s="1851" t="s">
        <v>2710</v>
      </c>
      <c r="H157" s="1851" t="s">
        <v>28</v>
      </c>
      <c r="I157" s="1851" t="s">
        <v>984</v>
      </c>
    </row>
    <row customHeight="1" ht="11.25">
      <c r="A158" s="1851" t="s">
        <v>2381</v>
      </c>
      <c r="B158" s="1851" t="s">
        <v>16</v>
      </c>
      <c r="C158" s="1851" t="s">
        <v>2711</v>
      </c>
      <c r="D158" s="1851" t="s">
        <v>2712</v>
      </c>
      <c r="E158" s="1851" t="s">
        <v>2713</v>
      </c>
      <c r="F158" s="1851" t="s">
        <v>2489</v>
      </c>
      <c r="G158" s="1851" t="s">
        <v>2714</v>
      </c>
      <c r="H158" s="1851" t="s">
        <v>28</v>
      </c>
      <c r="I158" s="1851" t="s">
        <v>984</v>
      </c>
    </row>
    <row customHeight="1" ht="11.25">
      <c r="A159" s="1851" t="s">
        <v>2381</v>
      </c>
      <c r="B159" s="1851" t="s">
        <v>16</v>
      </c>
      <c r="C159" s="1851" t="s">
        <v>2575</v>
      </c>
      <c r="D159" s="1851" t="s">
        <v>2576</v>
      </c>
      <c r="E159" s="1851" t="s">
        <v>2577</v>
      </c>
      <c r="F159" s="1851" t="s">
        <v>2578</v>
      </c>
      <c r="G159" s="1851" t="s">
        <v>2579</v>
      </c>
      <c r="H159" s="1851" t="s">
        <v>28</v>
      </c>
      <c r="I159" s="1851" t="s">
        <v>984</v>
      </c>
    </row>
    <row customHeight="1" ht="11.25">
      <c r="A160" s="1851" t="s">
        <v>2381</v>
      </c>
      <c r="B160" s="1851" t="s">
        <v>16</v>
      </c>
      <c r="C160" s="1851" t="s">
        <v>2715</v>
      </c>
      <c r="D160" s="1851" t="s">
        <v>2716</v>
      </c>
      <c r="E160" s="1851" t="s">
        <v>2717</v>
      </c>
      <c r="F160" s="1851" t="s">
        <v>2553</v>
      </c>
      <c r="G160" s="1851" t="s">
        <v>28</v>
      </c>
      <c r="H160" s="1851" t="s">
        <v>28</v>
      </c>
      <c r="I160" s="1851" t="s">
        <v>984</v>
      </c>
    </row>
    <row customHeight="1" ht="11.25">
      <c r="A161" s="1851" t="s">
        <v>2381</v>
      </c>
      <c r="B161" s="1851" t="s">
        <v>16</v>
      </c>
      <c r="C161" s="1851" t="s">
        <v>2718</v>
      </c>
      <c r="D161" s="1851" t="s">
        <v>2719</v>
      </c>
      <c r="E161" s="1851" t="s">
        <v>2720</v>
      </c>
      <c r="F161" s="1851" t="s">
        <v>2578</v>
      </c>
      <c r="G161" s="1851" t="s">
        <v>2721</v>
      </c>
      <c r="H161" s="1851" t="s">
        <v>2722</v>
      </c>
      <c r="I161" s="1851" t="s">
        <v>984</v>
      </c>
    </row>
    <row customHeight="1" ht="11.25">
      <c r="A162" s="1851" t="s">
        <v>2381</v>
      </c>
      <c r="B162" s="1851" t="s">
        <v>16</v>
      </c>
      <c r="C162" s="1851" t="s">
        <v>2594</v>
      </c>
      <c r="D162" s="1851" t="s">
        <v>2595</v>
      </c>
      <c r="E162" s="1851" t="s">
        <v>2596</v>
      </c>
      <c r="F162" s="1851" t="s">
        <v>2402</v>
      </c>
      <c r="G162" s="1851" t="s">
        <v>2597</v>
      </c>
      <c r="H162" s="1851" t="s">
        <v>28</v>
      </c>
      <c r="I162" s="1851" t="s">
        <v>984</v>
      </c>
    </row>
    <row customHeight="1" ht="11.25">
      <c r="A163" s="1851" t="s">
        <v>2381</v>
      </c>
      <c r="B163" s="1851" t="s">
        <v>16</v>
      </c>
      <c r="C163" s="1851" t="s">
        <v>2723</v>
      </c>
      <c r="D163" s="1851" t="s">
        <v>2724</v>
      </c>
      <c r="E163" s="1851" t="s">
        <v>2725</v>
      </c>
      <c r="F163" s="1851" t="s">
        <v>2393</v>
      </c>
      <c r="G163" s="1851" t="s">
        <v>28</v>
      </c>
      <c r="H163" s="1851" t="s">
        <v>2726</v>
      </c>
      <c r="I163" s="1851" t="s">
        <v>984</v>
      </c>
    </row>
    <row customHeight="1" ht="11.25">
      <c r="A164" s="1851" t="s">
        <v>2381</v>
      </c>
      <c r="B164" s="1851" t="s">
        <v>16</v>
      </c>
      <c r="C164" s="1851" t="s">
        <v>2616</v>
      </c>
      <c r="D164" s="1851" t="s">
        <v>2617</v>
      </c>
      <c r="E164" s="1851" t="s">
        <v>2618</v>
      </c>
      <c r="F164" s="1851" t="s">
        <v>2619</v>
      </c>
      <c r="G164" s="1851" t="s">
        <v>2620</v>
      </c>
      <c r="H164" s="1851" t="s">
        <v>28</v>
      </c>
      <c r="I164" s="1851" t="s">
        <v>984</v>
      </c>
    </row>
    <row customHeight="1" ht="11.25">
      <c r="A165" s="1851" t="s">
        <v>2381</v>
      </c>
      <c r="B165" s="1851" t="s">
        <v>16</v>
      </c>
      <c r="C165" s="1851" t="s">
        <v>2621</v>
      </c>
      <c r="D165" s="1851" t="s">
        <v>2622</v>
      </c>
      <c r="E165" s="1851" t="s">
        <v>2557</v>
      </c>
      <c r="F165" s="1851" t="s">
        <v>2623</v>
      </c>
      <c r="G165" s="1851" t="s">
        <v>28</v>
      </c>
      <c r="H165" s="1851" t="s">
        <v>28</v>
      </c>
      <c r="I165" s="1851" t="s">
        <v>984</v>
      </c>
    </row>
    <row customHeight="1" ht="11.25">
      <c r="A166" s="1851" t="s">
        <v>2381</v>
      </c>
      <c r="B166" s="1851" t="s">
        <v>16</v>
      </c>
      <c r="C166" s="1851" t="s">
        <v>2624</v>
      </c>
      <c r="D166" s="1851" t="s">
        <v>2625</v>
      </c>
      <c r="E166" s="1851" t="s">
        <v>2618</v>
      </c>
      <c r="F166" s="1851" t="s">
        <v>2626</v>
      </c>
      <c r="G166" s="1851" t="s">
        <v>2627</v>
      </c>
      <c r="H166" s="1851" t="s">
        <v>28</v>
      </c>
      <c r="I166" s="1851" t="s">
        <v>984</v>
      </c>
    </row>
    <row customHeight="1" ht="11.25">
      <c r="A167" s="1851" t="s">
        <v>2381</v>
      </c>
      <c r="B167" s="1851" t="s">
        <v>16</v>
      </c>
      <c r="C167" s="1851" t="s">
        <v>2628</v>
      </c>
      <c r="D167" s="1851" t="s">
        <v>2629</v>
      </c>
      <c r="E167" s="1851" t="s">
        <v>2630</v>
      </c>
      <c r="F167" s="1851" t="s">
        <v>2393</v>
      </c>
      <c r="G167" s="1851" t="s">
        <v>2631</v>
      </c>
      <c r="H167" s="1851" t="s">
        <v>2632</v>
      </c>
      <c r="I167" s="1851" t="s">
        <v>984</v>
      </c>
    </row>
    <row customHeight="1" ht="11.25">
      <c r="A168" s="1851" t="s">
        <v>2381</v>
      </c>
      <c r="B168" s="1851" t="s">
        <v>16</v>
      </c>
      <c r="C168" s="1851" t="s">
        <v>2633</v>
      </c>
      <c r="D168" s="1851" t="s">
        <v>2634</v>
      </c>
      <c r="E168" s="1851" t="s">
        <v>2635</v>
      </c>
      <c r="F168" s="1851" t="s">
        <v>2636</v>
      </c>
      <c r="G168" s="1851" t="s">
        <v>28</v>
      </c>
      <c r="H168" s="1851" t="s">
        <v>28</v>
      </c>
      <c r="I168" s="1851" t="s">
        <v>984</v>
      </c>
    </row>
    <row customHeight="1" ht="11.25">
      <c r="A169" s="1851" t="s">
        <v>2381</v>
      </c>
      <c r="B169" s="1851" t="s">
        <v>16</v>
      </c>
      <c r="C169" s="1851" t="s">
        <v>2645</v>
      </c>
      <c r="D169" s="1851" t="s">
        <v>2646</v>
      </c>
      <c r="E169" s="1851" t="s">
        <v>2647</v>
      </c>
      <c r="F169" s="1851" t="s">
        <v>2563</v>
      </c>
      <c r="G169" s="1851" t="s">
        <v>28</v>
      </c>
      <c r="H169" s="1851" t="s">
        <v>28</v>
      </c>
      <c r="I169" s="1851" t="s">
        <v>984</v>
      </c>
    </row>
    <row customHeight="1" ht="11.25">
      <c r="A170" s="1851" t="s">
        <v>2381</v>
      </c>
      <c r="B170" s="1851" t="s">
        <v>16</v>
      </c>
      <c r="C170" s="1851" t="s">
        <v>2727</v>
      </c>
      <c r="D170" s="1851" t="s">
        <v>2728</v>
      </c>
      <c r="E170" s="1851" t="s">
        <v>2729</v>
      </c>
      <c r="F170" s="1851" t="s">
        <v>2636</v>
      </c>
      <c r="G170" s="1851" t="s">
        <v>2730</v>
      </c>
      <c r="H170" s="1851" t="s">
        <v>28</v>
      </c>
      <c r="I170" s="1851" t="s">
        <v>1037</v>
      </c>
    </row>
    <row customHeight="1" ht="11.25">
      <c r="A171" s="1851" t="s">
        <v>2381</v>
      </c>
      <c r="B171" s="1851" t="s">
        <v>16</v>
      </c>
      <c r="C171" s="1851" t="s">
        <v>2387</v>
      </c>
      <c r="D171" s="1851" t="s">
        <v>2383</v>
      </c>
      <c r="E171" s="1851" t="s">
        <v>2384</v>
      </c>
      <c r="F171" s="1851" t="s">
        <v>2388</v>
      </c>
      <c r="G171" s="1851" t="s">
        <v>2389</v>
      </c>
      <c r="H171" s="1851" t="s">
        <v>28</v>
      </c>
      <c r="I171" s="1851" t="s">
        <v>1037</v>
      </c>
    </row>
    <row customHeight="1" ht="11.25">
      <c r="A172" s="1851" t="s">
        <v>2381</v>
      </c>
      <c r="B172" s="1851" t="s">
        <v>16</v>
      </c>
      <c r="C172" s="1851" t="s">
        <v>2648</v>
      </c>
      <c r="D172" s="1851" t="s">
        <v>2649</v>
      </c>
      <c r="E172" s="1851" t="s">
        <v>2650</v>
      </c>
      <c r="F172" s="1851" t="s">
        <v>2451</v>
      </c>
      <c r="G172" s="1851" t="s">
        <v>2651</v>
      </c>
      <c r="H172" s="1851" t="s">
        <v>28</v>
      </c>
      <c r="I172" s="1851" t="s">
        <v>1037</v>
      </c>
    </row>
    <row customHeight="1" ht="11.25">
      <c r="A173" s="1851" t="s">
        <v>2381</v>
      </c>
      <c r="B173" s="1851" t="s">
        <v>16</v>
      </c>
      <c r="C173" s="1851" t="s">
        <v>2390</v>
      </c>
      <c r="D173" s="1851" t="s">
        <v>2391</v>
      </c>
      <c r="E173" s="1851" t="s">
        <v>2392</v>
      </c>
      <c r="F173" s="1851" t="s">
        <v>2393</v>
      </c>
      <c r="G173" s="1851" t="s">
        <v>28</v>
      </c>
      <c r="H173" s="1851" t="s">
        <v>28</v>
      </c>
      <c r="I173" s="1851" t="s">
        <v>1037</v>
      </c>
    </row>
    <row customHeight="1" ht="11.25">
      <c r="A174" s="1851" t="s">
        <v>2381</v>
      </c>
      <c r="B174" s="1851" t="s">
        <v>16</v>
      </c>
      <c r="C174" s="1851" t="s">
        <v>2652</v>
      </c>
      <c r="D174" s="1851" t="s">
        <v>2653</v>
      </c>
      <c r="E174" s="1851" t="s">
        <v>2654</v>
      </c>
      <c r="F174" s="1851" t="s">
        <v>2393</v>
      </c>
      <c r="G174" s="1851" t="s">
        <v>2655</v>
      </c>
      <c r="H174" s="1851" t="s">
        <v>28</v>
      </c>
      <c r="I174" s="1851" t="s">
        <v>1037</v>
      </c>
    </row>
    <row customHeight="1" ht="11.25">
      <c r="A175" s="1851" t="s">
        <v>2381</v>
      </c>
      <c r="B175" s="1851" t="s">
        <v>16</v>
      </c>
      <c r="C175" s="1851" t="s">
        <v>2403</v>
      </c>
      <c r="D175" s="1851" t="s">
        <v>2404</v>
      </c>
      <c r="E175" s="1851" t="s">
        <v>2405</v>
      </c>
      <c r="F175" s="1851" t="s">
        <v>2406</v>
      </c>
      <c r="G175" s="1851" t="s">
        <v>2407</v>
      </c>
      <c r="H175" s="1851" t="s">
        <v>28</v>
      </c>
      <c r="I175" s="1851" t="s">
        <v>1037</v>
      </c>
    </row>
    <row customHeight="1" ht="11.25">
      <c r="A176" s="1851" t="s">
        <v>2381</v>
      </c>
      <c r="B176" s="1851" t="s">
        <v>16</v>
      </c>
      <c r="C176" s="1851" t="s">
        <v>2656</v>
      </c>
      <c r="D176" s="1851" t="s">
        <v>2657</v>
      </c>
      <c r="E176" s="1851" t="s">
        <v>2658</v>
      </c>
      <c r="F176" s="1851" t="s">
        <v>2411</v>
      </c>
      <c r="G176" s="1851" t="s">
        <v>2659</v>
      </c>
      <c r="H176" s="1851" t="s">
        <v>28</v>
      </c>
      <c r="I176" s="1851" t="s">
        <v>1037</v>
      </c>
    </row>
    <row customHeight="1" ht="11.25">
      <c r="A177" s="1851" t="s">
        <v>2381</v>
      </c>
      <c r="B177" s="1851" t="s">
        <v>16</v>
      </c>
      <c r="C177" s="1851" t="s">
        <v>2415</v>
      </c>
      <c r="D177" s="1851" t="s">
        <v>2416</v>
      </c>
      <c r="E177" s="1851" t="s">
        <v>2417</v>
      </c>
      <c r="F177" s="1851" t="s">
        <v>55</v>
      </c>
      <c r="G177" s="1851" t="s">
        <v>2418</v>
      </c>
      <c r="H177" s="1851" t="s">
        <v>28</v>
      </c>
      <c r="I177" s="1851" t="s">
        <v>1037</v>
      </c>
    </row>
    <row customHeight="1" ht="11.25">
      <c r="A178" s="1851" t="s">
        <v>2381</v>
      </c>
      <c r="B178" s="1851" t="s">
        <v>16</v>
      </c>
      <c r="C178" s="1851" t="s">
        <v>2426</v>
      </c>
      <c r="D178" s="1851" t="s">
        <v>2427</v>
      </c>
      <c r="E178" s="1851" t="s">
        <v>2428</v>
      </c>
      <c r="F178" s="1851" t="s">
        <v>2429</v>
      </c>
      <c r="G178" s="1851" t="s">
        <v>2430</v>
      </c>
      <c r="H178" s="1851" t="s">
        <v>28</v>
      </c>
      <c r="I178" s="1851" t="s">
        <v>1037</v>
      </c>
    </row>
    <row customHeight="1" ht="11.25">
      <c r="A179" s="1851" t="s">
        <v>2381</v>
      </c>
      <c r="B179" s="1851" t="s">
        <v>16</v>
      </c>
      <c r="C179" s="1851" t="s">
        <v>2660</v>
      </c>
      <c r="D179" s="1851" t="s">
        <v>2661</v>
      </c>
      <c r="E179" s="1851" t="s">
        <v>2442</v>
      </c>
      <c r="F179" s="1851" t="s">
        <v>2640</v>
      </c>
      <c r="G179" s="1851" t="s">
        <v>2662</v>
      </c>
      <c r="H179" s="1851" t="s">
        <v>28</v>
      </c>
      <c r="I179" s="1851" t="s">
        <v>1037</v>
      </c>
    </row>
    <row customHeight="1" ht="11.25">
      <c r="A180" s="1851" t="s">
        <v>2381</v>
      </c>
      <c r="B180" s="1851" t="s">
        <v>16</v>
      </c>
      <c r="C180" s="1851" t="s">
        <v>2444</v>
      </c>
      <c r="D180" s="1851" t="s">
        <v>2445</v>
      </c>
      <c r="E180" s="1851" t="s">
        <v>2446</v>
      </c>
      <c r="F180" s="1851" t="s">
        <v>55</v>
      </c>
      <c r="G180" s="1851" t="s">
        <v>2447</v>
      </c>
      <c r="H180" s="1851" t="s">
        <v>28</v>
      </c>
      <c r="I180" s="1851" t="s">
        <v>1037</v>
      </c>
    </row>
    <row customHeight="1" ht="11.25">
      <c r="A181" s="1851" t="s">
        <v>2381</v>
      </c>
      <c r="B181" s="1851" t="s">
        <v>16</v>
      </c>
      <c r="C181" s="1851" t="s">
        <v>2455</v>
      </c>
      <c r="D181" s="1851" t="s">
        <v>2456</v>
      </c>
      <c r="E181" s="1851" t="s">
        <v>2457</v>
      </c>
      <c r="F181" s="1851" t="s">
        <v>2458</v>
      </c>
      <c r="G181" s="1851" t="s">
        <v>28</v>
      </c>
      <c r="H181" s="1851" t="s">
        <v>28</v>
      </c>
      <c r="I181" s="1851" t="s">
        <v>1037</v>
      </c>
    </row>
    <row customHeight="1" ht="11.25">
      <c r="A182" s="1851" t="s">
        <v>2381</v>
      </c>
      <c r="B182" s="1851" t="s">
        <v>16</v>
      </c>
      <c r="C182" s="1851" t="s">
        <v>2663</v>
      </c>
      <c r="D182" s="1851" t="s">
        <v>2664</v>
      </c>
      <c r="E182" s="1851" t="s">
        <v>2665</v>
      </c>
      <c r="F182" s="1851" t="s">
        <v>2489</v>
      </c>
      <c r="G182" s="1851" t="s">
        <v>2666</v>
      </c>
      <c r="H182" s="1851" t="s">
        <v>28</v>
      </c>
      <c r="I182" s="1851" t="s">
        <v>1037</v>
      </c>
    </row>
    <row customHeight="1" ht="11.25">
      <c r="A183" s="1851" t="s">
        <v>2381</v>
      </c>
      <c r="B183" s="1851" t="s">
        <v>16</v>
      </c>
      <c r="C183" s="1851" t="s">
        <v>2459</v>
      </c>
      <c r="D183" s="1851" t="s">
        <v>2460</v>
      </c>
      <c r="E183" s="1851" t="s">
        <v>2461</v>
      </c>
      <c r="F183" s="1851" t="s">
        <v>55</v>
      </c>
      <c r="G183" s="1851" t="s">
        <v>2462</v>
      </c>
      <c r="H183" s="1851" t="s">
        <v>28</v>
      </c>
      <c r="I183" s="1851" t="s">
        <v>1037</v>
      </c>
    </row>
    <row customHeight="1" ht="11.25">
      <c r="A184" s="1851" t="s">
        <v>2381</v>
      </c>
      <c r="B184" s="1851" t="s">
        <v>16</v>
      </c>
      <c r="C184" s="1851" t="s">
        <v>2667</v>
      </c>
      <c r="D184" s="1851" t="s">
        <v>2668</v>
      </c>
      <c r="E184" s="1851" t="s">
        <v>2669</v>
      </c>
      <c r="F184" s="1851" t="s">
        <v>2553</v>
      </c>
      <c r="G184" s="1851" t="s">
        <v>2670</v>
      </c>
      <c r="H184" s="1851" t="s">
        <v>28</v>
      </c>
      <c r="I184" s="1851" t="s">
        <v>1037</v>
      </c>
    </row>
    <row customHeight="1" ht="11.25">
      <c r="A185" s="1851" t="s">
        <v>2381</v>
      </c>
      <c r="B185" s="1851" t="s">
        <v>16</v>
      </c>
      <c r="C185" s="1851" t="s">
        <v>2463</v>
      </c>
      <c r="D185" s="1851" t="s">
        <v>2464</v>
      </c>
      <c r="E185" s="1851" t="s">
        <v>2465</v>
      </c>
      <c r="F185" s="1851" t="s">
        <v>2466</v>
      </c>
      <c r="G185" s="1851" t="s">
        <v>28</v>
      </c>
      <c r="H185" s="1851" t="s">
        <v>28</v>
      </c>
      <c r="I185" s="1851" t="s">
        <v>1037</v>
      </c>
    </row>
    <row customHeight="1" ht="11.25">
      <c r="A186" s="1851" t="s">
        <v>2381</v>
      </c>
      <c r="B186" s="1851" t="s">
        <v>16</v>
      </c>
      <c r="C186" s="1851" t="s">
        <v>28</v>
      </c>
      <c r="D186" s="1851" t="s">
        <v>2467</v>
      </c>
      <c r="E186" s="1851" t="s">
        <v>2468</v>
      </c>
      <c r="F186" s="1851" t="s">
        <v>55</v>
      </c>
      <c r="G186" s="1851" t="s">
        <v>28</v>
      </c>
      <c r="H186" s="1851" t="s">
        <v>28</v>
      </c>
      <c r="I186" s="1851" t="s">
        <v>1037</v>
      </c>
    </row>
    <row customHeight="1" ht="11.25">
      <c r="A187" s="1851" t="s">
        <v>2381</v>
      </c>
      <c r="B187" s="1851" t="s">
        <v>16</v>
      </c>
      <c r="C187" s="1851" t="s">
        <v>2469</v>
      </c>
      <c r="D187" s="1851" t="s">
        <v>2470</v>
      </c>
      <c r="E187" s="1851" t="s">
        <v>2471</v>
      </c>
      <c r="F187" s="1851" t="s">
        <v>2472</v>
      </c>
      <c r="G187" s="1851" t="s">
        <v>28</v>
      </c>
      <c r="H187" s="1851" t="s">
        <v>28</v>
      </c>
      <c r="I187" s="1851" t="s">
        <v>1037</v>
      </c>
    </row>
    <row customHeight="1" ht="11.25">
      <c r="A188" s="1851" t="s">
        <v>2381</v>
      </c>
      <c r="B188" s="1851" t="s">
        <v>16</v>
      </c>
      <c r="C188" s="1851" t="s">
        <v>2473</v>
      </c>
      <c r="D188" s="1851" t="s">
        <v>2474</v>
      </c>
      <c r="E188" s="1851" t="s">
        <v>2475</v>
      </c>
      <c r="F188" s="1851" t="s">
        <v>2393</v>
      </c>
      <c r="G188" s="1851" t="s">
        <v>28</v>
      </c>
      <c r="H188" s="1851" t="s">
        <v>2476</v>
      </c>
      <c r="I188" s="1851" t="s">
        <v>1037</v>
      </c>
    </row>
    <row customHeight="1" ht="11.25">
      <c r="A189" s="1851" t="s">
        <v>2381</v>
      </c>
      <c r="B189" s="1851" t="s">
        <v>16</v>
      </c>
      <c r="C189" s="1851" t="s">
        <v>2477</v>
      </c>
      <c r="D189" s="1851" t="s">
        <v>2478</v>
      </c>
      <c r="E189" s="1851" t="s">
        <v>2479</v>
      </c>
      <c r="F189" s="1851" t="s">
        <v>2472</v>
      </c>
      <c r="G189" s="1851" t="s">
        <v>2480</v>
      </c>
      <c r="H189" s="1851" t="s">
        <v>28</v>
      </c>
      <c r="I189" s="1851" t="s">
        <v>1037</v>
      </c>
    </row>
    <row customHeight="1" ht="11.25">
      <c r="A190" s="1851" t="s">
        <v>2381</v>
      </c>
      <c r="B190" s="1851" t="s">
        <v>16</v>
      </c>
      <c r="C190" s="1851" t="s">
        <v>2481</v>
      </c>
      <c r="D190" s="1851" t="s">
        <v>2482</v>
      </c>
      <c r="E190" s="1851" t="s">
        <v>2483</v>
      </c>
      <c r="F190" s="1851" t="s">
        <v>2472</v>
      </c>
      <c r="G190" s="1851" t="s">
        <v>2484</v>
      </c>
      <c r="H190" s="1851" t="s">
        <v>2485</v>
      </c>
      <c r="I190" s="1851" t="s">
        <v>1037</v>
      </c>
    </row>
    <row customHeight="1" ht="11.25">
      <c r="A191" s="1851" t="s">
        <v>2381</v>
      </c>
      <c r="B191" s="1851" t="s">
        <v>16</v>
      </c>
      <c r="C191" s="1851" t="s">
        <v>2486</v>
      </c>
      <c r="D191" s="1851" t="s">
        <v>2487</v>
      </c>
      <c r="E191" s="1851" t="s">
        <v>2488</v>
      </c>
      <c r="F191" s="1851" t="s">
        <v>2489</v>
      </c>
      <c r="G191" s="1851" t="s">
        <v>2490</v>
      </c>
      <c r="H191" s="1851" t="s">
        <v>28</v>
      </c>
      <c r="I191" s="1851" t="s">
        <v>1037</v>
      </c>
    </row>
    <row customHeight="1" ht="11.25">
      <c r="A192" s="1851" t="s">
        <v>2381</v>
      </c>
      <c r="B192" s="1851" t="s">
        <v>16</v>
      </c>
      <c r="C192" s="1851" t="s">
        <v>2674</v>
      </c>
      <c r="D192" s="1851" t="s">
        <v>2675</v>
      </c>
      <c r="E192" s="1851" t="s">
        <v>2676</v>
      </c>
      <c r="F192" s="1851" t="s">
        <v>2677</v>
      </c>
      <c r="G192" s="1851" t="s">
        <v>28</v>
      </c>
      <c r="H192" s="1851" t="s">
        <v>28</v>
      </c>
      <c r="I192" s="1851" t="s">
        <v>1037</v>
      </c>
    </row>
    <row customHeight="1" ht="11.25">
      <c r="A193" s="1851" t="s">
        <v>2381</v>
      </c>
      <c r="B193" s="1851" t="s">
        <v>16</v>
      </c>
      <c r="C193" s="1851" t="s">
        <v>2498</v>
      </c>
      <c r="D193" s="1851" t="s">
        <v>2499</v>
      </c>
      <c r="E193" s="1851" t="s">
        <v>2500</v>
      </c>
      <c r="F193" s="1851" t="s">
        <v>2402</v>
      </c>
      <c r="G193" s="1851" t="s">
        <v>28</v>
      </c>
      <c r="H193" s="1851" t="s">
        <v>28</v>
      </c>
      <c r="I193" s="1851" t="s">
        <v>1037</v>
      </c>
    </row>
    <row customHeight="1" ht="11.25">
      <c r="A194" s="1851" t="s">
        <v>2381</v>
      </c>
      <c r="B194" s="1851" t="s">
        <v>16</v>
      </c>
      <c r="C194" s="1851" t="s">
        <v>2501</v>
      </c>
      <c r="D194" s="1851" t="s">
        <v>2502</v>
      </c>
      <c r="E194" s="1851" t="s">
        <v>2503</v>
      </c>
      <c r="F194" s="1851" t="s">
        <v>2393</v>
      </c>
      <c r="G194" s="1851" t="s">
        <v>28</v>
      </c>
      <c r="H194" s="1851" t="s">
        <v>28</v>
      </c>
      <c r="I194" s="1851" t="s">
        <v>1037</v>
      </c>
    </row>
    <row customHeight="1" ht="11.25">
      <c r="A195" s="1851" t="s">
        <v>2381</v>
      </c>
      <c r="B195" s="1851" t="s">
        <v>16</v>
      </c>
      <c r="C195" s="1851" t="s">
        <v>2678</v>
      </c>
      <c r="D195" s="1851" t="s">
        <v>2679</v>
      </c>
      <c r="E195" s="1851" t="s">
        <v>2680</v>
      </c>
      <c r="F195" s="1851" t="s">
        <v>2402</v>
      </c>
      <c r="G195" s="1851" t="s">
        <v>2681</v>
      </c>
      <c r="H195" s="1851" t="s">
        <v>2682</v>
      </c>
      <c r="I195" s="1851" t="s">
        <v>1037</v>
      </c>
    </row>
    <row customHeight="1" ht="11.25">
      <c r="A196" s="1851" t="s">
        <v>2381</v>
      </c>
      <c r="B196" s="1851" t="s">
        <v>16</v>
      </c>
      <c r="C196" s="1851" t="s">
        <v>2508</v>
      </c>
      <c r="D196" s="1851" t="s">
        <v>2509</v>
      </c>
      <c r="E196" s="1851" t="s">
        <v>2510</v>
      </c>
      <c r="F196" s="1851" t="s">
        <v>2393</v>
      </c>
      <c r="G196" s="1851" t="s">
        <v>28</v>
      </c>
      <c r="H196" s="1851" t="s">
        <v>2511</v>
      </c>
      <c r="I196" s="1851" t="s">
        <v>1037</v>
      </c>
    </row>
    <row customHeight="1" ht="11.25">
      <c r="A197" s="1851" t="s">
        <v>2381</v>
      </c>
      <c r="B197" s="1851" t="s">
        <v>16</v>
      </c>
      <c r="C197" s="1851" t="s">
        <v>2515</v>
      </c>
      <c r="D197" s="1851" t="s">
        <v>2516</v>
      </c>
      <c r="E197" s="1851" t="s">
        <v>2517</v>
      </c>
      <c r="F197" s="1851" t="s">
        <v>2489</v>
      </c>
      <c r="G197" s="1851" t="s">
        <v>28</v>
      </c>
      <c r="H197" s="1851" t="s">
        <v>28</v>
      </c>
      <c r="I197" s="1851" t="s">
        <v>1037</v>
      </c>
    </row>
    <row customHeight="1" ht="11.25">
      <c r="A198" s="1851" t="s">
        <v>2381</v>
      </c>
      <c r="B198" s="1851" t="s">
        <v>16</v>
      </c>
      <c r="C198" s="1851" t="s">
        <v>2518</v>
      </c>
      <c r="D198" s="1851" t="s">
        <v>2519</v>
      </c>
      <c r="E198" s="1851" t="s">
        <v>2520</v>
      </c>
      <c r="F198" s="1851" t="s">
        <v>2489</v>
      </c>
      <c r="G198" s="1851" t="s">
        <v>2521</v>
      </c>
      <c r="H198" s="1851" t="s">
        <v>28</v>
      </c>
      <c r="I198" s="1851" t="s">
        <v>1037</v>
      </c>
    </row>
    <row customHeight="1" ht="11.25">
      <c r="A199" s="1851" t="s">
        <v>2381</v>
      </c>
      <c r="B199" s="1851" t="s">
        <v>16</v>
      </c>
      <c r="C199" s="1851" t="s">
        <v>2683</v>
      </c>
      <c r="D199" s="1851" t="s">
        <v>2684</v>
      </c>
      <c r="E199" s="1851" t="s">
        <v>2685</v>
      </c>
      <c r="F199" s="1851" t="s">
        <v>2472</v>
      </c>
      <c r="G199" s="1851" t="s">
        <v>28</v>
      </c>
      <c r="H199" s="1851" t="s">
        <v>28</v>
      </c>
      <c r="I199" s="1851" t="s">
        <v>1037</v>
      </c>
    </row>
    <row customHeight="1" ht="11.25">
      <c r="A200" s="1851" t="s">
        <v>2381</v>
      </c>
      <c r="B200" s="1851" t="s">
        <v>16</v>
      </c>
      <c r="C200" s="1851" t="s">
        <v>2535</v>
      </c>
      <c r="D200" s="1851" t="s">
        <v>2536</v>
      </c>
      <c r="E200" s="1851" t="s">
        <v>2537</v>
      </c>
      <c r="F200" s="1851" t="s">
        <v>2538</v>
      </c>
      <c r="G200" s="1851" t="s">
        <v>28</v>
      </c>
      <c r="H200" s="1851" t="s">
        <v>28</v>
      </c>
      <c r="I200" s="1851" t="s">
        <v>1037</v>
      </c>
    </row>
    <row customHeight="1" ht="11.25">
      <c r="A201" s="1851" t="s">
        <v>2381</v>
      </c>
      <c r="B201" s="1851" t="s">
        <v>16</v>
      </c>
      <c r="C201" s="1851" t="s">
        <v>2543</v>
      </c>
      <c r="D201" s="1851" t="s">
        <v>2544</v>
      </c>
      <c r="E201" s="1851" t="s">
        <v>2545</v>
      </c>
      <c r="F201" s="1851" t="s">
        <v>2489</v>
      </c>
      <c r="G201" s="1851" t="s">
        <v>2546</v>
      </c>
      <c r="H201" s="1851" t="s">
        <v>28</v>
      </c>
      <c r="I201" s="1851" t="s">
        <v>1037</v>
      </c>
    </row>
    <row customHeight="1" ht="11.25">
      <c r="A202" s="1851" t="s">
        <v>2381</v>
      </c>
      <c r="B202" s="1851" t="s">
        <v>16</v>
      </c>
      <c r="C202" s="1851" t="s">
        <v>2547</v>
      </c>
      <c r="D202" s="1851" t="s">
        <v>2548</v>
      </c>
      <c r="E202" s="1851" t="s">
        <v>2549</v>
      </c>
      <c r="F202" s="1851" t="s">
        <v>2393</v>
      </c>
      <c r="G202" s="1851" t="s">
        <v>28</v>
      </c>
      <c r="H202" s="1851" t="s">
        <v>28</v>
      </c>
      <c r="I202" s="1851" t="s">
        <v>1037</v>
      </c>
    </row>
    <row customHeight="1" ht="11.25">
      <c r="A203" s="1851" t="s">
        <v>2381</v>
      </c>
      <c r="B203" s="1851" t="s">
        <v>16</v>
      </c>
      <c r="C203" s="1851" t="s">
        <v>2686</v>
      </c>
      <c r="D203" s="1851" t="s">
        <v>2687</v>
      </c>
      <c r="E203" s="1851" t="s">
        <v>2688</v>
      </c>
      <c r="F203" s="1851" t="s">
        <v>2677</v>
      </c>
      <c r="G203" s="1851" t="s">
        <v>28</v>
      </c>
      <c r="H203" s="1851" t="s">
        <v>2689</v>
      </c>
      <c r="I203" s="1851" t="s">
        <v>1037</v>
      </c>
    </row>
    <row customHeight="1" ht="11.25">
      <c r="A204" s="1851" t="s">
        <v>2381</v>
      </c>
      <c r="B204" s="1851" t="s">
        <v>16</v>
      </c>
      <c r="C204" s="1851" t="s">
        <v>2690</v>
      </c>
      <c r="D204" s="1851" t="s">
        <v>2691</v>
      </c>
      <c r="E204" s="1851" t="s">
        <v>2692</v>
      </c>
      <c r="F204" s="1851" t="s">
        <v>55</v>
      </c>
      <c r="G204" s="1851" t="s">
        <v>2693</v>
      </c>
      <c r="H204" s="1851" t="s">
        <v>2694</v>
      </c>
      <c r="I204" s="1851" t="s">
        <v>1037</v>
      </c>
    </row>
    <row customHeight="1" ht="11.25">
      <c r="A205" s="1851" t="s">
        <v>2381</v>
      </c>
      <c r="B205" s="1851" t="s">
        <v>16</v>
      </c>
      <c r="C205" s="1851" t="s">
        <v>2555</v>
      </c>
      <c r="D205" s="1851" t="s">
        <v>2556</v>
      </c>
      <c r="E205" s="1851" t="s">
        <v>2557</v>
      </c>
      <c r="F205" s="1851" t="s">
        <v>2558</v>
      </c>
      <c r="G205" s="1851" t="s">
        <v>2559</v>
      </c>
      <c r="H205" s="1851" t="s">
        <v>28</v>
      </c>
      <c r="I205" s="1851" t="s">
        <v>1037</v>
      </c>
    </row>
    <row customHeight="1" ht="11.25">
      <c r="A206" s="1851" t="s">
        <v>2381</v>
      </c>
      <c r="B206" s="1851" t="s">
        <v>16</v>
      </c>
      <c r="C206" s="1851" t="s">
        <v>2560</v>
      </c>
      <c r="D206" s="1851" t="s">
        <v>2561</v>
      </c>
      <c r="E206" s="1851" t="s">
        <v>2562</v>
      </c>
      <c r="F206" s="1851" t="s">
        <v>2563</v>
      </c>
      <c r="G206" s="1851" t="s">
        <v>28</v>
      </c>
      <c r="H206" s="1851" t="s">
        <v>28</v>
      </c>
      <c r="I206" s="1851" t="s">
        <v>1037</v>
      </c>
    </row>
    <row customHeight="1" ht="11.25">
      <c r="A207" s="1851" t="s">
        <v>2381</v>
      </c>
      <c r="B207" s="1851" t="s">
        <v>16</v>
      </c>
      <c r="C207" s="1851" t="s">
        <v>2700</v>
      </c>
      <c r="D207" s="1851" t="s">
        <v>2701</v>
      </c>
      <c r="E207" s="1851" t="s">
        <v>2702</v>
      </c>
      <c r="F207" s="1851" t="s">
        <v>2703</v>
      </c>
      <c r="G207" s="1851" t="s">
        <v>28</v>
      </c>
      <c r="H207" s="1851" t="s">
        <v>28</v>
      </c>
      <c r="I207" s="1851" t="s">
        <v>1037</v>
      </c>
    </row>
    <row customHeight="1" ht="11.25">
      <c r="A208" s="1851" t="s">
        <v>2381</v>
      </c>
      <c r="B208" s="1851" t="s">
        <v>16</v>
      </c>
      <c r="C208" s="1851" t="s">
        <v>2704</v>
      </c>
      <c r="D208" s="1851" t="s">
        <v>2705</v>
      </c>
      <c r="E208" s="1851" t="s">
        <v>2706</v>
      </c>
      <c r="F208" s="1851" t="s">
        <v>2703</v>
      </c>
      <c r="G208" s="1851" t="s">
        <v>28</v>
      </c>
      <c r="H208" s="1851" t="s">
        <v>28</v>
      </c>
      <c r="I208" s="1851" t="s">
        <v>1037</v>
      </c>
    </row>
    <row customHeight="1" ht="11.25">
      <c r="A209" s="1851" t="s">
        <v>2381</v>
      </c>
      <c r="B209" s="1851" t="s">
        <v>16</v>
      </c>
      <c r="C209" s="1851" t="s">
        <v>2731</v>
      </c>
      <c r="D209" s="1851" t="s">
        <v>2732</v>
      </c>
      <c r="E209" s="1851" t="s">
        <v>2733</v>
      </c>
      <c r="F209" s="1851" t="s">
        <v>55</v>
      </c>
      <c r="G209" s="1851" t="s">
        <v>28</v>
      </c>
      <c r="H209" s="1851" t="s">
        <v>2734</v>
      </c>
      <c r="I209" s="1851" t="s">
        <v>1037</v>
      </c>
    </row>
    <row customHeight="1" ht="11.25">
      <c r="A210" s="1851" t="s">
        <v>2381</v>
      </c>
      <c r="B210" s="1851" t="s">
        <v>16</v>
      </c>
      <c r="C210" s="1851" t="s">
        <v>2707</v>
      </c>
      <c r="D210" s="1851" t="s">
        <v>2708</v>
      </c>
      <c r="E210" s="1851" t="s">
        <v>2709</v>
      </c>
      <c r="F210" s="1851" t="s">
        <v>2698</v>
      </c>
      <c r="G210" s="1851" t="s">
        <v>2710</v>
      </c>
      <c r="H210" s="1851" t="s">
        <v>28</v>
      </c>
      <c r="I210" s="1851" t="s">
        <v>1037</v>
      </c>
    </row>
    <row customHeight="1" ht="11.25">
      <c r="A211" s="1851" t="s">
        <v>2381</v>
      </c>
      <c r="B211" s="1851" t="s">
        <v>16</v>
      </c>
      <c r="C211" s="1851" t="s">
        <v>2711</v>
      </c>
      <c r="D211" s="1851" t="s">
        <v>2712</v>
      </c>
      <c r="E211" s="1851" t="s">
        <v>2713</v>
      </c>
      <c r="F211" s="1851" t="s">
        <v>2489</v>
      </c>
      <c r="G211" s="1851" t="s">
        <v>2714</v>
      </c>
      <c r="H211" s="1851" t="s">
        <v>28</v>
      </c>
      <c r="I211" s="1851" t="s">
        <v>1037</v>
      </c>
    </row>
    <row customHeight="1" ht="11.25">
      <c r="A212" s="1851" t="s">
        <v>2381</v>
      </c>
      <c r="B212" s="1851" t="s">
        <v>16</v>
      </c>
      <c r="C212" s="1851" t="s">
        <v>2575</v>
      </c>
      <c r="D212" s="1851" t="s">
        <v>2576</v>
      </c>
      <c r="E212" s="1851" t="s">
        <v>2577</v>
      </c>
      <c r="F212" s="1851" t="s">
        <v>2578</v>
      </c>
      <c r="G212" s="1851" t="s">
        <v>2579</v>
      </c>
      <c r="H212" s="1851" t="s">
        <v>28</v>
      </c>
      <c r="I212" s="1851" t="s">
        <v>1037</v>
      </c>
    </row>
    <row customHeight="1" ht="11.25">
      <c r="A213" s="1851" t="s">
        <v>2381</v>
      </c>
      <c r="B213" s="1851" t="s">
        <v>16</v>
      </c>
      <c r="C213" s="1851" t="s">
        <v>2715</v>
      </c>
      <c r="D213" s="1851" t="s">
        <v>2716</v>
      </c>
      <c r="E213" s="1851" t="s">
        <v>2717</v>
      </c>
      <c r="F213" s="1851" t="s">
        <v>2553</v>
      </c>
      <c r="G213" s="1851" t="s">
        <v>28</v>
      </c>
      <c r="H213" s="1851" t="s">
        <v>28</v>
      </c>
      <c r="I213" s="1851" t="s">
        <v>1037</v>
      </c>
    </row>
    <row customHeight="1" ht="11.25">
      <c r="A214" s="1851" t="s">
        <v>2381</v>
      </c>
      <c r="B214" s="1851" t="s">
        <v>16</v>
      </c>
      <c r="C214" s="1851" t="s">
        <v>2718</v>
      </c>
      <c r="D214" s="1851" t="s">
        <v>2719</v>
      </c>
      <c r="E214" s="1851" t="s">
        <v>2720</v>
      </c>
      <c r="F214" s="1851" t="s">
        <v>2578</v>
      </c>
      <c r="G214" s="1851" t="s">
        <v>2721</v>
      </c>
      <c r="H214" s="1851" t="s">
        <v>2722</v>
      </c>
      <c r="I214" s="1851" t="s">
        <v>1037</v>
      </c>
    </row>
    <row customHeight="1" ht="11.25">
      <c r="A215" s="1851" t="s">
        <v>2381</v>
      </c>
      <c r="B215" s="1851" t="s">
        <v>16</v>
      </c>
      <c r="C215" s="1851" t="s">
        <v>2594</v>
      </c>
      <c r="D215" s="1851" t="s">
        <v>2595</v>
      </c>
      <c r="E215" s="1851" t="s">
        <v>2596</v>
      </c>
      <c r="F215" s="1851" t="s">
        <v>2402</v>
      </c>
      <c r="G215" s="1851" t="s">
        <v>2597</v>
      </c>
      <c r="H215" s="1851" t="s">
        <v>28</v>
      </c>
      <c r="I215" s="1851" t="s">
        <v>1037</v>
      </c>
    </row>
    <row customHeight="1" ht="11.25">
      <c r="A216" s="1851" t="s">
        <v>2381</v>
      </c>
      <c r="B216" s="1851" t="s">
        <v>16</v>
      </c>
      <c r="C216" s="1851" t="s">
        <v>2723</v>
      </c>
      <c r="D216" s="1851" t="s">
        <v>2724</v>
      </c>
      <c r="E216" s="1851" t="s">
        <v>2725</v>
      </c>
      <c r="F216" s="1851" t="s">
        <v>2393</v>
      </c>
      <c r="G216" s="1851" t="s">
        <v>28</v>
      </c>
      <c r="H216" s="1851" t="s">
        <v>2726</v>
      </c>
      <c r="I216" s="1851" t="s">
        <v>1037</v>
      </c>
    </row>
    <row customHeight="1" ht="11.25">
      <c r="A217" s="1851" t="s">
        <v>2381</v>
      </c>
      <c r="B217" s="1851" t="s">
        <v>16</v>
      </c>
      <c r="C217" s="1851" t="s">
        <v>2735</v>
      </c>
      <c r="D217" s="1851" t="s">
        <v>2736</v>
      </c>
      <c r="E217" s="1851" t="s">
        <v>2737</v>
      </c>
      <c r="F217" s="1851" t="s">
        <v>2738</v>
      </c>
      <c r="G217" s="1851" t="s">
        <v>2739</v>
      </c>
      <c r="H217" s="1851" t="s">
        <v>28</v>
      </c>
      <c r="I217" s="1851" t="s">
        <v>1037</v>
      </c>
    </row>
    <row customHeight="1" ht="11.25">
      <c r="A218" s="1851" t="s">
        <v>2381</v>
      </c>
      <c r="B218" s="1851" t="s">
        <v>16</v>
      </c>
      <c r="C218" s="1851" t="s">
        <v>2616</v>
      </c>
      <c r="D218" s="1851" t="s">
        <v>2617</v>
      </c>
      <c r="E218" s="1851" t="s">
        <v>2618</v>
      </c>
      <c r="F218" s="1851" t="s">
        <v>2619</v>
      </c>
      <c r="G218" s="1851" t="s">
        <v>2620</v>
      </c>
      <c r="H218" s="1851" t="s">
        <v>28</v>
      </c>
      <c r="I218" s="1851" t="s">
        <v>1037</v>
      </c>
    </row>
    <row customHeight="1" ht="11.25">
      <c r="A219" s="1851" t="s">
        <v>2381</v>
      </c>
      <c r="B219" s="1851" t="s">
        <v>16</v>
      </c>
      <c r="C219" s="1851" t="s">
        <v>2624</v>
      </c>
      <c r="D219" s="1851" t="s">
        <v>2625</v>
      </c>
      <c r="E219" s="1851" t="s">
        <v>2618</v>
      </c>
      <c r="F219" s="1851" t="s">
        <v>2626</v>
      </c>
      <c r="G219" s="1851" t="s">
        <v>2627</v>
      </c>
      <c r="H219" s="1851" t="s">
        <v>28</v>
      </c>
      <c r="I219" s="1851" t="s">
        <v>1037</v>
      </c>
    </row>
    <row customHeight="1" ht="11.25">
      <c r="A220" s="1851" t="s">
        <v>2381</v>
      </c>
      <c r="B220" s="1851" t="s">
        <v>16</v>
      </c>
      <c r="C220" s="1851" t="s">
        <v>2628</v>
      </c>
      <c r="D220" s="1851" t="s">
        <v>2629</v>
      </c>
      <c r="E220" s="1851" t="s">
        <v>2630</v>
      </c>
      <c r="F220" s="1851" t="s">
        <v>2393</v>
      </c>
      <c r="G220" s="1851" t="s">
        <v>2631</v>
      </c>
      <c r="H220" s="1851" t="s">
        <v>2632</v>
      </c>
      <c r="I220" s="1851" t="s">
        <v>1037</v>
      </c>
    </row>
    <row customHeight="1" ht="11.25">
      <c r="A221" s="1851" t="s">
        <v>2381</v>
      </c>
      <c r="B221" s="1851" t="s">
        <v>16</v>
      </c>
      <c r="C221" s="1851" t="s">
        <v>2633</v>
      </c>
      <c r="D221" s="1851" t="s">
        <v>2634</v>
      </c>
      <c r="E221" s="1851" t="s">
        <v>2635</v>
      </c>
      <c r="F221" s="1851" t="s">
        <v>2636</v>
      </c>
      <c r="G221" s="1851" t="s">
        <v>28</v>
      </c>
      <c r="H221" s="1851" t="s">
        <v>28</v>
      </c>
      <c r="I221" s="1851" t="s">
        <v>1037</v>
      </c>
    </row>
    <row customHeight="1" ht="11.25">
      <c r="A222" s="1851" t="s">
        <v>2381</v>
      </c>
      <c r="B222" s="1851" t="s">
        <v>16</v>
      </c>
      <c r="C222" s="1851" t="s">
        <v>2740</v>
      </c>
      <c r="D222" s="1851" t="s">
        <v>2741</v>
      </c>
      <c r="E222" s="1851" t="s">
        <v>2742</v>
      </c>
      <c r="F222" s="1851" t="s">
        <v>2743</v>
      </c>
      <c r="G222" s="1851" t="s">
        <v>28</v>
      </c>
      <c r="H222" s="1851" t="s">
        <v>28</v>
      </c>
      <c r="I222" s="1851" t="s">
        <v>1037</v>
      </c>
    </row>
    <row customHeight="1" ht="11.25">
      <c r="A223" s="1851" t="s">
        <v>2381</v>
      </c>
      <c r="B223" s="1851" t="s">
        <v>16</v>
      </c>
      <c r="C223" s="1851" t="s">
        <v>2645</v>
      </c>
      <c r="D223" s="1851" t="s">
        <v>2646</v>
      </c>
      <c r="E223" s="1851" t="s">
        <v>2647</v>
      </c>
      <c r="F223" s="1851" t="s">
        <v>2563</v>
      </c>
      <c r="G223" s="1851" t="s">
        <v>28</v>
      </c>
      <c r="H223" s="1851" t="s">
        <v>28</v>
      </c>
      <c r="I223" s="1851" t="s">
        <v>1037</v>
      </c>
    </row>
    <row customHeight="1" ht="11.25">
      <c r="A224" s="1851" t="s">
        <v>2381</v>
      </c>
      <c r="B224" s="1851" t="s">
        <v>16</v>
      </c>
      <c r="C224" s="1851" t="s">
        <v>2394</v>
      </c>
      <c r="D224" s="1851" t="s">
        <v>2395</v>
      </c>
      <c r="E224" s="1851" t="s">
        <v>2396</v>
      </c>
      <c r="F224" s="1851" t="s">
        <v>2397</v>
      </c>
      <c r="G224" s="1851" t="s">
        <v>2398</v>
      </c>
      <c r="H224" s="1851" t="s">
        <v>28</v>
      </c>
      <c r="I224" s="1851" t="s">
        <v>1749</v>
      </c>
    </row>
    <row customHeight="1" ht="11.25">
      <c r="A225" s="1851" t="s">
        <v>2381</v>
      </c>
      <c r="B225" s="1851" t="s">
        <v>16</v>
      </c>
      <c r="C225" s="1851" t="s">
        <v>28</v>
      </c>
      <c r="D225" s="1851" t="s">
        <v>2467</v>
      </c>
      <c r="E225" s="1851" t="s">
        <v>2468</v>
      </c>
      <c r="F225" s="1851" t="s">
        <v>55</v>
      </c>
      <c r="G225" s="1851" t="s">
        <v>28</v>
      </c>
      <c r="H225" s="1851" t="s">
        <v>28</v>
      </c>
      <c r="I225" s="1851" t="s">
        <v>1749</v>
      </c>
    </row>
    <row customHeight="1" ht="11.25">
      <c r="A226" s="1851" t="s">
        <v>2381</v>
      </c>
      <c r="B226" s="1851" t="s">
        <v>16</v>
      </c>
      <c r="C226" s="1851" t="s">
        <v>2744</v>
      </c>
      <c r="D226" s="1851" t="s">
        <v>2745</v>
      </c>
      <c r="E226" s="1851" t="s">
        <v>2746</v>
      </c>
      <c r="F226" s="1851" t="s">
        <v>2411</v>
      </c>
      <c r="G226" s="1851" t="s">
        <v>28</v>
      </c>
      <c r="H226" s="1851" t="s">
        <v>2747</v>
      </c>
      <c r="I226" s="1851" t="s">
        <v>1749</v>
      </c>
    </row>
    <row customHeight="1" ht="11.25">
      <c r="A227" s="1851" t="s">
        <v>2381</v>
      </c>
      <c r="B227" s="1851" t="s">
        <v>16</v>
      </c>
      <c r="C227" s="1851" t="s">
        <v>2491</v>
      </c>
      <c r="D227" s="1851" t="s">
        <v>2492</v>
      </c>
      <c r="E227" s="1851" t="s">
        <v>2493</v>
      </c>
      <c r="F227" s="1851" t="s">
        <v>2429</v>
      </c>
      <c r="G227" s="1851" t="s">
        <v>28</v>
      </c>
      <c r="H227" s="1851" t="s">
        <v>28</v>
      </c>
      <c r="I227" s="1851" t="s">
        <v>1749</v>
      </c>
    </row>
    <row customHeight="1" ht="11.25">
      <c r="A228" s="1851" t="s">
        <v>2381</v>
      </c>
      <c r="B228" s="1851" t="s">
        <v>16</v>
      </c>
      <c r="C228" s="1851" t="s">
        <v>2686</v>
      </c>
      <c r="D228" s="1851" t="s">
        <v>2687</v>
      </c>
      <c r="E228" s="1851" t="s">
        <v>2688</v>
      </c>
      <c r="F228" s="1851" t="s">
        <v>2677</v>
      </c>
      <c r="G228" s="1851" t="s">
        <v>28</v>
      </c>
      <c r="H228" s="1851" t="s">
        <v>2689</v>
      </c>
      <c r="I228" s="1851" t="s">
        <v>1749</v>
      </c>
    </row>
    <row customHeight="1" ht="11.25">
      <c r="A229" s="1851" t="s">
        <v>2381</v>
      </c>
      <c r="B229" s="1851" t="s">
        <v>16</v>
      </c>
      <c r="C229" s="1851" t="s">
        <v>2550</v>
      </c>
      <c r="D229" s="1851" t="s">
        <v>2551</v>
      </c>
      <c r="E229" s="1851" t="s">
        <v>2552</v>
      </c>
      <c r="F229" s="1851" t="s">
        <v>2553</v>
      </c>
      <c r="G229" s="1851" t="s">
        <v>2554</v>
      </c>
      <c r="H229" s="1851" t="s">
        <v>28</v>
      </c>
      <c r="I229" s="1851" t="s">
        <v>1749</v>
      </c>
    </row>
    <row customHeight="1" ht="11.25">
      <c r="A230" s="1851" t="s">
        <v>2381</v>
      </c>
      <c r="B230" s="1851" t="s">
        <v>16</v>
      </c>
      <c r="C230" s="1851" t="s">
        <v>2748</v>
      </c>
      <c r="D230" s="1851" t="s">
        <v>2749</v>
      </c>
      <c r="E230" s="1851" t="s">
        <v>2750</v>
      </c>
      <c r="F230" s="1851" t="s">
        <v>2640</v>
      </c>
      <c r="G230" s="1851" t="s">
        <v>28</v>
      </c>
      <c r="H230" s="1851" t="s">
        <v>28</v>
      </c>
      <c r="I230" s="1851" t="s">
        <v>1749</v>
      </c>
    </row>
    <row customHeight="1" ht="11.25">
      <c r="A231" s="1851" t="s">
        <v>2381</v>
      </c>
      <c r="B231" s="1851" t="s">
        <v>16</v>
      </c>
      <c r="C231" s="1851" t="s">
        <v>2751</v>
      </c>
      <c r="D231" s="1851" t="s">
        <v>2752</v>
      </c>
      <c r="E231" s="1851" t="s">
        <v>2753</v>
      </c>
      <c r="F231" s="1851" t="s">
        <v>2489</v>
      </c>
      <c r="G231" s="1851" t="s">
        <v>28</v>
      </c>
      <c r="H231" s="1851" t="s">
        <v>28</v>
      </c>
      <c r="I231" s="1851" t="s">
        <v>1749</v>
      </c>
    </row>
    <row customHeight="1" ht="11.25">
      <c r="A232" s="1851" t="s">
        <v>2381</v>
      </c>
      <c r="B232" s="1851" t="s">
        <v>16</v>
      </c>
      <c r="C232" s="1851" t="s">
        <v>2754</v>
      </c>
      <c r="D232" s="1851" t="s">
        <v>2755</v>
      </c>
      <c r="E232" s="1851" t="s">
        <v>2756</v>
      </c>
      <c r="F232" s="1851" t="s">
        <v>2402</v>
      </c>
      <c r="G232" s="1851" t="s">
        <v>28</v>
      </c>
      <c r="H232" s="1851" t="s">
        <v>28</v>
      </c>
      <c r="I232" s="1851" t="s">
        <v>1749</v>
      </c>
    </row>
    <row customHeight="1" ht="11.25">
      <c r="A233" s="1851" t="s">
        <v>2381</v>
      </c>
      <c r="B233" s="1851" t="s">
        <v>16</v>
      </c>
      <c r="C233" s="1851" t="s">
        <v>2757</v>
      </c>
      <c r="D233" s="1851" t="s">
        <v>2758</v>
      </c>
      <c r="E233" s="1851" t="s">
        <v>2759</v>
      </c>
      <c r="F233" s="1851" t="s">
        <v>2538</v>
      </c>
      <c r="G233" s="1851" t="s">
        <v>28</v>
      </c>
      <c r="H233" s="1851" t="s">
        <v>28</v>
      </c>
      <c r="I233" s="1851" t="s">
        <v>1749</v>
      </c>
    </row>
    <row customHeight="1" ht="11.25">
      <c r="A234" s="1851" t="s">
        <v>2381</v>
      </c>
      <c r="B234" s="1851" t="s">
        <v>16</v>
      </c>
      <c r="C234" s="1851" t="s">
        <v>2760</v>
      </c>
      <c r="D234" s="1851" t="s">
        <v>2761</v>
      </c>
      <c r="E234" s="1851" t="s">
        <v>2762</v>
      </c>
      <c r="F234" s="1851" t="s">
        <v>55</v>
      </c>
      <c r="G234" s="1851" t="s">
        <v>28</v>
      </c>
      <c r="H234" s="1851" t="s">
        <v>28</v>
      </c>
      <c r="I234" s="1851" t="s">
        <v>1749</v>
      </c>
    </row>
    <row customHeight="1" ht="11.25">
      <c r="A235" s="1851" t="s">
        <v>2381</v>
      </c>
      <c r="B235" s="1851" t="s">
        <v>16</v>
      </c>
      <c r="C235" s="1851" t="s">
        <v>2763</v>
      </c>
      <c r="D235" s="1851" t="s">
        <v>2764</v>
      </c>
      <c r="E235" s="1851" t="s">
        <v>2765</v>
      </c>
      <c r="F235" s="1851" t="s">
        <v>2429</v>
      </c>
      <c r="G235" s="1851" t="s">
        <v>28</v>
      </c>
      <c r="H235" s="1851" t="s">
        <v>28</v>
      </c>
      <c r="I235" s="1851" t="s">
        <v>1749</v>
      </c>
    </row>
    <row customHeight="1" ht="11.25">
      <c r="A236" s="1851" t="s">
        <v>2381</v>
      </c>
      <c r="B236" s="1851" t="s">
        <v>16</v>
      </c>
      <c r="C236" s="1851" t="s">
        <v>2766</v>
      </c>
      <c r="D236" s="1851" t="s">
        <v>2767</v>
      </c>
      <c r="E236" s="1851" t="s">
        <v>2768</v>
      </c>
      <c r="F236" s="1851" t="s">
        <v>2438</v>
      </c>
      <c r="G236" s="1851" t="s">
        <v>28</v>
      </c>
      <c r="H236" s="1851" t="s">
        <v>28</v>
      </c>
      <c r="I236" s="1851" t="s">
        <v>1749</v>
      </c>
    </row>
    <row customHeight="1" ht="11.25">
      <c r="A237" s="1851" t="s">
        <v>2381</v>
      </c>
      <c r="B237" s="1851" t="s">
        <v>16</v>
      </c>
      <c r="C237" s="1851" t="s">
        <v>2769</v>
      </c>
      <c r="D237" s="1851" t="s">
        <v>2770</v>
      </c>
      <c r="E237" s="1851" t="s">
        <v>2771</v>
      </c>
      <c r="F237" s="1851" t="s">
        <v>2772</v>
      </c>
      <c r="G237" s="1851" t="s">
        <v>28</v>
      </c>
      <c r="H237" s="1851" t="s">
        <v>28</v>
      </c>
      <c r="I237" s="1851" t="s">
        <v>1749</v>
      </c>
    </row>
    <row customHeight="1" ht="11.25">
      <c r="A238" s="1851" t="s">
        <v>2381</v>
      </c>
      <c r="B238" s="1851" t="s">
        <v>16</v>
      </c>
      <c r="C238" s="1851" t="s">
        <v>2773</v>
      </c>
      <c r="D238" s="1851" t="s">
        <v>2774</v>
      </c>
      <c r="E238" s="1851" t="s">
        <v>2775</v>
      </c>
      <c r="F238" s="1851" t="s">
        <v>2472</v>
      </c>
      <c r="G238" s="1851" t="s">
        <v>28</v>
      </c>
      <c r="H238" s="1851" t="s">
        <v>28</v>
      </c>
      <c r="I238" s="1851" t="s">
        <v>1749</v>
      </c>
    </row>
    <row customHeight="1" ht="11.25">
      <c r="A239" s="1851" t="s">
        <v>2381</v>
      </c>
      <c r="B239" s="1851" t="s">
        <v>16</v>
      </c>
      <c r="C239" s="1851" t="s">
        <v>2776</v>
      </c>
      <c r="D239" s="1851" t="s">
        <v>2777</v>
      </c>
      <c r="E239" s="1851" t="s">
        <v>2778</v>
      </c>
      <c r="F239" s="1851" t="s">
        <v>2458</v>
      </c>
      <c r="G239" s="1851" t="s">
        <v>2779</v>
      </c>
      <c r="H239" s="1851" t="s">
        <v>28</v>
      </c>
      <c r="I239" s="1851" t="s">
        <v>1749</v>
      </c>
    </row>
  </sheetData>
  <sheetProtection formatColumns="0" formatRows="0" sort="0" autoFilter="0" insertRows="0" insertColumns="1" deleteRows="0" deleteColumns="0"/>
  <pageMargins left="0.75" right="0.75" top="1.00" bottom="1.00" header="0.50" footer="0.50"/>
  <pageSetup pageOrder="downThenOver" orientation="portrait"/>
  <headerFooter>
    <oddHeader>&amp;L&amp;C&amp;R</oddHeader>
    <oddFooter>&amp;L&amp;C&amp;R</oddFooter>
    <evenHeader>&amp;L&amp;C&amp;R</evenHeader>
    <evenFooter>&amp;L&amp;C&amp;R</evenFooter>
  </headerFooter>
</worksheet>
</file>

<file path=xl/worksheets/sheet7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6152298-3641-619F-D799-8BBA5A1A61CF}" mc:Ignorable="x14ac xr xr2 xr3">
  <sheetPr>
    <tabColor rgb="FFFFCC99"/>
  </sheetPr>
  <dimension ref="A1:G37"/>
  <sheetViews>
    <sheetView topLeftCell="A1" showGridLines="0" workbookViewId="0">
      <selection activeCell="A1" sqref="A1"/>
    </sheetView>
  </sheetViews>
  <sheetFormatPr customHeight="1" defaultRowHeight="11.25"/>
  <cols>
    <col min="1" max="1" style="1851" width="9.140625"/>
  </cols>
  <sheetData>
    <row customHeight="1" ht="11.25">
      <c r="A1" s="374" t="s">
        <v>2780</v>
      </c>
      <c r="B1" s="65" t="s">
        <v>2781</v>
      </c>
      <c r="C1" s="65" t="s">
        <v>2782</v>
      </c>
      <c r="D1" s="65" t="s">
        <v>2783</v>
      </c>
      <c r="E1" s="61" t="s">
        <v>2784</v>
      </c>
      <c r="F1" s="61" t="s">
        <v>2785</v>
      </c>
      <c r="G1" s="61" t="s">
        <v>2786</v>
      </c>
    </row>
    <row customHeight="1" ht="11.25">
      <c r="A2" s="374" t="s">
        <v>16</v>
      </c>
      <c r="B2" s="0" t="s">
        <v>2787</v>
      </c>
      <c r="C2" s="0" t="s">
        <v>2788</v>
      </c>
      <c r="D2" s="0" t="s">
        <v>2787</v>
      </c>
      <c r="E2" s="0" t="s">
        <v>2788</v>
      </c>
      <c r="F2" s="0" t="s">
        <v>2789</v>
      </c>
      <c r="G2" s="0" t="s">
        <v>123</v>
      </c>
    </row>
    <row customHeight="1" ht="11.25">
      <c r="A3" s="374" t="s">
        <v>16</v>
      </c>
      <c r="B3" s="0" t="s">
        <v>2790</v>
      </c>
      <c r="C3" s="0" t="s">
        <v>2791</v>
      </c>
      <c r="D3" s="0" t="s">
        <v>2790</v>
      </c>
      <c r="E3" s="0" t="s">
        <v>2791</v>
      </c>
      <c r="F3" s="0" t="s">
        <v>2789</v>
      </c>
      <c r="G3" s="0" t="s">
        <v>107</v>
      </c>
    </row>
    <row customHeight="1" ht="11.25">
      <c r="A4" s="374" t="s">
        <v>16</v>
      </c>
      <c r="B4" s="0" t="s">
        <v>2792</v>
      </c>
      <c r="C4" s="0" t="s">
        <v>2793</v>
      </c>
      <c r="D4" s="0" t="s">
        <v>2792</v>
      </c>
      <c r="E4" s="0" t="s">
        <v>2793</v>
      </c>
      <c r="F4" s="0" t="s">
        <v>2789</v>
      </c>
      <c r="G4" s="0" t="s">
        <v>94</v>
      </c>
    </row>
    <row customHeight="1" ht="11.25">
      <c r="A5" s="374" t="s">
        <v>16</v>
      </c>
      <c r="B5" s="0" t="s">
        <v>2794</v>
      </c>
      <c r="C5" s="0" t="s">
        <v>2795</v>
      </c>
      <c r="D5" s="0" t="s">
        <v>2794</v>
      </c>
      <c r="E5" s="0" t="s">
        <v>2795</v>
      </c>
      <c r="F5" s="0" t="s">
        <v>2789</v>
      </c>
      <c r="G5" s="0" t="s">
        <v>95</v>
      </c>
    </row>
    <row customHeight="1" ht="11.25">
      <c r="A6" s="374" t="s">
        <v>16</v>
      </c>
      <c r="B6" s="0" t="s">
        <v>2796</v>
      </c>
      <c r="C6" s="0" t="s">
        <v>2797</v>
      </c>
      <c r="D6" s="0" t="s">
        <v>2796</v>
      </c>
      <c r="E6" s="0" t="s">
        <v>2797</v>
      </c>
      <c r="F6" s="0" t="s">
        <v>2789</v>
      </c>
      <c r="G6" s="0" t="s">
        <v>124</v>
      </c>
    </row>
    <row customHeight="1" ht="11.25">
      <c r="A7" s="374" t="s">
        <v>16</v>
      </c>
      <c r="B7" s="0" t="s">
        <v>2798</v>
      </c>
      <c r="C7" s="0" t="s">
        <v>2799</v>
      </c>
      <c r="D7" s="0" t="s">
        <v>2800</v>
      </c>
      <c r="E7" s="0" t="s">
        <v>2801</v>
      </c>
      <c r="F7" s="0" t="s">
        <v>2802</v>
      </c>
      <c r="G7" s="0" t="s">
        <v>96</v>
      </c>
    </row>
    <row customHeight="1" ht="11.25">
      <c r="A8" s="374" t="s">
        <v>16</v>
      </c>
      <c r="B8" s="0" t="s">
        <v>2798</v>
      </c>
      <c r="C8" s="0" t="s">
        <v>2799</v>
      </c>
      <c r="D8" s="0" t="s">
        <v>2803</v>
      </c>
      <c r="E8" s="0" t="s">
        <v>2804</v>
      </c>
      <c r="F8" s="0" t="s">
        <v>2805</v>
      </c>
      <c r="G8" s="0" t="s">
        <v>97</v>
      </c>
    </row>
    <row customHeight="1" ht="11.25">
      <c r="A9" s="374" t="s">
        <v>16</v>
      </c>
      <c r="B9" s="0" t="s">
        <v>2798</v>
      </c>
      <c r="C9" s="0" t="s">
        <v>2799</v>
      </c>
      <c r="D9" s="0" t="s">
        <v>2806</v>
      </c>
      <c r="E9" s="0" t="s">
        <v>2807</v>
      </c>
      <c r="F9" s="0" t="s">
        <v>2802</v>
      </c>
      <c r="G9" s="0" t="s">
        <v>125</v>
      </c>
    </row>
    <row customHeight="1" ht="11.25">
      <c r="A10" s="374" t="s">
        <v>16</v>
      </c>
      <c r="B10" s="0" t="s">
        <v>2798</v>
      </c>
      <c r="C10" s="0" t="s">
        <v>2799</v>
      </c>
      <c r="D10" s="0" t="s">
        <v>2798</v>
      </c>
      <c r="E10" s="0" t="s">
        <v>2799</v>
      </c>
      <c r="F10" s="0" t="s">
        <v>2808</v>
      </c>
      <c r="G10" s="0" t="s">
        <v>161</v>
      </c>
    </row>
    <row customHeight="1" ht="11.25">
      <c r="A11" s="374" t="s">
        <v>16</v>
      </c>
      <c r="B11" s="0" t="s">
        <v>2798</v>
      </c>
      <c r="C11" s="0" t="s">
        <v>2799</v>
      </c>
      <c r="D11" s="0" t="s">
        <v>2809</v>
      </c>
      <c r="E11" s="0" t="s">
        <v>2810</v>
      </c>
      <c r="F11" s="0" t="s">
        <v>2811</v>
      </c>
      <c r="G11" s="0" t="s">
        <v>162</v>
      </c>
    </row>
    <row customHeight="1" ht="11.25">
      <c r="A12" s="374" t="s">
        <v>16</v>
      </c>
      <c r="B12" s="0" t="s">
        <v>2812</v>
      </c>
      <c r="C12" s="0" t="s">
        <v>2813</v>
      </c>
      <c r="D12" s="0" t="s">
        <v>2812</v>
      </c>
      <c r="E12" s="0" t="s">
        <v>2813</v>
      </c>
      <c r="F12" s="0" t="s">
        <v>2814</v>
      </c>
      <c r="G12" s="0" t="s">
        <v>163</v>
      </c>
    </row>
    <row customHeight="1" ht="11.25">
      <c r="A13" s="374" t="s">
        <v>16</v>
      </c>
      <c r="B13" s="0" t="s">
        <v>2815</v>
      </c>
      <c r="C13" s="0" t="s">
        <v>2816</v>
      </c>
      <c r="D13" s="0" t="s">
        <v>2815</v>
      </c>
      <c r="E13" s="0" t="s">
        <v>2816</v>
      </c>
      <c r="F13" s="0" t="s">
        <v>2808</v>
      </c>
      <c r="G13" s="0" t="s">
        <v>164</v>
      </c>
    </row>
    <row customHeight="1" ht="11.25">
      <c r="A14" s="374" t="s">
        <v>16</v>
      </c>
      <c r="B14" s="0" t="s">
        <v>2815</v>
      </c>
      <c r="C14" s="0" t="s">
        <v>2816</v>
      </c>
      <c r="D14" s="0" t="s">
        <v>2817</v>
      </c>
      <c r="E14" s="0" t="s">
        <v>2818</v>
      </c>
      <c r="F14" s="0" t="s">
        <v>2802</v>
      </c>
      <c r="G14" s="0" t="s">
        <v>165</v>
      </c>
    </row>
    <row customHeight="1" ht="11.25">
      <c r="A15" s="374" t="s">
        <v>16</v>
      </c>
      <c r="B15" s="0" t="s">
        <v>2815</v>
      </c>
      <c r="C15" s="0" t="s">
        <v>2816</v>
      </c>
      <c r="D15" s="0" t="s">
        <v>2819</v>
      </c>
      <c r="E15" s="0" t="s">
        <v>2820</v>
      </c>
      <c r="F15" s="0" t="s">
        <v>2811</v>
      </c>
      <c r="G15" s="0" t="s">
        <v>166</v>
      </c>
    </row>
    <row customHeight="1" ht="11.25">
      <c r="A16" s="374" t="s">
        <v>16</v>
      </c>
      <c r="B16" s="0" t="s">
        <v>2815</v>
      </c>
      <c r="C16" s="0" t="s">
        <v>2816</v>
      </c>
      <c r="D16" s="0" t="s">
        <v>2821</v>
      </c>
      <c r="E16" s="0" t="s">
        <v>2822</v>
      </c>
      <c r="F16" s="0" t="s">
        <v>2811</v>
      </c>
      <c r="G16" s="0" t="s">
        <v>1597</v>
      </c>
    </row>
    <row customHeight="1" ht="11.25">
      <c r="A17" s="374" t="s">
        <v>16</v>
      </c>
      <c r="B17" s="0" t="s">
        <v>2815</v>
      </c>
      <c r="C17" s="0" t="s">
        <v>2816</v>
      </c>
      <c r="D17" s="0" t="s">
        <v>2823</v>
      </c>
      <c r="E17" s="0" t="s">
        <v>2824</v>
      </c>
      <c r="F17" s="0" t="s">
        <v>2811</v>
      </c>
      <c r="G17" s="0" t="s">
        <v>1603</v>
      </c>
    </row>
    <row customHeight="1" ht="11.25">
      <c r="A18" s="374" t="s">
        <v>16</v>
      </c>
      <c r="B18" s="0" t="s">
        <v>2815</v>
      </c>
      <c r="C18" s="0" t="s">
        <v>2816</v>
      </c>
      <c r="D18" s="0" t="s">
        <v>2825</v>
      </c>
      <c r="E18" s="0" t="s">
        <v>2826</v>
      </c>
      <c r="F18" s="0" t="s">
        <v>2811</v>
      </c>
      <c r="G18" s="0" t="s">
        <v>1615</v>
      </c>
    </row>
    <row customHeight="1" ht="11.25">
      <c r="A19" s="374" t="s">
        <v>16</v>
      </c>
      <c r="B19" s="0" t="s">
        <v>2815</v>
      </c>
      <c r="C19" s="0" t="s">
        <v>2816</v>
      </c>
      <c r="D19" s="0" t="s">
        <v>2827</v>
      </c>
      <c r="E19" s="0" t="s">
        <v>2828</v>
      </c>
      <c r="F19" s="0" t="s">
        <v>2802</v>
      </c>
      <c r="G19" s="0" t="s">
        <v>1629</v>
      </c>
    </row>
    <row customHeight="1" ht="11.25">
      <c r="A20" s="374" t="s">
        <v>16</v>
      </c>
      <c r="B20" s="0" t="s">
        <v>2815</v>
      </c>
      <c r="C20" s="0" t="s">
        <v>2816</v>
      </c>
      <c r="D20" s="0" t="s">
        <v>2829</v>
      </c>
      <c r="E20" s="0" t="s">
        <v>2830</v>
      </c>
      <c r="F20" s="0" t="s">
        <v>2802</v>
      </c>
      <c r="G20" s="0" t="s">
        <v>1641</v>
      </c>
    </row>
    <row customHeight="1" ht="11.25">
      <c r="A21" s="374" t="s">
        <v>16</v>
      </c>
      <c r="B21" s="0" t="s">
        <v>2815</v>
      </c>
      <c r="C21" s="0" t="s">
        <v>2816</v>
      </c>
      <c r="D21" s="0" t="s">
        <v>2831</v>
      </c>
      <c r="E21" s="0" t="s">
        <v>2832</v>
      </c>
      <c r="F21" s="0" t="s">
        <v>2802</v>
      </c>
      <c r="G21" s="0" t="s">
        <v>1650</v>
      </c>
    </row>
    <row customHeight="1" ht="11.25">
      <c r="A22" s="374" t="s">
        <v>16</v>
      </c>
      <c r="B22" s="0" t="s">
        <v>2815</v>
      </c>
      <c r="C22" s="0" t="s">
        <v>2816</v>
      </c>
      <c r="D22" s="0" t="s">
        <v>2833</v>
      </c>
      <c r="E22" s="0" t="s">
        <v>2834</v>
      </c>
      <c r="F22" s="0" t="s">
        <v>2805</v>
      </c>
      <c r="G22" s="0" t="s">
        <v>1666</v>
      </c>
    </row>
    <row customHeight="1" ht="11.25">
      <c r="A23" s="374" t="s">
        <v>16</v>
      </c>
      <c r="B23" s="0" t="s">
        <v>2815</v>
      </c>
      <c r="C23" s="0" t="s">
        <v>2816</v>
      </c>
      <c r="D23" s="0" t="s">
        <v>2835</v>
      </c>
      <c r="E23" s="0" t="s">
        <v>2836</v>
      </c>
      <c r="F23" s="0" t="s">
        <v>2811</v>
      </c>
      <c r="G23" s="0" t="s">
        <v>1673</v>
      </c>
    </row>
    <row customHeight="1" ht="11.25">
      <c r="A24" s="374" t="s">
        <v>16</v>
      </c>
      <c r="B24" s="0" t="s">
        <v>2815</v>
      </c>
      <c r="C24" s="0" t="s">
        <v>2816</v>
      </c>
      <c r="D24" s="0" t="s">
        <v>2837</v>
      </c>
      <c r="E24" s="0" t="s">
        <v>2838</v>
      </c>
      <c r="F24" s="0" t="s">
        <v>2802</v>
      </c>
      <c r="G24" s="0" t="s">
        <v>1681</v>
      </c>
    </row>
    <row customHeight="1" ht="11.25">
      <c r="A25" s="374" t="s">
        <v>16</v>
      </c>
      <c r="B25" s="0" t="s">
        <v>2839</v>
      </c>
      <c r="C25" s="0" t="s">
        <v>2840</v>
      </c>
      <c r="D25" s="0" t="s">
        <v>2839</v>
      </c>
      <c r="E25" s="0" t="s">
        <v>2840</v>
      </c>
      <c r="F25" s="0" t="s">
        <v>2808</v>
      </c>
      <c r="G25" s="0" t="s">
        <v>1688</v>
      </c>
    </row>
    <row customHeight="1" ht="11.25">
      <c r="A26" s="374" t="s">
        <v>16</v>
      </c>
      <c r="B26" s="0" t="s">
        <v>2839</v>
      </c>
      <c r="C26" s="0" t="s">
        <v>2840</v>
      </c>
      <c r="D26" s="0" t="s">
        <v>2841</v>
      </c>
      <c r="E26" s="0" t="s">
        <v>2842</v>
      </c>
      <c r="F26" s="0" t="s">
        <v>2811</v>
      </c>
      <c r="G26" s="0" t="s">
        <v>1692</v>
      </c>
    </row>
    <row customHeight="1" ht="11.25">
      <c r="A27" s="374" t="s">
        <v>16</v>
      </c>
      <c r="B27" s="0" t="s">
        <v>2839</v>
      </c>
      <c r="C27" s="0" t="s">
        <v>2840</v>
      </c>
      <c r="D27" s="0" t="s">
        <v>2843</v>
      </c>
      <c r="E27" s="0" t="s">
        <v>2844</v>
      </c>
      <c r="F27" s="0" t="s">
        <v>2802</v>
      </c>
      <c r="G27" s="0" t="s">
        <v>1697</v>
      </c>
    </row>
    <row customHeight="1" ht="11.25">
      <c r="A28" s="374" t="s">
        <v>16</v>
      </c>
      <c r="B28" s="0" t="s">
        <v>115</v>
      </c>
      <c r="C28" s="0" t="s">
        <v>116</v>
      </c>
      <c r="D28" s="0" t="s">
        <v>115</v>
      </c>
      <c r="E28" s="0" t="s">
        <v>116</v>
      </c>
      <c r="F28" s="0" t="s">
        <v>2814</v>
      </c>
      <c r="G28" s="0" t="s">
        <v>114</v>
      </c>
    </row>
    <row customHeight="1" ht="11.25">
      <c r="A29" s="374" t="s">
        <v>16</v>
      </c>
      <c r="B29" s="0" t="s">
        <v>2845</v>
      </c>
      <c r="C29" s="0" t="s">
        <v>2846</v>
      </c>
      <c r="D29" s="0" t="s">
        <v>2847</v>
      </c>
      <c r="E29" s="0" t="s">
        <v>2848</v>
      </c>
      <c r="F29" s="0" t="s">
        <v>2802</v>
      </c>
      <c r="G29" s="0" t="s">
        <v>1706</v>
      </c>
    </row>
    <row customHeight="1" ht="11.25">
      <c r="A30" s="374" t="s">
        <v>16</v>
      </c>
      <c r="B30" s="0" t="s">
        <v>2845</v>
      </c>
      <c r="C30" s="0" t="s">
        <v>2846</v>
      </c>
      <c r="D30" s="0" t="s">
        <v>2849</v>
      </c>
      <c r="E30" s="0" t="s">
        <v>2850</v>
      </c>
      <c r="F30" s="0" t="s">
        <v>2811</v>
      </c>
      <c r="G30" s="0" t="s">
        <v>1709</v>
      </c>
    </row>
    <row customHeight="1" ht="11.25">
      <c r="A31" s="374" t="s">
        <v>16</v>
      </c>
      <c r="B31" s="0" t="s">
        <v>2845</v>
      </c>
      <c r="C31" s="0" t="s">
        <v>2846</v>
      </c>
      <c r="D31" s="0" t="s">
        <v>2845</v>
      </c>
      <c r="E31" s="0" t="s">
        <v>2846</v>
      </c>
      <c r="F31" s="0" t="s">
        <v>2808</v>
      </c>
      <c r="G31" s="0" t="s">
        <v>1714</v>
      </c>
    </row>
    <row customHeight="1" ht="11.25">
      <c r="A32" s="374" t="s">
        <v>16</v>
      </c>
      <c r="B32" s="0" t="s">
        <v>104</v>
      </c>
      <c r="C32" s="0" t="s">
        <v>105</v>
      </c>
      <c r="D32" s="0" t="s">
        <v>104</v>
      </c>
      <c r="E32" s="0" t="s">
        <v>105</v>
      </c>
      <c r="F32" s="0" t="s">
        <v>2814</v>
      </c>
      <c r="G32" s="0" t="s">
        <v>103</v>
      </c>
    </row>
    <row customHeight="1" ht="11.25">
      <c r="A33" s="374" t="s">
        <v>16</v>
      </c>
      <c r="B33" s="0" t="s">
        <v>111</v>
      </c>
      <c r="C33" s="0" t="s">
        <v>112</v>
      </c>
      <c r="D33" s="0" t="s">
        <v>111</v>
      </c>
      <c r="E33" s="0" t="s">
        <v>112</v>
      </c>
      <c r="F33" s="0" t="s">
        <v>2814</v>
      </c>
      <c r="G33" s="0" t="s">
        <v>110</v>
      </c>
    </row>
    <row customHeight="1" ht="11.25">
      <c r="A34" s="374" t="s">
        <v>16</v>
      </c>
      <c r="B34" s="0" t="s">
        <v>2851</v>
      </c>
      <c r="C34" s="0" t="s">
        <v>2852</v>
      </c>
      <c r="D34" s="0" t="s">
        <v>2851</v>
      </c>
      <c r="E34" s="0" t="s">
        <v>2852</v>
      </c>
      <c r="F34" s="0" t="s">
        <v>2814</v>
      </c>
      <c r="G34" s="0" t="s">
        <v>1718</v>
      </c>
    </row>
    <row customHeight="1" ht="11.25">
      <c r="A35" s="374" t="s">
        <v>16</v>
      </c>
      <c r="B35" s="0" t="s">
        <v>2853</v>
      </c>
      <c r="C35" s="0" t="s">
        <v>2854</v>
      </c>
      <c r="D35" s="0" t="s">
        <v>2853</v>
      </c>
      <c r="E35" s="0" t="s">
        <v>2854</v>
      </c>
      <c r="F35" s="0" t="s">
        <v>2814</v>
      </c>
      <c r="G35" s="0" t="s">
        <v>1723</v>
      </c>
    </row>
    <row customHeight="1" ht="11.25">
      <c r="A36" s="374" t="s">
        <v>16</v>
      </c>
      <c r="B36" s="0" t="s">
        <v>2855</v>
      </c>
      <c r="C36" s="0" t="s">
        <v>2856</v>
      </c>
      <c r="D36" s="0" t="s">
        <v>2855</v>
      </c>
      <c r="E36" s="0" t="s">
        <v>2856</v>
      </c>
      <c r="F36" s="0" t="s">
        <v>2814</v>
      </c>
      <c r="G36" s="0" t="s">
        <v>1728</v>
      </c>
    </row>
    <row customHeight="1" ht="11.25">
      <c r="A37" s="374" t="s">
        <v>16</v>
      </c>
      <c r="B37" s="0" t="s">
        <v>2857</v>
      </c>
      <c r="C37" s="0" t="s">
        <v>2858</v>
      </c>
      <c r="D37" s="0" t="s">
        <v>2857</v>
      </c>
      <c r="E37" s="0" t="s">
        <v>2858</v>
      </c>
      <c r="F37" s="0" t="s">
        <v>2789</v>
      </c>
      <c r="G37" s="0" t="s">
        <v>1732</v>
      </c>
    </row>
  </sheetData>
  <sheetProtection sort="0" autoFilter="0" insertRows="0" insertColumns="1" deleteRows="0" deleteColumns="0"/>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7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BB70A28-90D1-F8FA-8D91-360B1EED69B2}" mc:Ignorable="x14ac xr xr2 xr3">
  <sheetPr>
    <tabColor rgb="FFFFCC99"/>
  </sheetPr>
  <dimension ref="A1:I58"/>
  <sheetViews>
    <sheetView topLeftCell="A1" showGridLines="0" workbookViewId="0">
      <selection activeCell="A1" sqref="A1"/>
    </sheetView>
  </sheetViews>
  <sheetFormatPr defaultColWidth="9.140625" customHeight="1" defaultRowHeight="11.25"/>
  <cols>
    <col min="1" max="1" style="1692" width="13.8515625" customWidth="1"/>
    <col min="2" max="2" style="1692" width="10.421875" customWidth="1"/>
    <col min="3" max="3" style="1692" width="7.57421875" customWidth="1"/>
    <col min="4" max="4" style="1692" width="13.8515625" customWidth="1"/>
    <col min="5" max="5" style="1692" width="11.57421875" customWidth="1"/>
    <col min="6" max="6" style="1692" width="16.28125" customWidth="1"/>
    <col min="7" max="7" style="1692" width="16.00390625" customWidth="1"/>
    <col min="8" max="9" style="1692" width="16.140625" customWidth="1"/>
  </cols>
  <sheetData>
    <row customHeight="1" ht="11.25">
      <c r="A1" s="836" t="s">
        <v>2859</v>
      </c>
      <c r="B1" s="836" t="s">
        <v>2860</v>
      </c>
      <c r="C1" s="1160" t="s">
        <v>2861</v>
      </c>
      <c r="D1" s="836" t="s">
        <v>2862</v>
      </c>
      <c r="E1" s="836" t="s">
        <v>2863</v>
      </c>
      <c r="F1" s="1160" t="s">
        <v>2864</v>
      </c>
      <c r="G1" s="1160" t="s">
        <v>2865</v>
      </c>
      <c r="H1" s="1160" t="s">
        <v>2866</v>
      </c>
      <c r="I1" s="1160" t="s">
        <v>2867</v>
      </c>
    </row>
    <row customHeight="1" ht="11.25">
      <c r="A2" s="1692" t="s">
        <v>123</v>
      </c>
      <c r="B2" s="1692" t="s">
        <v>2868</v>
      </c>
      <c r="C2" s="1692" t="s">
        <v>28</v>
      </c>
      <c r="D2" s="1692" t="s">
        <v>2869</v>
      </c>
      <c r="E2" s="1692" t="s">
        <v>2870</v>
      </c>
      <c r="F2" s="1692" t="s">
        <v>28</v>
      </c>
      <c r="G2" s="1692" t="s">
        <v>28</v>
      </c>
      <c r="H2" s="1692" t="s">
        <v>28</v>
      </c>
      <c r="I2" s="1692" t="s">
        <v>28</v>
      </c>
    </row>
    <row customHeight="1" ht="11.25">
      <c r="A3" s="1692" t="s">
        <v>107</v>
      </c>
      <c r="B3" s="1692" t="s">
        <v>2871</v>
      </c>
      <c r="C3" s="1692" t="s">
        <v>28</v>
      </c>
      <c r="D3" s="1692" t="s">
        <v>2869</v>
      </c>
      <c r="E3" s="1692" t="s">
        <v>2872</v>
      </c>
      <c r="F3" s="1692" t="s">
        <v>28</v>
      </c>
      <c r="G3" s="1692" t="s">
        <v>28</v>
      </c>
      <c r="H3" s="1692" t="s">
        <v>28</v>
      </c>
      <c r="I3" s="1692" t="s">
        <v>28</v>
      </c>
    </row>
    <row customHeight="1" ht="11.25">
      <c r="A4" s="1692" t="s">
        <v>94</v>
      </c>
      <c r="B4" s="1692" t="s">
        <v>2873</v>
      </c>
      <c r="C4" s="1692" t="s">
        <v>28</v>
      </c>
      <c r="D4" s="1692" t="s">
        <v>2874</v>
      </c>
      <c r="E4" s="1692" t="s">
        <v>2875</v>
      </c>
      <c r="F4" s="1692" t="s">
        <v>28</v>
      </c>
      <c r="G4" s="1692" t="s">
        <v>28</v>
      </c>
      <c r="H4" s="1692" t="s">
        <v>28</v>
      </c>
      <c r="I4" s="1692" t="s">
        <v>28</v>
      </c>
    </row>
    <row customHeight="1" ht="11.25">
      <c r="A5" s="1692" t="s">
        <v>95</v>
      </c>
      <c r="B5" s="1692" t="s">
        <v>2876</v>
      </c>
      <c r="C5" s="1692" t="s">
        <v>28</v>
      </c>
      <c r="D5" s="1692" t="s">
        <v>2877</v>
      </c>
      <c r="E5" s="1692" t="s">
        <v>2878</v>
      </c>
      <c r="F5" s="1692" t="s">
        <v>28</v>
      </c>
      <c r="G5" s="1692" t="s">
        <v>28</v>
      </c>
      <c r="H5" s="1692" t="s">
        <v>28</v>
      </c>
      <c r="I5" s="1692" t="s">
        <v>28</v>
      </c>
    </row>
    <row customHeight="1" ht="11.25">
      <c r="A6" s="1692" t="s">
        <v>124</v>
      </c>
      <c r="B6" s="1692" t="s">
        <v>2879</v>
      </c>
      <c r="C6" s="1692" t="s">
        <v>28</v>
      </c>
      <c r="D6" s="1692" t="s">
        <v>2874</v>
      </c>
      <c r="E6" s="1692" t="s">
        <v>2870</v>
      </c>
      <c r="F6" s="1692" t="s">
        <v>28</v>
      </c>
      <c r="G6" s="1692" t="s">
        <v>28</v>
      </c>
      <c r="H6" s="1692" t="s">
        <v>28</v>
      </c>
      <c r="I6" s="1692" t="s">
        <v>28</v>
      </c>
    </row>
    <row customHeight="1" ht="11.25">
      <c r="A7" s="1692" t="s">
        <v>96</v>
      </c>
      <c r="B7" s="1692" t="s">
        <v>2880</v>
      </c>
      <c r="C7" s="1692" t="s">
        <v>28</v>
      </c>
      <c r="D7" s="1692" t="s">
        <v>2881</v>
      </c>
      <c r="E7" s="1692" t="s">
        <v>2882</v>
      </c>
      <c r="F7" s="1692" t="s">
        <v>28</v>
      </c>
      <c r="G7" s="1692" t="s">
        <v>28</v>
      </c>
      <c r="H7" s="1692" t="s">
        <v>28</v>
      </c>
      <c r="I7" s="1692" t="s">
        <v>28</v>
      </c>
    </row>
    <row customHeight="1" ht="11.25">
      <c r="A8" s="1692" t="s">
        <v>97</v>
      </c>
      <c r="B8" s="1692" t="s">
        <v>2883</v>
      </c>
      <c r="C8" s="1692" t="s">
        <v>28</v>
      </c>
      <c r="D8" s="1692" t="s">
        <v>2874</v>
      </c>
      <c r="E8" s="1692" t="s">
        <v>2884</v>
      </c>
      <c r="F8" s="1692" t="s">
        <v>28</v>
      </c>
      <c r="G8" s="1692" t="s">
        <v>28</v>
      </c>
      <c r="H8" s="1692" t="s">
        <v>28</v>
      </c>
      <c r="I8" s="1692" t="s">
        <v>28</v>
      </c>
    </row>
    <row customHeight="1" ht="11.25">
      <c r="A9" s="1692" t="s">
        <v>125</v>
      </c>
      <c r="B9" s="1692" t="s">
        <v>2885</v>
      </c>
      <c r="C9" s="1692" t="s">
        <v>28</v>
      </c>
      <c r="D9" s="1692" t="s">
        <v>2881</v>
      </c>
      <c r="E9" s="1692" t="s">
        <v>2886</v>
      </c>
      <c r="F9" s="1692" t="s">
        <v>28</v>
      </c>
      <c r="G9" s="1692" t="s">
        <v>28</v>
      </c>
      <c r="H9" s="1692" t="s">
        <v>28</v>
      </c>
      <c r="I9" s="1692" t="s">
        <v>28</v>
      </c>
    </row>
    <row customHeight="1" ht="11.25">
      <c r="A10" s="1692" t="s">
        <v>161</v>
      </c>
      <c r="B10" s="1692" t="s">
        <v>2887</v>
      </c>
      <c r="C10" s="1692" t="s">
        <v>28</v>
      </c>
      <c r="D10" s="1692" t="s">
        <v>2874</v>
      </c>
      <c r="E10" s="1692" t="s">
        <v>2882</v>
      </c>
      <c r="F10" s="1692" t="s">
        <v>28</v>
      </c>
      <c r="G10" s="1692" t="s">
        <v>28</v>
      </c>
      <c r="H10" s="1692" t="s">
        <v>28</v>
      </c>
      <c r="I10" s="1692" t="s">
        <v>28</v>
      </c>
    </row>
    <row customHeight="1" ht="11.25">
      <c r="A11" s="1692" t="s">
        <v>162</v>
      </c>
      <c r="B11" s="1692" t="s">
        <v>2888</v>
      </c>
      <c r="C11" s="1692" t="s">
        <v>28</v>
      </c>
      <c r="D11" s="1692" t="s">
        <v>2874</v>
      </c>
      <c r="E11" s="1692" t="s">
        <v>2882</v>
      </c>
      <c r="F11" s="1692" t="s">
        <v>28</v>
      </c>
      <c r="G11" s="1692" t="s">
        <v>28</v>
      </c>
      <c r="H11" s="1692" t="s">
        <v>28</v>
      </c>
      <c r="I11" s="1692" t="s">
        <v>28</v>
      </c>
    </row>
    <row customHeight="1" ht="11.25">
      <c r="A12" s="1692" t="s">
        <v>163</v>
      </c>
      <c r="B12" s="1692" t="s">
        <v>2889</v>
      </c>
      <c r="C12" s="1692" t="s">
        <v>28</v>
      </c>
      <c r="D12" s="1692" t="s">
        <v>2890</v>
      </c>
      <c r="E12" s="1692" t="s">
        <v>2875</v>
      </c>
      <c r="F12" s="1692" t="s">
        <v>28</v>
      </c>
      <c r="G12" s="1692" t="s">
        <v>28</v>
      </c>
      <c r="H12" s="1692" t="s">
        <v>28</v>
      </c>
      <c r="I12" s="1692" t="s">
        <v>28</v>
      </c>
    </row>
    <row customHeight="1" ht="11.25">
      <c r="A13" s="1692" t="s">
        <v>164</v>
      </c>
      <c r="B13" s="1692" t="s">
        <v>2891</v>
      </c>
      <c r="C13" s="1692" t="s">
        <v>28</v>
      </c>
      <c r="D13" s="1692" t="s">
        <v>2890</v>
      </c>
      <c r="E13" s="1692" t="s">
        <v>2875</v>
      </c>
      <c r="F13" s="1692" t="s">
        <v>28</v>
      </c>
      <c r="G13" s="1692" t="s">
        <v>28</v>
      </c>
      <c r="H13" s="1692" t="s">
        <v>28</v>
      </c>
      <c r="I13" s="1692" t="s">
        <v>28</v>
      </c>
    </row>
    <row customHeight="1" ht="11.25">
      <c r="A14" s="1692" t="s">
        <v>165</v>
      </c>
      <c r="B14" s="1692" t="s">
        <v>2892</v>
      </c>
      <c r="C14" s="1692" t="s">
        <v>28</v>
      </c>
      <c r="D14" s="1692" t="s">
        <v>2890</v>
      </c>
      <c r="E14" s="1692" t="s">
        <v>2884</v>
      </c>
      <c r="F14" s="1692" t="s">
        <v>28</v>
      </c>
      <c r="G14" s="1692" t="s">
        <v>28</v>
      </c>
      <c r="H14" s="1692" t="s">
        <v>28</v>
      </c>
      <c r="I14" s="1692" t="s">
        <v>28</v>
      </c>
    </row>
    <row customHeight="1" ht="11.25">
      <c r="A15" s="1692" t="s">
        <v>166</v>
      </c>
      <c r="B15" s="1692" t="s">
        <v>2893</v>
      </c>
      <c r="C15" s="1692" t="s">
        <v>28</v>
      </c>
      <c r="D15" s="1692" t="s">
        <v>2894</v>
      </c>
      <c r="E15" s="1692" t="s">
        <v>2895</v>
      </c>
      <c r="F15" s="1692" t="s">
        <v>28</v>
      </c>
      <c r="G15" s="1692" t="s">
        <v>28</v>
      </c>
      <c r="H15" s="1692" t="s">
        <v>28</v>
      </c>
      <c r="I15" s="1692" t="s">
        <v>28</v>
      </c>
    </row>
    <row customHeight="1" ht="11.25">
      <c r="A16" s="1692" t="s">
        <v>1597</v>
      </c>
      <c r="B16" s="1692" t="s">
        <v>2896</v>
      </c>
      <c r="C16" s="1692" t="s">
        <v>28</v>
      </c>
      <c r="D16" s="1692" t="s">
        <v>2874</v>
      </c>
      <c r="E16" s="1692" t="s">
        <v>2870</v>
      </c>
      <c r="F16" s="1692" t="s">
        <v>28</v>
      </c>
      <c r="G16" s="1692" t="s">
        <v>28</v>
      </c>
      <c r="H16" s="1692" t="s">
        <v>28</v>
      </c>
      <c r="I16" s="1692" t="s">
        <v>28</v>
      </c>
    </row>
    <row customHeight="1" ht="11.25">
      <c r="A17" s="1692" t="s">
        <v>1603</v>
      </c>
      <c r="B17" s="1692" t="s">
        <v>2897</v>
      </c>
      <c r="C17" s="1692" t="s">
        <v>28</v>
      </c>
      <c r="D17" s="1692" t="s">
        <v>2869</v>
      </c>
      <c r="E17" s="1692" t="s">
        <v>2884</v>
      </c>
      <c r="F17" s="1692" t="s">
        <v>28</v>
      </c>
      <c r="G17" s="1692" t="s">
        <v>28</v>
      </c>
      <c r="H17" s="1692" t="s">
        <v>28</v>
      </c>
      <c r="I17" s="1692" t="s">
        <v>28</v>
      </c>
    </row>
    <row customHeight="1" ht="11.25">
      <c r="A18" s="1692" t="s">
        <v>1615</v>
      </c>
      <c r="B18" s="1692" t="s">
        <v>2898</v>
      </c>
      <c r="C18" s="1692" t="s">
        <v>28</v>
      </c>
      <c r="D18" s="1692" t="s">
        <v>2890</v>
      </c>
      <c r="E18" s="1692" t="s">
        <v>2899</v>
      </c>
      <c r="F18" s="1692" t="s">
        <v>28</v>
      </c>
      <c r="G18" s="1692" t="s">
        <v>28</v>
      </c>
      <c r="H18" s="1692" t="s">
        <v>28</v>
      </c>
      <c r="I18" s="1692" t="s">
        <v>28</v>
      </c>
    </row>
    <row customHeight="1" ht="11.25">
      <c r="A19" s="1692" t="s">
        <v>1629</v>
      </c>
      <c r="B19" s="1692" t="s">
        <v>2900</v>
      </c>
      <c r="C19" s="1692" t="s">
        <v>28</v>
      </c>
      <c r="D19" s="1692" t="s">
        <v>2869</v>
      </c>
      <c r="E19" s="1692" t="s">
        <v>2884</v>
      </c>
      <c r="F19" s="1692" t="s">
        <v>28</v>
      </c>
      <c r="G19" s="1692" t="s">
        <v>28</v>
      </c>
      <c r="H19" s="1692" t="s">
        <v>28</v>
      </c>
      <c r="I19" s="1692" t="s">
        <v>28</v>
      </c>
    </row>
    <row customHeight="1" ht="11.25">
      <c r="A20" s="1692" t="s">
        <v>1641</v>
      </c>
      <c r="B20" s="1692" t="s">
        <v>2901</v>
      </c>
      <c r="C20" s="1692" t="s">
        <v>28</v>
      </c>
      <c r="D20" s="1692" t="s">
        <v>2902</v>
      </c>
      <c r="E20" s="1692" t="s">
        <v>2903</v>
      </c>
      <c r="F20" s="1692" t="s">
        <v>28</v>
      </c>
      <c r="G20" s="1692" t="s">
        <v>28</v>
      </c>
      <c r="H20" s="1692" t="s">
        <v>28</v>
      </c>
      <c r="I20" s="1692" t="s">
        <v>28</v>
      </c>
    </row>
    <row customHeight="1" ht="11.25">
      <c r="A21" s="1692" t="s">
        <v>1650</v>
      </c>
      <c r="B21" s="1692" t="s">
        <v>2904</v>
      </c>
      <c r="C21" s="1692" t="s">
        <v>28</v>
      </c>
      <c r="D21" s="1692" t="s">
        <v>2902</v>
      </c>
      <c r="E21" s="1692" t="s">
        <v>2899</v>
      </c>
      <c r="F21" s="1692" t="s">
        <v>28</v>
      </c>
      <c r="G21" s="1692" t="s">
        <v>28</v>
      </c>
      <c r="H21" s="1692" t="s">
        <v>28</v>
      </c>
      <c r="I21" s="1692" t="s">
        <v>28</v>
      </c>
    </row>
    <row customHeight="1" ht="11.25">
      <c r="A22" s="1692" t="s">
        <v>1666</v>
      </c>
      <c r="B22" s="1692" t="s">
        <v>2905</v>
      </c>
      <c r="C22" s="1692" t="s">
        <v>28</v>
      </c>
      <c r="D22" s="1692" t="s">
        <v>2902</v>
      </c>
      <c r="E22" s="1692" t="s">
        <v>2899</v>
      </c>
      <c r="F22" s="1692" t="s">
        <v>28</v>
      </c>
      <c r="G22" s="1692" t="s">
        <v>28</v>
      </c>
      <c r="H22" s="1692" t="s">
        <v>28</v>
      </c>
      <c r="I22" s="1692" t="s">
        <v>28</v>
      </c>
    </row>
    <row customHeight="1" ht="11.25">
      <c r="A23" s="1692" t="s">
        <v>1673</v>
      </c>
      <c r="B23" s="1692" t="s">
        <v>2906</v>
      </c>
      <c r="C23" s="1692" t="s">
        <v>28</v>
      </c>
      <c r="D23" s="1692" t="s">
        <v>2902</v>
      </c>
      <c r="E23" s="1692" t="s">
        <v>2899</v>
      </c>
      <c r="F23" s="1692" t="s">
        <v>28</v>
      </c>
      <c r="G23" s="1692" t="s">
        <v>28</v>
      </c>
      <c r="H23" s="1692" t="s">
        <v>28</v>
      </c>
      <c r="I23" s="1692" t="s">
        <v>28</v>
      </c>
    </row>
    <row customHeight="1" ht="11.25">
      <c r="A24" s="1692" t="s">
        <v>1681</v>
      </c>
      <c r="B24" s="1692" t="s">
        <v>2907</v>
      </c>
      <c r="C24" s="1692" t="s">
        <v>28</v>
      </c>
      <c r="D24" s="1692" t="s">
        <v>2902</v>
      </c>
      <c r="E24" s="1692" t="s">
        <v>2899</v>
      </c>
      <c r="F24" s="1692" t="s">
        <v>28</v>
      </c>
      <c r="G24" s="1692" t="s">
        <v>28</v>
      </c>
      <c r="H24" s="1692" t="s">
        <v>28</v>
      </c>
      <c r="I24" s="1692" t="s">
        <v>28</v>
      </c>
    </row>
    <row customHeight="1" ht="11.25">
      <c r="A25" s="1692" t="s">
        <v>1688</v>
      </c>
      <c r="B25" s="1692" t="s">
        <v>2908</v>
      </c>
      <c r="C25" s="1692" t="s">
        <v>28</v>
      </c>
      <c r="D25" s="1692" t="s">
        <v>2902</v>
      </c>
      <c r="E25" s="1692" t="s">
        <v>2899</v>
      </c>
      <c r="F25" s="1692" t="s">
        <v>28</v>
      </c>
      <c r="G25" s="1692" t="s">
        <v>28</v>
      </c>
      <c r="H25" s="1692" t="s">
        <v>28</v>
      </c>
      <c r="I25" s="1692" t="s">
        <v>28</v>
      </c>
    </row>
    <row customHeight="1" ht="11.25">
      <c r="A26" s="1692" t="s">
        <v>1692</v>
      </c>
      <c r="B26" s="1692" t="s">
        <v>2909</v>
      </c>
      <c r="C26" s="1692" t="s">
        <v>28</v>
      </c>
      <c r="D26" s="1692" t="s">
        <v>2869</v>
      </c>
      <c r="E26" s="1692" t="s">
        <v>2870</v>
      </c>
      <c r="F26" s="1692" t="s">
        <v>28</v>
      </c>
      <c r="G26" s="1692" t="s">
        <v>28</v>
      </c>
      <c r="H26" s="1692" t="s">
        <v>28</v>
      </c>
      <c r="I26" s="1692" t="s">
        <v>28</v>
      </c>
    </row>
    <row customHeight="1" ht="11.25">
      <c r="A27" s="1692" t="s">
        <v>1697</v>
      </c>
      <c r="B27" s="1692" t="s">
        <v>2910</v>
      </c>
      <c r="C27" s="1692" t="s">
        <v>28</v>
      </c>
      <c r="D27" s="1692" t="s">
        <v>2869</v>
      </c>
      <c r="E27" s="1692" t="s">
        <v>2911</v>
      </c>
      <c r="F27" s="1692" t="s">
        <v>28</v>
      </c>
      <c r="G27" s="1692" t="s">
        <v>28</v>
      </c>
      <c r="H27" s="1692" t="s">
        <v>28</v>
      </c>
      <c r="I27" s="1692" t="s">
        <v>28</v>
      </c>
    </row>
    <row customHeight="1" ht="11.25">
      <c r="A28" s="1692" t="s">
        <v>114</v>
      </c>
      <c r="B28" s="1692" t="s">
        <v>2912</v>
      </c>
      <c r="C28" s="1692" t="s">
        <v>28</v>
      </c>
      <c r="D28" s="1692" t="s">
        <v>2913</v>
      </c>
      <c r="E28" s="1692" t="s">
        <v>2884</v>
      </c>
      <c r="F28" s="1692" t="s">
        <v>28</v>
      </c>
      <c r="G28" s="1692" t="s">
        <v>28</v>
      </c>
      <c r="H28" s="1692" t="s">
        <v>28</v>
      </c>
      <c r="I28" s="1692" t="s">
        <v>28</v>
      </c>
    </row>
    <row customHeight="1" ht="11.25">
      <c r="A29" s="1692" t="s">
        <v>1706</v>
      </c>
      <c r="B29" s="1692" t="s">
        <v>2914</v>
      </c>
      <c r="C29" s="1692" t="s">
        <v>28</v>
      </c>
      <c r="D29" s="1692" t="s">
        <v>2902</v>
      </c>
      <c r="E29" s="1692" t="s">
        <v>2915</v>
      </c>
      <c r="F29" s="1692" t="s">
        <v>28</v>
      </c>
      <c r="G29" s="1692" t="s">
        <v>28</v>
      </c>
      <c r="H29" s="1692" t="s">
        <v>28</v>
      </c>
      <c r="I29" s="1692" t="s">
        <v>28</v>
      </c>
    </row>
    <row customHeight="1" ht="11.25">
      <c r="A30" s="1692" t="s">
        <v>1709</v>
      </c>
      <c r="B30" s="1692" t="s">
        <v>2916</v>
      </c>
      <c r="C30" s="1692" t="s">
        <v>28</v>
      </c>
      <c r="D30" s="1692" t="s">
        <v>2917</v>
      </c>
      <c r="E30" s="1692" t="s">
        <v>2886</v>
      </c>
      <c r="F30" s="1692" t="s">
        <v>28</v>
      </c>
      <c r="G30" s="1692" t="s">
        <v>28</v>
      </c>
      <c r="H30" s="1692" t="s">
        <v>28</v>
      </c>
      <c r="I30" s="1692" t="s">
        <v>28</v>
      </c>
    </row>
    <row customHeight="1" ht="11.25">
      <c r="A31" s="1692" t="s">
        <v>1714</v>
      </c>
      <c r="B31" s="1692" t="s">
        <v>2918</v>
      </c>
      <c r="C31" s="1692" t="s">
        <v>28</v>
      </c>
      <c r="D31" s="1692" t="s">
        <v>2874</v>
      </c>
      <c r="E31" s="1692" t="s">
        <v>2870</v>
      </c>
      <c r="F31" s="1692" t="s">
        <v>28</v>
      </c>
      <c r="G31" s="1692" t="s">
        <v>28</v>
      </c>
      <c r="H31" s="1692" t="s">
        <v>28</v>
      </c>
      <c r="I31" s="1692" t="s">
        <v>28</v>
      </c>
    </row>
    <row customHeight="1" ht="11.25">
      <c r="A32" s="1692" t="s">
        <v>103</v>
      </c>
      <c r="B32" s="1692" t="s">
        <v>2919</v>
      </c>
      <c r="C32" s="1692" t="s">
        <v>28</v>
      </c>
      <c r="D32" s="1692" t="s">
        <v>2874</v>
      </c>
      <c r="E32" s="1692" t="s">
        <v>2870</v>
      </c>
      <c r="F32" s="1692" t="s">
        <v>28</v>
      </c>
      <c r="G32" s="1692" t="s">
        <v>28</v>
      </c>
      <c r="H32" s="1692" t="s">
        <v>28</v>
      </c>
      <c r="I32" s="1692" t="s">
        <v>28</v>
      </c>
    </row>
    <row customHeight="1" ht="11.25">
      <c r="A33" s="1692" t="s">
        <v>110</v>
      </c>
      <c r="B33" s="1692" t="s">
        <v>2920</v>
      </c>
      <c r="C33" s="1692" t="s">
        <v>28</v>
      </c>
      <c r="D33" s="1692" t="s">
        <v>2874</v>
      </c>
      <c r="E33" s="1692" t="s">
        <v>2870</v>
      </c>
      <c r="F33" s="1692" t="s">
        <v>28</v>
      </c>
      <c r="G33" s="1692" t="s">
        <v>28</v>
      </c>
      <c r="H33" s="1692" t="s">
        <v>28</v>
      </c>
      <c r="I33" s="1692" t="s">
        <v>28</v>
      </c>
    </row>
    <row customHeight="1" ht="11.25">
      <c r="A34" s="1692" t="s">
        <v>1718</v>
      </c>
      <c r="B34" s="1692" t="s">
        <v>2921</v>
      </c>
      <c r="C34" s="1692" t="s">
        <v>28</v>
      </c>
      <c r="D34" s="1692" t="s">
        <v>2874</v>
      </c>
      <c r="E34" s="1692" t="s">
        <v>2870</v>
      </c>
      <c r="F34" s="1692" t="s">
        <v>28</v>
      </c>
      <c r="G34" s="1692" t="s">
        <v>28</v>
      </c>
      <c r="H34" s="1692" t="s">
        <v>28</v>
      </c>
      <c r="I34" s="1692" t="s">
        <v>28</v>
      </c>
    </row>
    <row customHeight="1" ht="11.25">
      <c r="A35" s="1692" t="s">
        <v>1723</v>
      </c>
      <c r="B35" s="1692" t="s">
        <v>2922</v>
      </c>
      <c r="C35" s="1692" t="s">
        <v>28</v>
      </c>
      <c r="D35" s="1692" t="s">
        <v>2874</v>
      </c>
      <c r="E35" s="1692" t="s">
        <v>2884</v>
      </c>
      <c r="F35" s="1692" t="s">
        <v>28</v>
      </c>
      <c r="G35" s="1692" t="s">
        <v>28</v>
      </c>
      <c r="H35" s="1692" t="s">
        <v>28</v>
      </c>
      <c r="I35" s="1692" t="s">
        <v>28</v>
      </c>
    </row>
    <row customHeight="1" ht="11.25">
      <c r="A36" s="1692" t="s">
        <v>1728</v>
      </c>
      <c r="B36" s="1692" t="s">
        <v>2923</v>
      </c>
      <c r="C36" s="1692" t="s">
        <v>28</v>
      </c>
      <c r="D36" s="1692" t="s">
        <v>2874</v>
      </c>
      <c r="E36" s="1692" t="s">
        <v>2870</v>
      </c>
      <c r="F36" s="1692" t="s">
        <v>28</v>
      </c>
      <c r="G36" s="1692" t="s">
        <v>28</v>
      </c>
      <c r="H36" s="1692" t="s">
        <v>28</v>
      </c>
      <c r="I36" s="1692" t="s">
        <v>28</v>
      </c>
    </row>
    <row customHeight="1" ht="11.25">
      <c r="A37" s="1692" t="s">
        <v>1732</v>
      </c>
      <c r="B37" s="1692" t="s">
        <v>2924</v>
      </c>
      <c r="C37" s="1692" t="s">
        <v>28</v>
      </c>
      <c r="D37" s="1692" t="s">
        <v>2874</v>
      </c>
      <c r="E37" s="1692" t="s">
        <v>2870</v>
      </c>
      <c r="F37" s="1692" t="s">
        <v>28</v>
      </c>
      <c r="G37" s="1692" t="s">
        <v>28</v>
      </c>
      <c r="H37" s="1692" t="s">
        <v>28</v>
      </c>
      <c r="I37" s="1692" t="s">
        <v>28</v>
      </c>
    </row>
    <row customHeight="1" ht="11.25">
      <c r="A38" s="1692" t="s">
        <v>1739</v>
      </c>
      <c r="B38" s="1692" t="s">
        <v>2925</v>
      </c>
      <c r="C38" s="1692" t="s">
        <v>28</v>
      </c>
      <c r="D38" s="1692" t="s">
        <v>2874</v>
      </c>
      <c r="E38" s="1692" t="s">
        <v>2872</v>
      </c>
      <c r="F38" s="1692" t="s">
        <v>28</v>
      </c>
      <c r="G38" s="1692" t="s">
        <v>28</v>
      </c>
      <c r="H38" s="1692" t="s">
        <v>28</v>
      </c>
      <c r="I38" s="1692" t="s">
        <v>28</v>
      </c>
    </row>
    <row customHeight="1" ht="11.25">
      <c r="A39" s="1692" t="s">
        <v>1745</v>
      </c>
      <c r="B39" s="1692" t="s">
        <v>2926</v>
      </c>
      <c r="C39" s="1692" t="s">
        <v>28</v>
      </c>
      <c r="D39" s="1692" t="s">
        <v>2874</v>
      </c>
      <c r="E39" s="1692" t="s">
        <v>2872</v>
      </c>
      <c r="F39" s="1692" t="s">
        <v>28</v>
      </c>
      <c r="G39" s="1692" t="s">
        <v>28</v>
      </c>
      <c r="H39" s="1692" t="s">
        <v>28</v>
      </c>
      <c r="I39" s="1692" t="s">
        <v>28</v>
      </c>
    </row>
    <row customHeight="1" ht="11.25">
      <c r="A40" s="1692" t="s">
        <v>1750</v>
      </c>
      <c r="B40" s="1692" t="s">
        <v>2927</v>
      </c>
      <c r="C40" s="1692" t="s">
        <v>28</v>
      </c>
      <c r="D40" s="1692" t="s">
        <v>2874</v>
      </c>
      <c r="E40" s="1692" t="s">
        <v>2870</v>
      </c>
      <c r="F40" s="1692" t="s">
        <v>28</v>
      </c>
      <c r="G40" s="1692" t="s">
        <v>28</v>
      </c>
      <c r="H40" s="1692" t="s">
        <v>28</v>
      </c>
      <c r="I40" s="1692" t="s">
        <v>28</v>
      </c>
    </row>
    <row customHeight="1" ht="11.25">
      <c r="A41" s="1692" t="s">
        <v>1754</v>
      </c>
      <c r="B41" s="1692" t="s">
        <v>2928</v>
      </c>
      <c r="C41" s="1692" t="s">
        <v>28</v>
      </c>
      <c r="D41" s="1692" t="s">
        <v>2929</v>
      </c>
      <c r="E41" s="1692" t="s">
        <v>2882</v>
      </c>
      <c r="F41" s="1692" t="s">
        <v>28</v>
      </c>
      <c r="G41" s="1692" t="s">
        <v>28</v>
      </c>
      <c r="H41" s="1692" t="s">
        <v>28</v>
      </c>
      <c r="I41" s="1692" t="s">
        <v>28</v>
      </c>
    </row>
    <row customHeight="1" ht="11.25">
      <c r="A42" s="1692" t="s">
        <v>1757</v>
      </c>
      <c r="B42" s="1692" t="s">
        <v>2930</v>
      </c>
      <c r="C42" s="1692" t="s">
        <v>28</v>
      </c>
      <c r="D42" s="1692" t="s">
        <v>2931</v>
      </c>
      <c r="E42" s="1692" t="s">
        <v>2932</v>
      </c>
      <c r="F42" s="1692" t="s">
        <v>28</v>
      </c>
      <c r="G42" s="1692" t="s">
        <v>28</v>
      </c>
      <c r="H42" s="1692" t="s">
        <v>28</v>
      </c>
      <c r="I42" s="1692" t="s">
        <v>28</v>
      </c>
    </row>
    <row customHeight="1" ht="11.25">
      <c r="A43" s="1692" t="s">
        <v>1764</v>
      </c>
      <c r="B43" s="1692" t="s">
        <v>2933</v>
      </c>
      <c r="C43" s="1692" t="s">
        <v>28</v>
      </c>
      <c r="D43" s="1692" t="s">
        <v>2869</v>
      </c>
      <c r="E43" s="1692" t="s">
        <v>2884</v>
      </c>
      <c r="F43" s="1692" t="s">
        <v>28</v>
      </c>
      <c r="G43" s="1692" t="s">
        <v>28</v>
      </c>
      <c r="H43" s="1692" t="s">
        <v>28</v>
      </c>
      <c r="I43" s="1692" t="s">
        <v>28</v>
      </c>
    </row>
    <row customHeight="1" ht="11.25">
      <c r="A44" s="1692" t="s">
        <v>1773</v>
      </c>
      <c r="B44" s="1692" t="s">
        <v>2934</v>
      </c>
      <c r="C44" s="1692" t="s">
        <v>28</v>
      </c>
      <c r="D44" s="1692" t="s">
        <v>2881</v>
      </c>
      <c r="E44" s="1692" t="s">
        <v>2882</v>
      </c>
      <c r="F44" s="1692" t="s">
        <v>28</v>
      </c>
      <c r="G44" s="1692" t="s">
        <v>28</v>
      </c>
      <c r="H44" s="1692" t="s">
        <v>28</v>
      </c>
      <c r="I44" s="1692" t="s">
        <v>28</v>
      </c>
    </row>
    <row customHeight="1" ht="11.25">
      <c r="A45" s="1692" t="s">
        <v>1778</v>
      </c>
      <c r="B45" s="1692" t="s">
        <v>2935</v>
      </c>
      <c r="C45" s="1692" t="s">
        <v>28</v>
      </c>
      <c r="D45" s="1692" t="s">
        <v>2881</v>
      </c>
      <c r="E45" s="1692" t="s">
        <v>2882</v>
      </c>
      <c r="F45" s="1692" t="s">
        <v>28</v>
      </c>
      <c r="G45" s="1692" t="s">
        <v>28</v>
      </c>
      <c r="H45" s="1692" t="s">
        <v>28</v>
      </c>
      <c r="I45" s="1692" t="s">
        <v>28</v>
      </c>
    </row>
    <row customHeight="1" ht="11.25">
      <c r="A46" s="1692" t="s">
        <v>1782</v>
      </c>
      <c r="B46" s="1692" t="s">
        <v>2936</v>
      </c>
      <c r="C46" s="1692" t="s">
        <v>28</v>
      </c>
      <c r="D46" s="1692" t="s">
        <v>2869</v>
      </c>
      <c r="E46" s="1692" t="s">
        <v>2884</v>
      </c>
      <c r="F46" s="1692" t="s">
        <v>28</v>
      </c>
      <c r="G46" s="1692" t="s">
        <v>28</v>
      </c>
      <c r="H46" s="1692" t="s">
        <v>28</v>
      </c>
      <c r="I46" s="1692" t="s">
        <v>28</v>
      </c>
    </row>
    <row customHeight="1" ht="11.25">
      <c r="A47" s="1692" t="s">
        <v>1788</v>
      </c>
      <c r="B47" s="1692" t="s">
        <v>2937</v>
      </c>
      <c r="C47" s="1692" t="s">
        <v>28</v>
      </c>
      <c r="D47" s="1692" t="s">
        <v>2938</v>
      </c>
      <c r="E47" s="1692" t="s">
        <v>2939</v>
      </c>
      <c r="F47" s="1692" t="s">
        <v>28</v>
      </c>
      <c r="G47" s="1692" t="s">
        <v>28</v>
      </c>
      <c r="H47" s="1692" t="s">
        <v>28</v>
      </c>
      <c r="I47" s="1692" t="s">
        <v>28</v>
      </c>
    </row>
    <row customHeight="1" ht="11.25">
      <c r="A48" s="1692" t="s">
        <v>1793</v>
      </c>
      <c r="B48" s="1692" t="s">
        <v>2940</v>
      </c>
      <c r="C48" s="1692" t="s">
        <v>28</v>
      </c>
      <c r="D48" s="1692" t="s">
        <v>2938</v>
      </c>
      <c r="E48" s="1692" t="s">
        <v>2939</v>
      </c>
      <c r="F48" s="1692" t="s">
        <v>28</v>
      </c>
      <c r="G48" s="1692" t="s">
        <v>28</v>
      </c>
      <c r="H48" s="1692" t="s">
        <v>28</v>
      </c>
      <c r="I48" s="1692" t="s">
        <v>28</v>
      </c>
    </row>
    <row customHeight="1" ht="11.25">
      <c r="A49" s="1692" t="s">
        <v>1796</v>
      </c>
      <c r="B49" s="1692" t="s">
        <v>2941</v>
      </c>
      <c r="C49" s="1692" t="s">
        <v>28</v>
      </c>
      <c r="D49" s="1692" t="s">
        <v>2881</v>
      </c>
      <c r="E49" s="1692" t="s">
        <v>2886</v>
      </c>
      <c r="F49" s="1692" t="s">
        <v>28</v>
      </c>
      <c r="G49" s="1692" t="s">
        <v>28</v>
      </c>
      <c r="H49" s="1692" t="s">
        <v>28</v>
      </c>
      <c r="I49" s="1692" t="s">
        <v>28</v>
      </c>
    </row>
    <row customHeight="1" ht="11.25">
      <c r="A50" s="1692" t="s">
        <v>1800</v>
      </c>
      <c r="B50" s="1692" t="s">
        <v>2942</v>
      </c>
      <c r="C50" s="1692" t="s">
        <v>28</v>
      </c>
      <c r="D50" s="1692" t="s">
        <v>2890</v>
      </c>
      <c r="E50" s="1692" t="s">
        <v>2943</v>
      </c>
      <c r="F50" s="1692" t="s">
        <v>28</v>
      </c>
      <c r="G50" s="1692" t="s">
        <v>28</v>
      </c>
      <c r="H50" s="1692" t="s">
        <v>28</v>
      </c>
      <c r="I50" s="1692" t="s">
        <v>28</v>
      </c>
    </row>
    <row customHeight="1" ht="11.25">
      <c r="A51" s="1692" t="s">
        <v>1804</v>
      </c>
      <c r="B51" s="1692" t="s">
        <v>2944</v>
      </c>
      <c r="C51" s="1692" t="s">
        <v>28</v>
      </c>
      <c r="D51" s="1692" t="s">
        <v>2945</v>
      </c>
      <c r="E51" s="1692" t="s">
        <v>2943</v>
      </c>
      <c r="F51" s="1692" t="s">
        <v>28</v>
      </c>
      <c r="G51" s="1692" t="s">
        <v>28</v>
      </c>
      <c r="H51" s="1692" t="s">
        <v>28</v>
      </c>
      <c r="I51" s="1692" t="s">
        <v>28</v>
      </c>
    </row>
    <row customHeight="1" ht="11.25">
      <c r="A52" s="1692" t="s">
        <v>1808</v>
      </c>
      <c r="B52" s="1692" t="s">
        <v>2946</v>
      </c>
      <c r="C52" s="1692" t="s">
        <v>28</v>
      </c>
      <c r="D52" s="1692" t="s">
        <v>2947</v>
      </c>
      <c r="E52" s="1692" t="s">
        <v>2870</v>
      </c>
      <c r="F52" s="1692" t="s">
        <v>28</v>
      </c>
      <c r="G52" s="1692" t="s">
        <v>28</v>
      </c>
      <c r="H52" s="1692" t="s">
        <v>28</v>
      </c>
      <c r="I52" s="1692" t="s">
        <v>28</v>
      </c>
    </row>
    <row customHeight="1" ht="11.25">
      <c r="A53" s="1692" t="s">
        <v>1810</v>
      </c>
      <c r="B53" s="1692" t="s">
        <v>2948</v>
      </c>
      <c r="C53" s="1692" t="s">
        <v>28</v>
      </c>
      <c r="D53" s="1692" t="s">
        <v>2949</v>
      </c>
      <c r="E53" s="1692" t="s">
        <v>2950</v>
      </c>
      <c r="F53" s="1692" t="s">
        <v>28</v>
      </c>
      <c r="G53" s="1692" t="s">
        <v>28</v>
      </c>
      <c r="H53" s="1692" t="s">
        <v>28</v>
      </c>
      <c r="I53" s="1692" t="s">
        <v>28</v>
      </c>
    </row>
    <row customHeight="1" ht="11.25">
      <c r="A54" s="1692" t="s">
        <v>1813</v>
      </c>
      <c r="B54" s="1692" t="s">
        <v>2951</v>
      </c>
      <c r="C54" s="1692" t="s">
        <v>28</v>
      </c>
      <c r="D54" s="1692" t="s">
        <v>2881</v>
      </c>
      <c r="E54" s="1692" t="s">
        <v>2952</v>
      </c>
      <c r="F54" s="1692" t="s">
        <v>28</v>
      </c>
      <c r="G54" s="1692" t="s">
        <v>28</v>
      </c>
      <c r="H54" s="1692" t="s">
        <v>28</v>
      </c>
      <c r="I54" s="1692" t="s">
        <v>28</v>
      </c>
    </row>
    <row customHeight="1" ht="11.25">
      <c r="A55" s="1692" t="s">
        <v>1818</v>
      </c>
      <c r="B55" s="1692" t="s">
        <v>2953</v>
      </c>
      <c r="C55" s="1692" t="s">
        <v>28</v>
      </c>
      <c r="D55" s="1692" t="s">
        <v>2881</v>
      </c>
      <c r="E55" s="1692" t="s">
        <v>2952</v>
      </c>
      <c r="F55" s="1692" t="s">
        <v>28</v>
      </c>
      <c r="G55" s="1692" t="s">
        <v>28</v>
      </c>
      <c r="H55" s="1692" t="s">
        <v>28</v>
      </c>
      <c r="I55" s="1692" t="s">
        <v>28</v>
      </c>
    </row>
    <row customHeight="1" ht="11.25">
      <c r="A56" s="1692" t="s">
        <v>1821</v>
      </c>
      <c r="B56" s="1692" t="s">
        <v>2954</v>
      </c>
      <c r="C56" s="1692" t="s">
        <v>28</v>
      </c>
      <c r="D56" s="1692" t="s">
        <v>2902</v>
      </c>
      <c r="E56" s="1692" t="s">
        <v>2915</v>
      </c>
      <c r="F56" s="1692" t="s">
        <v>28</v>
      </c>
      <c r="G56" s="1692" t="s">
        <v>28</v>
      </c>
      <c r="H56" s="1692" t="s">
        <v>28</v>
      </c>
      <c r="I56" s="1692" t="s">
        <v>28</v>
      </c>
    </row>
    <row customHeight="1" ht="11.25">
      <c r="A57" s="1692" t="s">
        <v>1824</v>
      </c>
      <c r="B57" s="1692" t="s">
        <v>2955</v>
      </c>
      <c r="C57" s="1692" t="s">
        <v>28</v>
      </c>
      <c r="D57" s="1692" t="s">
        <v>2874</v>
      </c>
      <c r="E57" s="1692" t="s">
        <v>2882</v>
      </c>
      <c r="F57" s="1692" t="s">
        <v>28</v>
      </c>
      <c r="G57" s="1692" t="s">
        <v>28</v>
      </c>
      <c r="H57" s="1692" t="s">
        <v>28</v>
      </c>
      <c r="I57" s="1692" t="s">
        <v>28</v>
      </c>
    </row>
    <row customHeight="1" ht="11.25">
      <c r="A58" s="1692" t="s">
        <v>1827</v>
      </c>
      <c r="B58" s="1692" t="s">
        <v>2956</v>
      </c>
      <c r="C58" s="1692" t="s">
        <v>28</v>
      </c>
      <c r="D58" s="1692" t="s">
        <v>2890</v>
      </c>
      <c r="E58" s="1692" t="s">
        <v>2899</v>
      </c>
      <c r="F58" s="1692" t="s">
        <v>28</v>
      </c>
      <c r="G58" s="1692" t="s">
        <v>28</v>
      </c>
      <c r="H58" s="1692" t="s">
        <v>28</v>
      </c>
      <c r="I58" s="1692" t="s">
        <v>28</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296489E-5E13-A6B8-88C6-A708939E80A8}" mc:Ignorable="x14ac xr xr2 xr3">
  <sheetPr>
    <tabColor rgb="FFFFCC99"/>
  </sheetPr>
  <dimension ref="A1:A1"/>
  <sheetViews>
    <sheetView topLeftCell="A1"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3F25118-9454-2118-AB58-698548BB4EB8}" mc:Ignorable="x14ac xr xr2 xr3">
  <sheetPr>
    <tabColor theme="3" tint="0.6"/>
  </sheetPr>
  <dimension ref="A1:AT18"/>
  <sheetViews>
    <sheetView showGridLines="0" zoomScale="90" workbookViewId="0">
      <pane xSplit="5" ySplit="11" topLeftCell="F12" activePane="bottomRight" state="frozen"/>
      <selection pane="bottomLeft" activeCell="A12" sqref="A12"/>
      <selection pane="topRight" activeCell="F1" sqref="F1"/>
      <selection pane="bottomRight" activeCell="A1" sqref="A1"/>
    </sheetView>
  </sheetViews>
  <sheetFormatPr defaultColWidth="10.57421875" customHeight="1" defaultRowHeight="14.25"/>
  <cols>
    <col min="1" max="1" style="1633" width="9.140625" hidden="1" customWidth="1"/>
    <col min="2" max="2" style="1636" width="9.140625" hidden="1" customWidth="1"/>
    <col min="3" max="3" style="1843" width="3.00390625" customWidth="1"/>
    <col min="4" max="4" style="1636" width="5.00390625" customWidth="1"/>
    <col min="5" max="5" style="1636" width="48.00390625" customWidth="1"/>
    <col min="6" max="6" style="1636" width="38.00390625" customWidth="1"/>
    <col min="7" max="7" style="1636" width="1.7109375" hidden="1" customWidth="1"/>
    <col min="8" max="11" style="1636" width="19.8515625" customWidth="1"/>
    <col min="12" max="12" style="1636" width="9.7109375" customWidth="1"/>
    <col min="13" max="18" style="1636" width="19.8515625" customWidth="1"/>
    <col min="19" max="19" style="1636" width="1.7109375" hidden="1" customWidth="1"/>
    <col min="20" max="22" style="1636" width="19.8515625" hidden="1" customWidth="1"/>
    <col min="23" max="23" style="1636" width="1.7109375" hidden="1" customWidth="1"/>
    <col min="24" max="26" style="1636" width="19.8515625" hidden="1" customWidth="1"/>
    <col min="27" max="27" style="1636" width="1.7109375" hidden="1" customWidth="1"/>
    <col min="28" max="29" style="1636" width="19.8515625" hidden="1" customWidth="1"/>
    <col min="30" max="30" style="1636" width="1.7109375" hidden="1" customWidth="1"/>
    <col min="31" max="31" style="1636" width="103.7109375" customWidth="1"/>
    <col min="32" max="34" style="1636" width="103.7109375" hidden="1" customWidth="1"/>
    <col min="35" max="35" style="1820" width="3.00390625" customWidth="1"/>
    <col min="36" max="38" style="1643" width="10.00390625" customWidth="1"/>
    <col min="39" max="39" style="1643" width="13.7109375" hidden="1" customWidth="1"/>
    <col min="40" max="40" style="1643" width="15.00390625" customWidth="1"/>
    <col min="41" max="41" style="1643" width="16.00390625" customWidth="1"/>
    <col min="42" max="45" style="1643" width="10.00390625" customWidth="1"/>
    <col min="46" max="46" style="1636" width="10.57421875" hidden="1"/>
  </cols>
  <sheetData>
    <row customHeight="1" ht="22.5" hidden="1">
      <c r="E1" s="413"/>
      <c r="F1" s="413"/>
      <c r="G1" s="413"/>
      <c r="H1" s="2218" t="s">
        <v>482</v>
      </c>
      <c r="I1" s="2218"/>
      <c r="J1" s="2218"/>
      <c r="K1" s="2218"/>
      <c r="L1" s="2218"/>
      <c r="M1" s="2218"/>
      <c r="N1" s="2218"/>
      <c r="O1" s="2218"/>
      <c r="P1" s="2218"/>
      <c r="Q1" s="2218"/>
      <c r="R1" s="2218"/>
      <c r="T1" s="2218" t="s">
        <v>483</v>
      </c>
      <c r="U1" s="2218"/>
      <c r="V1" s="2218"/>
      <c r="X1" s="2218" t="s">
        <v>484</v>
      </c>
      <c r="Y1" s="2218"/>
      <c r="Z1" s="2218"/>
      <c r="AB1" s="2218" t="s">
        <v>485</v>
      </c>
      <c r="AC1" s="2218"/>
      <c r="AT1" s="448" t="s">
        <v>14</v>
      </c>
    </row>
    <row customHeight="1" ht="14.25" hidden="1">
      <c r="AT2" s="448">
        <v>0</v>
      </c>
    </row>
    <row s="1614" customFormat="1" customHeight="1" ht="5.25">
      <c r="C3" s="702"/>
      <c r="D3" s="703"/>
      <c r="E3" s="703"/>
      <c r="F3" s="703"/>
      <c r="G3" s="703"/>
      <c r="H3" s="703" t="s">
        <v>486</v>
      </c>
      <c r="I3" s="703"/>
      <c r="J3" s="703"/>
      <c r="K3" s="703"/>
      <c r="L3" s="703"/>
      <c r="M3" s="703"/>
      <c r="N3" s="703"/>
      <c r="O3" s="703"/>
      <c r="P3" s="703"/>
      <c r="Q3" s="703"/>
      <c r="R3" s="703"/>
      <c r="S3" s="703"/>
      <c r="T3" s="703"/>
      <c r="U3" s="703"/>
      <c r="V3" s="703"/>
      <c r="W3" s="703"/>
      <c r="X3" s="703"/>
      <c r="Y3" s="703"/>
      <c r="Z3" s="703"/>
      <c r="AA3" s="703"/>
      <c r="AB3" s="703"/>
      <c r="AC3" s="703"/>
      <c r="AD3" s="703"/>
      <c r="AE3" s="703"/>
      <c r="AF3" s="703"/>
      <c r="AG3" s="703"/>
      <c r="AH3" s="703"/>
      <c r="AJ3" s="512"/>
      <c r="AK3" s="512"/>
      <c r="AL3" s="512"/>
      <c r="AM3" s="512"/>
      <c r="AN3" s="512"/>
      <c r="AO3" s="512"/>
      <c r="AP3" s="512"/>
      <c r="AQ3" s="512"/>
      <c r="AR3" s="512"/>
      <c r="AS3" s="512"/>
      <c r="AT3" s="701">
        <v>5</v>
      </c>
    </row>
    <row customHeight="1" ht="39.75">
      <c r="C4" s="451"/>
      <c r="D4" s="2158" t="str">
        <f>ORG_VD_NAME_FORM</f>
        <v>Форма 2. Общая информация об объектах теплоснабжения регулируемой организации, единой теплоснабжающей организации в ценовых зонах теплоснабжения, теплоснабжающей организации в ценовых зонах теплоснабжения и теплосетевой организации в ценовых зонах теплоснабжения</v>
      </c>
      <c r="E4" s="2159"/>
      <c r="F4" s="2159"/>
      <c r="G4" s="2159"/>
      <c r="H4" s="2159"/>
      <c r="I4" s="2159"/>
      <c r="J4" s="2159"/>
      <c r="K4" s="2159"/>
      <c r="L4" s="2159"/>
      <c r="M4" s="2159"/>
      <c r="N4" s="2159"/>
      <c r="O4" s="2159"/>
      <c r="P4" s="2159"/>
      <c r="Q4" s="2159"/>
      <c r="R4" s="2160"/>
      <c r="S4" s="854"/>
      <c r="T4" s="700"/>
      <c r="U4" s="700"/>
      <c r="V4" s="700"/>
      <c r="W4" s="700"/>
      <c r="X4" s="700"/>
      <c r="Y4" s="700"/>
      <c r="Z4" s="700"/>
      <c r="AA4" s="700"/>
      <c r="AB4" s="700"/>
      <c r="AC4" s="700"/>
      <c r="AD4" s="700"/>
      <c r="AE4" s="492"/>
      <c r="AF4" s="492"/>
      <c r="AG4" s="492"/>
      <c r="AH4" s="492"/>
      <c r="AI4" s="489"/>
      <c r="AT4" s="448">
        <v>38</v>
      </c>
    </row>
    <row s="1636" customFormat="1" customHeight="1" ht="18">
      <c r="A5" s="760"/>
      <c r="C5" s="823"/>
      <c r="D5" s="2215" t="str">
        <f>IF(org=0,"Не определено",org)</f>
        <v>ПАО "ТГК-1" (филиал "Кольский")</v>
      </c>
      <c r="E5" s="2216"/>
      <c r="F5" s="2216"/>
      <c r="G5" s="2216"/>
      <c r="H5" s="2216"/>
      <c r="I5" s="2216"/>
      <c r="J5" s="2216"/>
      <c r="K5" s="2216"/>
      <c r="L5" s="2216"/>
      <c r="M5" s="2216"/>
      <c r="N5" s="2216"/>
      <c r="O5" s="2216"/>
      <c r="P5" s="2216"/>
      <c r="Q5" s="2216"/>
      <c r="R5" s="2217"/>
      <c r="S5" s="854"/>
      <c r="T5" s="700"/>
      <c r="U5" s="700"/>
      <c r="V5" s="700"/>
      <c r="W5" s="700"/>
      <c r="X5" s="700"/>
      <c r="Y5" s="700"/>
      <c r="Z5" s="700"/>
      <c r="AA5" s="700"/>
      <c r="AB5" s="700"/>
      <c r="AC5" s="700"/>
      <c r="AD5" s="700"/>
      <c r="AE5" s="492"/>
      <c r="AF5" s="492"/>
      <c r="AG5" s="492"/>
      <c r="AH5" s="492"/>
      <c r="AI5" s="489"/>
      <c r="AJ5" s="512"/>
      <c r="AK5" s="512"/>
      <c r="AL5" s="512"/>
      <c r="AM5" s="512"/>
      <c r="AN5" s="512"/>
      <c r="AO5" s="512"/>
      <c r="AP5" s="512"/>
      <c r="AQ5" s="512"/>
      <c r="AR5" s="512"/>
      <c r="AS5" s="512"/>
      <c r="AT5" s="759">
        <v>17</v>
      </c>
    </row>
    <row s="1613" customFormat="1" customHeight="1" ht="11.549999999999999">
      <c r="A6" s="480"/>
      <c r="C6" s="487"/>
      <c r="D6" s="486"/>
      <c r="E6" s="486"/>
      <c r="F6" s="486"/>
      <c r="G6" s="486"/>
      <c r="H6" s="486"/>
      <c r="I6" s="486"/>
      <c r="J6" s="486"/>
      <c r="K6" s="486"/>
      <c r="L6" s="486"/>
      <c r="M6" s="486"/>
      <c r="N6" s="486"/>
      <c r="O6" s="486"/>
      <c r="P6" s="486"/>
      <c r="Q6" s="486"/>
      <c r="R6" s="753"/>
      <c r="S6" s="753"/>
      <c r="T6" s="486"/>
      <c r="U6" s="486"/>
      <c r="V6" s="713"/>
      <c r="W6" s="713"/>
      <c r="X6" s="486"/>
      <c r="Y6" s="486"/>
      <c r="Z6" s="713"/>
      <c r="AA6" s="713"/>
      <c r="AB6" s="486"/>
      <c r="AC6" s="713"/>
      <c r="AD6" s="713"/>
      <c r="AE6" s="486"/>
      <c r="AF6" s="486"/>
      <c r="AG6" s="486"/>
      <c r="AH6" s="486"/>
      <c r="AJ6" s="490"/>
      <c r="AK6" s="490"/>
      <c r="AL6" s="490"/>
      <c r="AM6" s="490"/>
      <c r="AN6" s="490"/>
      <c r="AO6" s="490"/>
      <c r="AP6" s="490"/>
      <c r="AQ6" s="490"/>
      <c r="AR6" s="490"/>
      <c r="AS6" s="490"/>
      <c r="AT6" s="481">
        <v>11</v>
      </c>
    </row>
    <row customHeight="1" ht="14.699999999999998">
      <c r="C7" s="451"/>
      <c r="D7" s="2219" t="s">
        <v>430</v>
      </c>
      <c r="E7" s="2220"/>
      <c r="F7" s="2220"/>
      <c r="G7" s="2220"/>
      <c r="H7" s="2220"/>
      <c r="I7" s="2220"/>
      <c r="J7" s="2220"/>
      <c r="K7" s="2220"/>
      <c r="L7" s="2220"/>
      <c r="M7" s="2220"/>
      <c r="N7" s="2220"/>
      <c r="O7" s="2220"/>
      <c r="P7" s="2220"/>
      <c r="Q7" s="2220"/>
      <c r="R7" s="2220"/>
      <c r="S7" s="2220"/>
      <c r="T7" s="2220"/>
      <c r="U7" s="2220"/>
      <c r="V7" s="2220"/>
      <c r="W7" s="2220"/>
      <c r="X7" s="2220"/>
      <c r="Y7" s="2220"/>
      <c r="Z7" s="2220"/>
      <c r="AA7" s="2220"/>
      <c r="AB7" s="2220"/>
      <c r="AC7" s="2220"/>
      <c r="AD7" s="2221"/>
      <c r="AE7" s="2224" t="s">
        <v>431</v>
      </c>
      <c r="AF7" s="2224" t="s">
        <v>431</v>
      </c>
      <c r="AG7" s="2224" t="s">
        <v>431</v>
      </c>
      <c r="AH7" s="2224" t="s">
        <v>431</v>
      </c>
      <c r="AT7" s="448">
        <v>14</v>
      </c>
    </row>
    <row customHeight="1" ht="27.299999999999997">
      <c r="C8" s="451"/>
      <c r="D8" s="2128" t="s">
        <v>92</v>
      </c>
      <c r="E8" s="2224" t="str">
        <f>"Наименование "&amp;IF(TEMPLATE_SPHERE&lt;&gt;"HEAT","централизованной ","")&amp;"системы "&amp;TEMPLATE_SPHERE_RUS</f>
        <v>Наименование системы теплоснабжения</v>
      </c>
      <c r="F8" s="2224" t="str">
        <f>IF(TEMPLATE_SPHERE&lt;&gt;"HEAT","Регулируемый вид деятельности","Вид регулируемой деятельности")</f>
        <v>Вид регулируемой деятельности</v>
      </c>
      <c r="G8" s="829"/>
      <c r="H8" s="2225" t="s">
        <v>487</v>
      </c>
      <c r="I8" s="2227" t="s">
        <v>488</v>
      </c>
      <c r="J8" s="2224" t="s">
        <v>489</v>
      </c>
      <c r="K8" s="2224"/>
      <c r="L8" s="2224"/>
      <c r="M8" s="2219"/>
      <c r="N8" s="2224" t="s">
        <v>490</v>
      </c>
      <c r="O8" s="2224"/>
      <c r="P8" s="2224" t="s">
        <v>491</v>
      </c>
      <c r="Q8" s="2224"/>
      <c r="R8" s="2231" t="s">
        <v>492</v>
      </c>
      <c r="S8" s="825"/>
      <c r="T8" s="2229" t="s">
        <v>493</v>
      </c>
      <c r="U8" s="2229" t="s">
        <v>494</v>
      </c>
      <c r="V8" s="2229" t="s">
        <v>495</v>
      </c>
      <c r="W8" s="827"/>
      <c r="X8" s="2229" t="s">
        <v>496</v>
      </c>
      <c r="Y8" s="2229" t="s">
        <v>497</v>
      </c>
      <c r="Z8" s="2229" t="s">
        <v>498</v>
      </c>
      <c r="AA8" s="827"/>
      <c r="AB8" s="2229" t="s">
        <v>499</v>
      </c>
      <c r="AC8" s="2229" t="s">
        <v>492</v>
      </c>
      <c r="AD8" s="827"/>
      <c r="AE8" s="2224"/>
      <c r="AF8" s="2224"/>
      <c r="AG8" s="2224"/>
      <c r="AH8" s="2224"/>
      <c r="AT8" s="448">
        <v>26</v>
      </c>
    </row>
    <row customHeight="1" ht="46.199999999999996">
      <c r="C9" s="451"/>
      <c r="D9" s="2128"/>
      <c r="E9" s="2224"/>
      <c r="F9" s="2224"/>
      <c r="G9" s="830"/>
      <c r="H9" s="2226"/>
      <c r="I9" s="2228"/>
      <c r="J9" s="426" t="s">
        <v>500</v>
      </c>
      <c r="K9" s="426" t="s">
        <v>501</v>
      </c>
      <c r="L9" s="426" t="s">
        <v>502</v>
      </c>
      <c r="M9" s="432" t="s">
        <v>503</v>
      </c>
      <c r="N9" s="426" t="s">
        <v>504</v>
      </c>
      <c r="O9" s="426" t="s">
        <v>503</v>
      </c>
      <c r="P9" s="426" t="s">
        <v>505</v>
      </c>
      <c r="Q9" s="426" t="s">
        <v>503</v>
      </c>
      <c r="R9" s="2232"/>
      <c r="S9" s="826"/>
      <c r="T9" s="2230"/>
      <c r="U9" s="2230"/>
      <c r="V9" s="2230"/>
      <c r="W9" s="828"/>
      <c r="X9" s="2230"/>
      <c r="Y9" s="2230"/>
      <c r="Z9" s="2230"/>
      <c r="AA9" s="828"/>
      <c r="AB9" s="2230"/>
      <c r="AC9" s="2230"/>
      <c r="AD9" s="828"/>
      <c r="AE9" s="2224"/>
      <c r="AF9" s="2224"/>
      <c r="AG9" s="2224"/>
      <c r="AH9" s="2224"/>
      <c r="AT9" s="448">
        <v>44</v>
      </c>
    </row>
    <row customHeight="1" ht="12" hidden="1">
      <c r="C10" s="488"/>
      <c r="D10" s="449"/>
      <c r="E10" s="449"/>
      <c r="F10" s="449"/>
      <c r="G10" s="449"/>
      <c r="H10" s="449"/>
      <c r="I10" s="449"/>
      <c r="J10" s="449"/>
      <c r="K10" s="449"/>
      <c r="L10" s="449"/>
      <c r="M10" s="449"/>
      <c r="N10" s="449"/>
      <c r="O10" s="449"/>
      <c r="P10" s="449"/>
      <c r="Q10" s="449"/>
      <c r="R10" s="449"/>
      <c r="S10" s="449"/>
      <c r="T10" s="449"/>
      <c r="U10" s="449"/>
      <c r="V10" s="449"/>
      <c r="W10" s="449"/>
      <c r="X10" s="449"/>
      <c r="Y10" s="449"/>
      <c r="Z10" s="449"/>
      <c r="AA10" s="449"/>
      <c r="AB10" s="449"/>
      <c r="AC10" s="449"/>
      <c r="AD10" s="449"/>
      <c r="AE10" s="449"/>
      <c r="AF10" s="449"/>
      <c r="AG10" s="449"/>
      <c r="AH10" s="449"/>
      <c r="AI10" s="448"/>
      <c r="AP10" s="501"/>
      <c r="AQ10" s="501"/>
      <c r="AT10" s="448">
        <v>0</v>
      </c>
    </row>
    <row s="1642" customFormat="1" customHeight="1" ht="11.25" hidden="1">
      <c r="C11" s="499"/>
      <c r="D11" s="500" t="s">
        <v>506</v>
      </c>
      <c r="E11" s="500"/>
      <c r="F11" s="500"/>
      <c r="G11" s="500"/>
      <c r="H11" s="498"/>
      <c r="I11" s="498"/>
      <c r="J11" s="498"/>
      <c r="K11" s="498"/>
      <c r="L11" s="498"/>
      <c r="M11" s="498"/>
      <c r="N11" s="498"/>
      <c r="O11" s="498"/>
      <c r="P11" s="498"/>
      <c r="Q11" s="498"/>
      <c r="R11" s="498"/>
      <c r="S11" s="498"/>
      <c r="T11" s="498"/>
      <c r="U11" s="498"/>
      <c r="V11" s="498"/>
      <c r="W11" s="498"/>
      <c r="X11" s="498"/>
      <c r="Y11" s="498"/>
      <c r="Z11" s="498"/>
      <c r="AA11" s="498"/>
      <c r="AB11" s="498"/>
      <c r="AC11" s="498"/>
      <c r="AD11" s="498"/>
      <c r="AE11" s="436"/>
      <c r="AF11" s="436"/>
      <c r="AG11" s="436"/>
      <c r="AH11" s="436"/>
      <c r="AJ11" s="490"/>
      <c r="AK11" s="490"/>
      <c r="AL11" s="490"/>
      <c r="AM11" s="490"/>
      <c r="AN11" s="490"/>
      <c r="AO11" s="490"/>
      <c r="AP11" s="490"/>
      <c r="AQ11" s="490"/>
      <c r="AR11" s="490"/>
      <c r="AS11" s="490"/>
      <c r="AT11" s="497">
        <v>0</v>
      </c>
    </row>
    <row customHeight="1" ht="14.699999999999998">
      <c r="A12" s="448"/>
      <c r="C12" s="451"/>
      <c r="D12" s="435" t="s">
        <v>123</v>
      </c>
      <c r="E12" s="1778" t="s">
        <v>28</v>
      </c>
      <c r="F12" s="856"/>
      <c r="G12" s="857"/>
      <c r="H12" s="1779"/>
      <c r="I12" s="1779"/>
      <c r="J12" s="434"/>
      <c r="K12" s="1864"/>
      <c r="L12" s="433"/>
      <c r="M12" s="1864"/>
      <c r="N12" s="434"/>
      <c r="O12" s="1864"/>
      <c r="P12" s="434"/>
      <c r="Q12" s="1864"/>
      <c r="R12" s="434"/>
      <c r="S12" s="855"/>
      <c r="T12" s="1779"/>
      <c r="U12" s="434"/>
      <c r="V12" s="434"/>
      <c r="W12" s="828"/>
      <c r="X12" s="1779"/>
      <c r="Y12" s="434"/>
      <c r="Z12" s="434"/>
      <c r="AA12" s="828"/>
      <c r="AB12" s="1779"/>
      <c r="AC12" s="434"/>
      <c r="AD12" s="828"/>
      <c r="AE12" s="2222" t="s">
        <v>507</v>
      </c>
      <c r="AF12" s="2222" t="s">
        <v>508</v>
      </c>
      <c r="AG12" s="2222" t="s">
        <v>509</v>
      </c>
      <c r="AH12" s="2222" t="s">
        <v>510</v>
      </c>
      <c r="AI12" s="448"/>
      <c r="AM12" s="512"/>
      <c r="AP12" s="501" t="s">
        <v>511</v>
      </c>
      <c r="AQ12" s="501" t="s">
        <v>511</v>
      </c>
      <c r="AT12" s="448">
        <v>14</v>
      </c>
    </row>
    <row customHeight="1" ht="18">
      <c r="A13" s="448"/>
      <c r="C13" s="451"/>
      <c r="D13" s="406"/>
      <c r="E13" s="870" t="str">
        <f>IF(TITLE_DIFFERENTIATION_TYPE="нет","","Добавить систему")</f>
        <v/>
      </c>
      <c r="F13" s="870" t="str">
        <f>IF(TITLE_DIFFERENTIATION_TYPE="нет","Добавить вид деятельности","")</f>
        <v>Добавить вид деятельности</v>
      </c>
      <c r="G13" s="314"/>
      <c r="H13" s="407"/>
      <c r="I13" s="407"/>
      <c r="J13" s="407"/>
      <c r="K13" s="407"/>
      <c r="L13" s="407"/>
      <c r="M13" s="407"/>
      <c r="N13" s="407"/>
      <c r="O13" s="407"/>
      <c r="P13" s="407"/>
      <c r="Q13" s="407"/>
      <c r="R13" s="407"/>
      <c r="S13" s="407"/>
      <c r="T13" s="407"/>
      <c r="U13" s="407"/>
      <c r="V13" s="407"/>
      <c r="W13" s="407"/>
      <c r="X13" s="407"/>
      <c r="Y13" s="407"/>
      <c r="Z13" s="407"/>
      <c r="AA13" s="407"/>
      <c r="AB13" s="407"/>
      <c r="AC13" s="407"/>
      <c r="AD13" s="858"/>
      <c r="AE13" s="2223"/>
      <c r="AF13" s="2223"/>
      <c r="AG13" s="2223"/>
      <c r="AH13" s="2223"/>
      <c r="AI13" s="448"/>
      <c r="AT13" s="448">
        <v>17</v>
      </c>
    </row>
    <row customHeight="1" ht="14.699999999999998">
      <c r="AI14" s="448"/>
      <c r="AT14" s="448">
        <v>14</v>
      </c>
    </row>
    <row customHeight="1" ht="14.699999999999998">
      <c r="E15" s="759"/>
      <c r="L15" s="759"/>
      <c r="AT15" s="448">
        <v>14</v>
      </c>
    </row>
    <row customHeight="1" ht="14.699999999999998">
      <c r="L16" s="759"/>
      <c r="AT16" s="448">
        <v>14</v>
      </c>
    </row>
    <row customHeight="1" ht="14.699999999999998">
      <c r="L17" s="759"/>
      <c r="AT17" s="448">
        <v>14</v>
      </c>
    </row>
    <row customHeight="1" ht="22.5" hidden="1">
      <c r="A18" s="450" t="s">
        <v>86</v>
      </c>
      <c r="B18" s="448">
        <v>0</v>
      </c>
      <c r="C18" s="452">
        <v>3</v>
      </c>
      <c r="D18" s="448">
        <v>5</v>
      </c>
      <c r="E18" s="448">
        <v>48</v>
      </c>
      <c r="F18" s="448">
        <v>38</v>
      </c>
      <c r="G18" s="759">
        <v>0</v>
      </c>
      <c r="H18" s="448">
        <v>0</v>
      </c>
      <c r="I18" s="448">
        <v>0</v>
      </c>
      <c r="J18" s="448">
        <v>0</v>
      </c>
      <c r="K18" s="448">
        <v>0</v>
      </c>
      <c r="L18" s="448">
        <v>0</v>
      </c>
      <c r="M18" s="448">
        <v>0</v>
      </c>
      <c r="N18" s="448">
        <v>0</v>
      </c>
      <c r="O18" s="448">
        <v>0</v>
      </c>
      <c r="P18" s="448">
        <v>0</v>
      </c>
      <c r="Q18" s="448">
        <v>0</v>
      </c>
      <c r="R18" s="448">
        <v>0</v>
      </c>
      <c r="S18" s="759">
        <v>0</v>
      </c>
      <c r="T18" s="506">
        <v>0</v>
      </c>
      <c r="U18" s="506">
        <v>0</v>
      </c>
      <c r="V18" s="506">
        <v>0</v>
      </c>
      <c r="W18" s="759">
        <v>0</v>
      </c>
      <c r="X18" s="506">
        <v>0</v>
      </c>
      <c r="Y18" s="506">
        <v>0</v>
      </c>
      <c r="Z18" s="506">
        <v>0</v>
      </c>
      <c r="AA18" s="759">
        <v>0</v>
      </c>
      <c r="AB18" s="506">
        <v>0</v>
      </c>
      <c r="AC18" s="506">
        <v>0</v>
      </c>
      <c r="AD18" s="759">
        <v>0</v>
      </c>
      <c r="AE18" s="448">
        <v>0</v>
      </c>
      <c r="AF18" s="506">
        <v>0</v>
      </c>
      <c r="AG18" s="506">
        <v>0</v>
      </c>
      <c r="AH18" s="506">
        <v>0</v>
      </c>
      <c r="AI18" s="453">
        <v>3</v>
      </c>
      <c r="AJ18" s="490">
        <v>10</v>
      </c>
      <c r="AK18" s="490">
        <v>10</v>
      </c>
      <c r="AL18" s="490">
        <v>10</v>
      </c>
      <c r="AM18" s="490">
        <v>0</v>
      </c>
      <c r="AN18" s="490">
        <v>15</v>
      </c>
      <c r="AO18" s="490">
        <v>16</v>
      </c>
      <c r="AP18" s="490">
        <v>10</v>
      </c>
      <c r="AQ18" s="490">
        <v>10</v>
      </c>
      <c r="AR18" s="490">
        <v>10</v>
      </c>
      <c r="AS18" s="490">
        <v>10</v>
      </c>
      <c r="AT18" s="448">
        <v>23</v>
      </c>
    </row>
  </sheetData>
  <sheetProtection formatColumns="0" formatRows="0" autoFilter="0" sort="0" insertRows="0" insertColumns="1" deleteRows="0" deleteColumns="0"/>
  <mergeCells count="32">
    <mergeCell ref="J8:M8"/>
    <mergeCell ref="N8:O8"/>
    <mergeCell ref="AB8:AB9"/>
    <mergeCell ref="AC8:AC9"/>
    <mergeCell ref="T8:T9"/>
    <mergeCell ref="U8:U9"/>
    <mergeCell ref="V8:V9"/>
    <mergeCell ref="P8:Q8"/>
    <mergeCell ref="R8:R9"/>
    <mergeCell ref="X8:X9"/>
    <mergeCell ref="Y8:Y9"/>
    <mergeCell ref="Z8:Z9"/>
    <mergeCell ref="D8:D9"/>
    <mergeCell ref="E8:E9"/>
    <mergeCell ref="F8:F9"/>
    <mergeCell ref="H8:H9"/>
    <mergeCell ref="I8:I9"/>
    <mergeCell ref="AE12:AE13"/>
    <mergeCell ref="AG7:AG9"/>
    <mergeCell ref="AG12:AG13"/>
    <mergeCell ref="AH7:AH9"/>
    <mergeCell ref="AH12:AH13"/>
    <mergeCell ref="AF12:AF13"/>
    <mergeCell ref="AF7:AF9"/>
    <mergeCell ref="AE7:AE9"/>
    <mergeCell ref="D5:R5"/>
    <mergeCell ref="H1:R1"/>
    <mergeCell ref="D7:AD7"/>
    <mergeCell ref="X1:Z1"/>
    <mergeCell ref="T1:V1"/>
    <mergeCell ref="AB1:AC1"/>
    <mergeCell ref="D4:R4"/>
  </mergeCells>
  <dataValidations count="6">
    <dataValidation type="list" allowBlank="1" showInputMessage="1" showErrorMessage="1" errorTitle="Ошибка" error="Выберите значение из списка" prompt="Выберите значение из списка" sqref="L12">
      <formula1>kind_of_power_te_unit</formula1>
    </dataValidation>
    <dataValidation type="whole" allowBlank="1" showErrorMessage="1" errorTitle="Ошибка" error="Допускается ввод только неотрицательных целых чисел!" sqref="N12 P12 U12:V12 Y12:Z12 J12 R12:S12 AC12">
      <formula1>0</formula1>
      <formula2>9.99999999999999E+23</formula2>
    </dataValidation>
    <dataValidation allowBlank="1" showInputMessage="1" showErrorMessage="1" prompt="Выберите один или несколько одновременно видов деятельности, выполнив последовательно по одному щелчку на строке с видом деятельности" sqref="F12"/>
    <dataValidation type="textLength" operator="lessThanOrEqual" allowBlank="1" showInputMessage="1" showErrorMessage="1" errorTitle="Ошибка" error="Допускается ввод не более 900 символов!" sqref="E12">
      <formula1>900</formula1>
    </dataValidation>
    <dataValidation type="decimal" allowBlank="1" showErrorMessage="1" errorTitle="Ошибка" error="Допускается ввод только неотрицательных чисел!" sqref="H11:AD11 T12 H12:I12 AB12 X12 K12 M12 O12 Q12">
      <formula1>0</formula1>
      <formula2>9.99999999999999E+23</formula2>
    </dataValidation>
    <dataValidation allowBlank="1" showErrorMessage="1" errorTitle="Ошибка" error="Допускается ввод только неотрицательных чисел!" sqref="E11:G11"/>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8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92A141B-9EA8-91D1-7E38-0BCA26790C7D}" mc:Ignorable="x14ac xr xr2 xr3">
  <sheetPr>
    <tabColor rgb="FFFFCC99"/>
  </sheetPr>
  <dimension ref="A1:B4"/>
  <sheetViews>
    <sheetView topLeftCell="A1" showGridLines="0" workbookViewId="0">
      <selection activeCell="A1" sqref="A1"/>
    </sheetView>
  </sheetViews>
  <sheetFormatPr defaultColWidth="9.140625" customHeight="1" defaultRowHeight="11.25"/>
  <cols>
    <col min="1" max="2" style="184" width="9.140625"/>
  </cols>
  <sheetData>
    <row customHeight="1" ht="11.25">
      <c r="A1" s="184" t="s">
        <v>143</v>
      </c>
      <c r="B1" s="184" t="s">
        <v>2957</v>
      </c>
    </row>
    <row customHeight="1" ht="11.25">
      <c r="A2" s="184" t="s">
        <v>102</v>
      </c>
      <c r="B2" s="184" t="s">
        <v>2958</v>
      </c>
    </row>
    <row customHeight="1" ht="11.25">
      <c r="A3" s="184" t="s">
        <v>109</v>
      </c>
      <c r="B3" s="184" t="s">
        <v>2959</v>
      </c>
    </row>
    <row customHeight="1" ht="11.25">
      <c r="A4" s="184" t="s">
        <v>113</v>
      </c>
      <c r="B4" s="184" t="s">
        <v>2960</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B4AFDA4-74F6-6D06-BCCD-7E8DC4FA5DF8}" mc:Ignorable="x14ac xr xr2 xr3">
  <sheetPr>
    <tabColor rgb="FFFFCC99"/>
  </sheetPr>
  <dimension ref="A1:B11"/>
  <sheetViews>
    <sheetView topLeftCell="A1" showGridLines="0" workbookViewId="0">
      <selection activeCell="A1" sqref="A1"/>
    </sheetView>
  </sheetViews>
  <sheetFormatPr defaultColWidth="9.140625" customHeight="1" defaultRowHeight="11.25"/>
  <cols>
    <col min="1" max="1" style="1692" width="9.140625"/>
    <col min="2" max="2" style="1692" width="65.28125" customWidth="1"/>
  </cols>
  <sheetData>
    <row customHeight="1" ht="11.25">
      <c r="A1" s="836" t="s">
        <v>2961</v>
      </c>
      <c r="B1" s="836" t="s">
        <v>2962</v>
      </c>
    </row>
    <row customHeight="1" ht="11.25">
      <c r="A2" s="836">
        <v>4213775</v>
      </c>
      <c r="B2" s="836" t="s">
        <v>1357</v>
      </c>
    </row>
    <row customHeight="1" ht="11.25">
      <c r="A3" s="836">
        <v>4213784</v>
      </c>
      <c r="B3" s="836" t="s">
        <v>1390</v>
      </c>
    </row>
    <row customHeight="1" ht="11.25">
      <c r="A4" s="836">
        <v>4213781</v>
      </c>
      <c r="B4" s="836" t="s">
        <v>1383</v>
      </c>
    </row>
    <row customHeight="1" ht="11.25">
      <c r="A5" s="836">
        <v>4213776</v>
      </c>
      <c r="B5" s="836" t="s">
        <v>251</v>
      </c>
    </row>
    <row customHeight="1" ht="11.25">
      <c r="A6" s="836">
        <v>4213777</v>
      </c>
      <c r="B6" s="836" t="s">
        <v>270</v>
      </c>
    </row>
    <row customHeight="1" ht="11.25">
      <c r="A7" s="836">
        <v>4213778</v>
      </c>
      <c r="B7" s="836" t="s">
        <v>302</v>
      </c>
    </row>
    <row customHeight="1" ht="11.25">
      <c r="A8" s="836">
        <v>4213780</v>
      </c>
      <c r="B8" s="836" t="s">
        <v>308</v>
      </c>
    </row>
    <row customHeight="1" ht="11.25">
      <c r="A9" s="836">
        <v>4213779</v>
      </c>
      <c r="B9" s="836" t="s">
        <v>1523</v>
      </c>
    </row>
    <row customHeight="1" ht="11.25">
      <c r="A10" s="836">
        <v>4213783</v>
      </c>
      <c r="B10" s="836" t="s">
        <v>1537</v>
      </c>
    </row>
    <row customHeight="1" ht="11.25">
      <c r="A11" s="836">
        <v>4213782</v>
      </c>
      <c r="B11" s="836" t="s">
        <v>314</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9367395-9378-661F-A318-9E72EAF22918}" mc:Ignorable="x14ac xr xr2 xr3">
  <sheetPr>
    <tabColor rgb="FFFFCC99"/>
  </sheetPr>
  <dimension ref="A1:B11"/>
  <sheetViews>
    <sheetView topLeftCell="A1" showGridLines="0" workbookViewId="0">
      <selection activeCell="A1" sqref="A1"/>
    </sheetView>
  </sheetViews>
  <sheetFormatPr defaultColWidth="9.140625" customHeight="1" defaultRowHeight="11.25"/>
  <cols>
    <col min="1" max="1" style="1692" width="9.140625"/>
    <col min="2" max="2" style="1692" width="65.28125" customWidth="1"/>
  </cols>
  <sheetData>
    <row customHeight="1" ht="11.25">
      <c r="A1" s="836" t="s">
        <v>2961</v>
      </c>
      <c r="B1" s="836" t="s">
        <v>2963</v>
      </c>
    </row>
    <row customHeight="1" ht="11.25">
      <c r="A2" s="836" t="s">
        <v>2964</v>
      </c>
      <c r="B2" s="836" t="s">
        <v>1635</v>
      </c>
    </row>
    <row customHeight="1" ht="11.25">
      <c r="A3" s="836" t="s">
        <v>2965</v>
      </c>
      <c r="B3" s="836" t="s">
        <v>1645</v>
      </c>
    </row>
    <row customHeight="1" ht="11.25">
      <c r="A4" s="836" t="s">
        <v>2966</v>
      </c>
      <c r="B4" s="836" t="s">
        <v>1654</v>
      </c>
    </row>
    <row customHeight="1" ht="11.25">
      <c r="A5" s="836" t="s">
        <v>2967</v>
      </c>
      <c r="B5" s="836" t="s">
        <v>1663</v>
      </c>
    </row>
    <row customHeight="1" ht="11.25">
      <c r="A6" s="836" t="s">
        <v>2968</v>
      </c>
      <c r="B6" s="836" t="s">
        <v>1669</v>
      </c>
    </row>
    <row customHeight="1" ht="11.25">
      <c r="A7" s="836" t="s">
        <v>2969</v>
      </c>
      <c r="B7" s="836" t="s">
        <v>1677</v>
      </c>
    </row>
    <row customHeight="1" ht="11.25">
      <c r="A8" s="836" t="s">
        <v>2970</v>
      </c>
      <c r="B8" s="836" t="s">
        <v>1684</v>
      </c>
    </row>
    <row customHeight="1" ht="11.25">
      <c r="A9" s="836" t="s">
        <v>2971</v>
      </c>
      <c r="B9" s="836" t="s">
        <v>1690</v>
      </c>
    </row>
    <row customHeight="1" ht="11.25">
      <c r="A10" s="836" t="s">
        <v>2972</v>
      </c>
      <c r="B10" s="836" t="s">
        <v>1694</v>
      </c>
    </row>
    <row customHeight="1" ht="11.25">
      <c r="A11" s="836" t="s">
        <v>2973</v>
      </c>
      <c r="B11" s="836" t="s">
        <v>1701</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43C86F6-61B8-CA88-A518-A1EA21A1A138}" mc:Ignorable="x14ac xr xr2 xr3">
  <sheetPr>
    <tabColor rgb="FFFFCC99"/>
  </sheetPr>
  <dimension ref="A1:G35"/>
  <sheetViews>
    <sheetView topLeftCell="A1" showGridLines="0" workbookViewId="0">
      <selection activeCell="A1" sqref="A1"/>
    </sheetView>
  </sheetViews>
  <sheetFormatPr customHeight="1" defaultRowHeight="11.25"/>
  <sheetData>
    <row customHeight="1" ht="11.25">
      <c r="A1" s="374" t="s">
        <v>2780</v>
      </c>
      <c r="B1" s="374" t="s">
        <v>2781</v>
      </c>
      <c r="C1" s="374" t="s">
        <v>2782</v>
      </c>
      <c r="D1" s="374" t="s">
        <v>2783</v>
      </c>
      <c r="E1" s="0" t="s">
        <v>2784</v>
      </c>
      <c r="F1" s="0" t="s">
        <v>2785</v>
      </c>
      <c r="G1" s="0" t="s">
        <v>2786</v>
      </c>
    </row>
    <row customHeight="1" ht="11.25">
      <c r="A2" s="0" t="s">
        <v>16</v>
      </c>
      <c r="B2" s="0" t="s">
        <v>2787</v>
      </c>
      <c r="C2" s="0" t="s">
        <v>2788</v>
      </c>
      <c r="D2" s="0" t="s">
        <v>2787</v>
      </c>
      <c r="E2" s="0" t="s">
        <v>2788</v>
      </c>
      <c r="F2" s="0" t="s">
        <v>2789</v>
      </c>
      <c r="G2" s="0" t="s">
        <v>123</v>
      </c>
    </row>
    <row customHeight="1" ht="11.25">
      <c r="A3" s="0" t="s">
        <v>16</v>
      </c>
      <c r="B3" s="0" t="s">
        <v>2790</v>
      </c>
      <c r="C3" s="0" t="s">
        <v>2791</v>
      </c>
      <c r="D3" s="0" t="s">
        <v>2790</v>
      </c>
      <c r="E3" s="0" t="s">
        <v>2791</v>
      </c>
      <c r="F3" s="0" t="s">
        <v>2789</v>
      </c>
      <c r="G3" s="0" t="s">
        <v>107</v>
      </c>
    </row>
    <row customHeight="1" ht="11.25">
      <c r="A4" s="0" t="s">
        <v>16</v>
      </c>
      <c r="B4" s="0" t="s">
        <v>2792</v>
      </c>
      <c r="C4" s="0" t="s">
        <v>2793</v>
      </c>
      <c r="D4" s="0" t="s">
        <v>2792</v>
      </c>
      <c r="E4" s="0" t="s">
        <v>2793</v>
      </c>
      <c r="F4" s="0" t="s">
        <v>2789</v>
      </c>
      <c r="G4" s="0" t="s">
        <v>94</v>
      </c>
    </row>
    <row customHeight="1" ht="11.25">
      <c r="A5" s="0" t="s">
        <v>16</v>
      </c>
      <c r="B5" s="0" t="s">
        <v>2794</v>
      </c>
      <c r="C5" s="0" t="s">
        <v>2795</v>
      </c>
      <c r="D5" s="0" t="s">
        <v>2794</v>
      </c>
      <c r="E5" s="0" t="s">
        <v>2795</v>
      </c>
      <c r="F5" s="0" t="s">
        <v>2789</v>
      </c>
      <c r="G5" s="0" t="s">
        <v>95</v>
      </c>
    </row>
    <row customHeight="1" ht="11.25">
      <c r="A6" s="0" t="s">
        <v>16</v>
      </c>
      <c r="B6" s="0" t="s">
        <v>2796</v>
      </c>
      <c r="C6" s="0" t="s">
        <v>2797</v>
      </c>
      <c r="D6" s="0" t="s">
        <v>2796</v>
      </c>
      <c r="E6" s="0" t="s">
        <v>2797</v>
      </c>
      <c r="F6" s="0" t="s">
        <v>2789</v>
      </c>
      <c r="G6" s="0" t="s">
        <v>124</v>
      </c>
    </row>
    <row customHeight="1" ht="11.25">
      <c r="A7" s="0" t="s">
        <v>16</v>
      </c>
      <c r="B7" s="0" t="s">
        <v>2798</v>
      </c>
      <c r="C7" s="0" t="s">
        <v>2799</v>
      </c>
      <c r="D7" s="0" t="s">
        <v>2800</v>
      </c>
      <c r="E7" s="0" t="s">
        <v>2801</v>
      </c>
      <c r="F7" s="0" t="s">
        <v>2802</v>
      </c>
      <c r="G7" s="0" t="s">
        <v>96</v>
      </c>
    </row>
    <row customHeight="1" ht="11.25">
      <c r="A8" s="0" t="s">
        <v>16</v>
      </c>
      <c r="B8" s="0" t="s">
        <v>2798</v>
      </c>
      <c r="C8" s="0" t="s">
        <v>2799</v>
      </c>
      <c r="D8" s="0" t="s">
        <v>2803</v>
      </c>
      <c r="E8" s="0" t="s">
        <v>2804</v>
      </c>
      <c r="F8" s="0" t="s">
        <v>2805</v>
      </c>
      <c r="G8" s="0" t="s">
        <v>97</v>
      </c>
    </row>
    <row customHeight="1" ht="11.25">
      <c r="A9" s="0" t="s">
        <v>16</v>
      </c>
      <c r="B9" s="0" t="s">
        <v>2798</v>
      </c>
      <c r="C9" s="0" t="s">
        <v>2799</v>
      </c>
      <c r="D9" s="0" t="s">
        <v>2806</v>
      </c>
      <c r="E9" s="0" t="s">
        <v>2807</v>
      </c>
      <c r="F9" s="0" t="s">
        <v>2802</v>
      </c>
      <c r="G9" s="0" t="s">
        <v>125</v>
      </c>
    </row>
    <row customHeight="1" ht="11.25">
      <c r="A10" s="0" t="s">
        <v>16</v>
      </c>
      <c r="B10" s="0" t="s">
        <v>2798</v>
      </c>
      <c r="C10" s="0" t="s">
        <v>2799</v>
      </c>
      <c r="D10" s="0" t="s">
        <v>2798</v>
      </c>
      <c r="E10" s="0" t="s">
        <v>2799</v>
      </c>
      <c r="F10" s="0" t="s">
        <v>2808</v>
      </c>
      <c r="G10" s="0" t="s">
        <v>161</v>
      </c>
    </row>
    <row customHeight="1" ht="11.25">
      <c r="A11" s="0" t="s">
        <v>16</v>
      </c>
      <c r="B11" s="0" t="s">
        <v>2798</v>
      </c>
      <c r="C11" s="0" t="s">
        <v>2799</v>
      </c>
      <c r="D11" s="0" t="s">
        <v>2809</v>
      </c>
      <c r="E11" s="0" t="s">
        <v>2810</v>
      </c>
      <c r="F11" s="0" t="s">
        <v>2811</v>
      </c>
      <c r="G11" s="0" t="s">
        <v>162</v>
      </c>
    </row>
    <row customHeight="1" ht="11.25">
      <c r="A12" s="0" t="s">
        <v>16</v>
      </c>
      <c r="B12" s="0" t="s">
        <v>2812</v>
      </c>
      <c r="C12" s="0" t="s">
        <v>2813</v>
      </c>
      <c r="D12" s="0" t="s">
        <v>2812</v>
      </c>
      <c r="E12" s="0" t="s">
        <v>2813</v>
      </c>
      <c r="F12" s="0" t="s">
        <v>2814</v>
      </c>
      <c r="G12" s="0" t="s">
        <v>163</v>
      </c>
    </row>
    <row customHeight="1" ht="11.25">
      <c r="A13" s="0" t="s">
        <v>16</v>
      </c>
      <c r="B13" s="0" t="s">
        <v>2815</v>
      </c>
      <c r="C13" s="0" t="s">
        <v>2816</v>
      </c>
      <c r="D13" s="0" t="s">
        <v>2815</v>
      </c>
      <c r="E13" s="0" t="s">
        <v>2816</v>
      </c>
      <c r="F13" s="0" t="s">
        <v>2808</v>
      </c>
      <c r="G13" s="0" t="s">
        <v>164</v>
      </c>
    </row>
    <row customHeight="1" ht="11.25">
      <c r="A14" s="0" t="s">
        <v>16</v>
      </c>
      <c r="B14" s="0" t="s">
        <v>2815</v>
      </c>
      <c r="C14" s="0" t="s">
        <v>2816</v>
      </c>
      <c r="D14" s="0" t="s">
        <v>2817</v>
      </c>
      <c r="E14" s="0" t="s">
        <v>2818</v>
      </c>
      <c r="F14" s="0" t="s">
        <v>2802</v>
      </c>
      <c r="G14" s="0" t="s">
        <v>165</v>
      </c>
    </row>
    <row customHeight="1" ht="11.25">
      <c r="A15" s="0" t="s">
        <v>16</v>
      </c>
      <c r="B15" s="0" t="s">
        <v>2815</v>
      </c>
      <c r="C15" s="0" t="s">
        <v>2816</v>
      </c>
      <c r="D15" s="0" t="s">
        <v>2819</v>
      </c>
      <c r="E15" s="0" t="s">
        <v>2820</v>
      </c>
      <c r="F15" s="0" t="s">
        <v>2811</v>
      </c>
      <c r="G15" s="0" t="s">
        <v>166</v>
      </c>
    </row>
    <row customHeight="1" ht="11.25">
      <c r="A16" s="0" t="s">
        <v>16</v>
      </c>
      <c r="B16" s="0" t="s">
        <v>2815</v>
      </c>
      <c r="C16" s="0" t="s">
        <v>2816</v>
      </c>
      <c r="D16" s="0" t="s">
        <v>2821</v>
      </c>
      <c r="E16" s="0" t="s">
        <v>2822</v>
      </c>
      <c r="F16" s="0" t="s">
        <v>2811</v>
      </c>
      <c r="G16" s="0" t="s">
        <v>1597</v>
      </c>
    </row>
    <row customHeight="1" ht="11.25">
      <c r="A17" s="0" t="s">
        <v>16</v>
      </c>
      <c r="B17" s="0" t="s">
        <v>2815</v>
      </c>
      <c r="C17" s="0" t="s">
        <v>2816</v>
      </c>
      <c r="D17" s="0" t="s">
        <v>2823</v>
      </c>
      <c r="E17" s="0" t="s">
        <v>2824</v>
      </c>
      <c r="F17" s="0" t="s">
        <v>2811</v>
      </c>
      <c r="G17" s="0" t="s">
        <v>1603</v>
      </c>
    </row>
    <row customHeight="1" ht="11.25">
      <c r="A18" s="0" t="s">
        <v>16</v>
      </c>
      <c r="B18" s="0" t="s">
        <v>2815</v>
      </c>
      <c r="C18" s="0" t="s">
        <v>2816</v>
      </c>
      <c r="D18" s="0" t="s">
        <v>2825</v>
      </c>
      <c r="E18" s="0" t="s">
        <v>2826</v>
      </c>
      <c r="F18" s="0" t="s">
        <v>2811</v>
      </c>
      <c r="G18" s="0" t="s">
        <v>1615</v>
      </c>
    </row>
    <row customHeight="1" ht="11.25">
      <c r="A19" s="0" t="s">
        <v>16</v>
      </c>
      <c r="B19" s="0" t="s">
        <v>2815</v>
      </c>
      <c r="C19" s="0" t="s">
        <v>2816</v>
      </c>
      <c r="D19" s="0" t="s">
        <v>2827</v>
      </c>
      <c r="E19" s="0" t="s">
        <v>2828</v>
      </c>
      <c r="F19" s="0" t="s">
        <v>2802</v>
      </c>
      <c r="G19" s="0" t="s">
        <v>1629</v>
      </c>
    </row>
    <row customHeight="1" ht="11.25">
      <c r="A20" s="0" t="s">
        <v>16</v>
      </c>
      <c r="B20" s="0" t="s">
        <v>2815</v>
      </c>
      <c r="C20" s="0" t="s">
        <v>2816</v>
      </c>
      <c r="D20" s="0" t="s">
        <v>2829</v>
      </c>
      <c r="E20" s="0" t="s">
        <v>2830</v>
      </c>
      <c r="F20" s="0" t="s">
        <v>2802</v>
      </c>
      <c r="G20" s="0" t="s">
        <v>1641</v>
      </c>
    </row>
    <row customHeight="1" ht="11.25">
      <c r="A21" s="0" t="s">
        <v>16</v>
      </c>
      <c r="B21" s="0" t="s">
        <v>2815</v>
      </c>
      <c r="C21" s="0" t="s">
        <v>2816</v>
      </c>
      <c r="D21" s="0" t="s">
        <v>2831</v>
      </c>
      <c r="E21" s="0" t="s">
        <v>2832</v>
      </c>
      <c r="F21" s="0" t="s">
        <v>2802</v>
      </c>
      <c r="G21" s="0" t="s">
        <v>1650</v>
      </c>
    </row>
    <row customHeight="1" ht="11.25">
      <c r="A22" s="0" t="s">
        <v>16</v>
      </c>
      <c r="B22" s="0" t="s">
        <v>2815</v>
      </c>
      <c r="C22" s="0" t="s">
        <v>2816</v>
      </c>
      <c r="D22" s="0" t="s">
        <v>2833</v>
      </c>
      <c r="E22" s="0" t="s">
        <v>2834</v>
      </c>
      <c r="F22" s="0" t="s">
        <v>2805</v>
      </c>
      <c r="G22" s="0" t="s">
        <v>1666</v>
      </c>
    </row>
    <row customHeight="1" ht="11.25">
      <c r="A23" s="0" t="s">
        <v>16</v>
      </c>
      <c r="B23" s="0" t="s">
        <v>2815</v>
      </c>
      <c r="C23" s="0" t="s">
        <v>2816</v>
      </c>
      <c r="D23" s="0" t="s">
        <v>2835</v>
      </c>
      <c r="E23" s="0" t="s">
        <v>2836</v>
      </c>
      <c r="F23" s="0" t="s">
        <v>2811</v>
      </c>
      <c r="G23" s="0" t="s">
        <v>1673</v>
      </c>
    </row>
    <row customHeight="1" ht="11.25">
      <c r="A24" s="0" t="s">
        <v>16</v>
      </c>
      <c r="B24" s="0" t="s">
        <v>2815</v>
      </c>
      <c r="C24" s="0" t="s">
        <v>2816</v>
      </c>
      <c r="D24" s="0" t="s">
        <v>2837</v>
      </c>
      <c r="E24" s="0" t="s">
        <v>2838</v>
      </c>
      <c r="F24" s="0" t="s">
        <v>2802</v>
      </c>
      <c r="G24" s="0" t="s">
        <v>1681</v>
      </c>
    </row>
    <row customHeight="1" ht="11.25">
      <c r="A25" s="0" t="s">
        <v>16</v>
      </c>
      <c r="B25" s="0" t="s">
        <v>2839</v>
      </c>
      <c r="C25" s="0" t="s">
        <v>2840</v>
      </c>
      <c r="D25" s="0" t="s">
        <v>2839</v>
      </c>
      <c r="E25" s="0" t="s">
        <v>2840</v>
      </c>
      <c r="F25" s="0" t="s">
        <v>2808</v>
      </c>
      <c r="G25" s="0" t="s">
        <v>1688</v>
      </c>
    </row>
    <row customHeight="1" ht="11.25">
      <c r="A26" s="0" t="s">
        <v>16</v>
      </c>
      <c r="B26" s="0" t="s">
        <v>2839</v>
      </c>
      <c r="C26" s="0" t="s">
        <v>2840</v>
      </c>
      <c r="D26" s="0" t="s">
        <v>2841</v>
      </c>
      <c r="E26" s="0" t="s">
        <v>2842</v>
      </c>
      <c r="F26" s="0" t="s">
        <v>2811</v>
      </c>
      <c r="G26" s="0" t="s">
        <v>1692</v>
      </c>
    </row>
    <row customHeight="1" ht="11.25">
      <c r="A27" s="0" t="s">
        <v>16</v>
      </c>
      <c r="B27" s="0" t="s">
        <v>2839</v>
      </c>
      <c r="C27" s="0" t="s">
        <v>2840</v>
      </c>
      <c r="D27" s="0" t="s">
        <v>2843</v>
      </c>
      <c r="E27" s="0" t="s">
        <v>2844</v>
      </c>
      <c r="F27" s="0" t="s">
        <v>2802</v>
      </c>
      <c r="G27" s="0" t="s">
        <v>1697</v>
      </c>
    </row>
    <row customHeight="1" ht="11.25">
      <c r="A28" s="0" t="s">
        <v>16</v>
      </c>
      <c r="B28" s="0" t="s">
        <v>115</v>
      </c>
      <c r="C28" s="0" t="s">
        <v>116</v>
      </c>
      <c r="D28" s="0" t="s">
        <v>115</v>
      </c>
      <c r="E28" s="0" t="s">
        <v>116</v>
      </c>
      <c r="F28" s="0" t="s">
        <v>2814</v>
      </c>
      <c r="G28" s="0" t="s">
        <v>114</v>
      </c>
    </row>
    <row customHeight="1" ht="11.25">
      <c r="A29" s="0" t="s">
        <v>16</v>
      </c>
      <c r="B29" s="0" t="s">
        <v>2845</v>
      </c>
      <c r="C29" s="0" t="s">
        <v>2846</v>
      </c>
      <c r="D29" s="0" t="s">
        <v>2847</v>
      </c>
      <c r="E29" s="0" t="s">
        <v>2848</v>
      </c>
      <c r="F29" s="0" t="s">
        <v>2802</v>
      </c>
      <c r="G29" s="0" t="s">
        <v>1706</v>
      </c>
    </row>
    <row customHeight="1" ht="11.25">
      <c r="A30" s="0" t="s">
        <v>16</v>
      </c>
      <c r="B30" s="0" t="s">
        <v>2845</v>
      </c>
      <c r="C30" s="0" t="s">
        <v>2846</v>
      </c>
      <c r="D30" s="0" t="s">
        <v>2849</v>
      </c>
      <c r="E30" s="0" t="s">
        <v>2850</v>
      </c>
      <c r="F30" s="0" t="s">
        <v>2811</v>
      </c>
      <c r="G30" s="0" t="s">
        <v>1709</v>
      </c>
    </row>
    <row customHeight="1" ht="11.25">
      <c r="A31" s="0" t="s">
        <v>16</v>
      </c>
      <c r="B31" s="0" t="s">
        <v>2845</v>
      </c>
      <c r="C31" s="0" t="s">
        <v>2846</v>
      </c>
      <c r="D31" s="0" t="s">
        <v>2845</v>
      </c>
      <c r="E31" s="0" t="s">
        <v>2846</v>
      </c>
      <c r="F31" s="0" t="s">
        <v>2808</v>
      </c>
      <c r="G31" s="0" t="s">
        <v>1714</v>
      </c>
    </row>
    <row customHeight="1" ht="11.25">
      <c r="A32" s="0" t="s">
        <v>16</v>
      </c>
      <c r="B32" s="0" t="s">
        <v>2851</v>
      </c>
      <c r="C32" s="0" t="s">
        <v>2852</v>
      </c>
      <c r="D32" s="0" t="s">
        <v>2851</v>
      </c>
      <c r="E32" s="0" t="s">
        <v>2852</v>
      </c>
      <c r="F32" s="0" t="s">
        <v>2814</v>
      </c>
      <c r="G32" s="0" t="s">
        <v>1718</v>
      </c>
    </row>
    <row customHeight="1" ht="11.25">
      <c r="A33" s="0" t="s">
        <v>16</v>
      </c>
      <c r="B33" s="0" t="s">
        <v>2853</v>
      </c>
      <c r="C33" s="0" t="s">
        <v>2854</v>
      </c>
      <c r="D33" s="0" t="s">
        <v>2853</v>
      </c>
      <c r="E33" s="0" t="s">
        <v>2854</v>
      </c>
      <c r="F33" s="0" t="s">
        <v>2814</v>
      </c>
      <c r="G33" s="0" t="s">
        <v>1723</v>
      </c>
    </row>
    <row customHeight="1" ht="11.25">
      <c r="A34" s="0" t="s">
        <v>16</v>
      </c>
      <c r="B34" s="0" t="s">
        <v>2855</v>
      </c>
      <c r="C34" s="0" t="s">
        <v>2856</v>
      </c>
      <c r="D34" s="0" t="s">
        <v>2855</v>
      </c>
      <c r="E34" s="0" t="s">
        <v>2856</v>
      </c>
      <c r="F34" s="0" t="s">
        <v>2814</v>
      </c>
      <c r="G34" s="0" t="s">
        <v>1728</v>
      </c>
    </row>
    <row customHeight="1" ht="11.25">
      <c r="A35" s="0" t="s">
        <v>16</v>
      </c>
      <c r="B35" s="0" t="s">
        <v>2857</v>
      </c>
      <c r="C35" s="0" t="s">
        <v>2858</v>
      </c>
      <c r="D35" s="0" t="s">
        <v>2857</v>
      </c>
      <c r="E35" s="0" t="s">
        <v>2858</v>
      </c>
      <c r="F35" s="0" t="s">
        <v>2789</v>
      </c>
      <c r="G35" s="0" t="s">
        <v>1732</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5CEC29E-C815-CC98-D487-8B63CEF9264A}" mc:Ignorable="x14ac xr xr2 xr3">
  <sheetPr>
    <tabColor rgb="FFFFCC99"/>
  </sheetPr>
  <dimension ref="A1:C3"/>
  <sheetViews>
    <sheetView topLeftCell="A1" showGridLines="0" workbookViewId="0">
      <selection activeCell="A1" sqref="A1"/>
    </sheetView>
  </sheetViews>
  <sheetFormatPr defaultColWidth="9.140625" customHeight="1" defaultRowHeight="11.25"/>
  <cols>
    <col min="1" max="1" style="1692" width="9.140625"/>
    <col min="2" max="2" style="1692" width="84.28125" customWidth="1"/>
    <col min="3" max="3" style="1692" width="9.140625"/>
  </cols>
  <sheetData>
    <row customHeight="1" ht="11.25">
      <c r="A1" s="836" t="s">
        <v>2974</v>
      </c>
      <c r="B1" s="836" t="s">
        <v>2975</v>
      </c>
      <c r="C1" s="836" t="s">
        <v>1303</v>
      </c>
    </row>
    <row customHeight="1" ht="11.25">
      <c r="A2" s="836">
        <v>4189678</v>
      </c>
      <c r="B2" s="836" t="s">
        <v>2976</v>
      </c>
      <c r="C2" s="836" t="s">
        <v>2977</v>
      </c>
    </row>
    <row customHeight="1" ht="11.25">
      <c r="A3" s="836">
        <v>4190415</v>
      </c>
      <c r="B3" s="836" t="s">
        <v>2978</v>
      </c>
      <c r="C3" s="836" t="s">
        <v>2977</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54EAE1A-DA38-FAB8-8658-3179A8198762}" mc:Ignorable="x14ac xr xr2 xr3">
  <sheetPr>
    <tabColor rgb="FFFFCC99"/>
  </sheetPr>
  <dimension ref="A1:E8"/>
  <sheetViews>
    <sheetView topLeftCell="A1" showGridLines="0" workbookViewId="0">
      <selection activeCell="A1" sqref="A1"/>
    </sheetView>
  </sheetViews>
  <sheetFormatPr defaultColWidth="9.140625" customHeight="1" defaultRowHeight="15"/>
  <cols>
    <col min="1" max="1" style="163" width="38.421875" customWidth="1"/>
    <col min="2" max="5" style="163" width="9.140625"/>
  </cols>
  <sheetData>
    <row customHeight="1" ht="15">
      <c r="A1" s="164" t="s">
        <v>2979</v>
      </c>
      <c r="B1" s="164" t="s">
        <v>2980</v>
      </c>
      <c r="C1" s="164"/>
      <c r="D1" s="164"/>
      <c r="E1" s="164"/>
    </row>
    <row customHeight="1" ht="15">
      <c r="A2" s="164"/>
      <c r="B2" s="164"/>
      <c r="C2" s="164"/>
      <c r="D2" s="164"/>
      <c r="E2" s="164"/>
    </row>
    <row customHeight="1" ht="15">
      <c r="A3" s="164"/>
      <c r="B3" s="164"/>
      <c r="C3" s="164"/>
      <c r="D3" s="164"/>
      <c r="E3" s="164"/>
    </row>
    <row customHeight="1" ht="15">
      <c r="A4" s="164"/>
      <c r="B4" s="164"/>
      <c r="C4" s="164"/>
      <c r="D4" s="164"/>
      <c r="E4" s="164"/>
    </row>
    <row customHeight="1" ht="15">
      <c r="A5" s="164"/>
      <c r="B5" s="164"/>
      <c r="C5" s="164"/>
      <c r="D5" s="164"/>
      <c r="E5" s="164"/>
    </row>
    <row customHeight="1" ht="15">
      <c r="A6" s="164"/>
      <c r="B6" s="164"/>
      <c r="C6" s="164"/>
      <c r="D6" s="164"/>
      <c r="E6" s="164"/>
    </row>
    <row customHeight="1" ht="15">
      <c r="A7" s="164"/>
      <c r="B7" s="164"/>
      <c r="C7" s="164"/>
      <c r="D7" s="164"/>
      <c r="E7" s="164"/>
    </row>
    <row customHeight="1" ht="15">
      <c r="A8" s="164"/>
      <c r="B8" s="164"/>
      <c r="C8" s="164"/>
      <c r="D8" s="164"/>
      <c r="E8" s="164"/>
    </row>
  </sheetData>
  <sheetProtection formatColumns="0" formatRows="0"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705AE28-7368-6EC8-37C8-DD32BC6CBE71}" mc:Ignorable="x14ac xr xr2 xr3">
  <sheetPr>
    <tabColor rgb="FFFFCC99"/>
  </sheetPr>
  <dimension ref="A1:E25"/>
  <sheetViews>
    <sheetView topLeftCell="A1" workbookViewId="0">
      <selection activeCell="A1" sqref="A1"/>
    </sheetView>
  </sheetViews>
  <sheetFormatPr customHeight="1" defaultRowHeight="11.25"/>
  <sheetData>
    <row customHeight="1" ht="11.25">
      <c r="A1" s="0" t="s">
        <v>2981</v>
      </c>
      <c r="B1" s="0" t="b">
        <v>1</v>
      </c>
    </row>
    <row customHeight="1" ht="11.25">
      <c r="A2" s="0" t="s">
        <v>2982</v>
      </c>
      <c r="B2" s="0" t="b">
        <v>0</v>
      </c>
    </row>
    <row customHeight="1" ht="11.25">
      <c r="A3" s="0" t="s">
        <v>2983</v>
      </c>
      <c r="B3" s="0" t="b">
        <v>1</v>
      </c>
    </row>
    <row customHeight="1" ht="11.25">
      <c r="A4" s="0" t="s">
        <v>2984</v>
      </c>
      <c r="B4" s="0" t="b">
        <v>0</v>
      </c>
    </row>
    <row customHeight="1" ht="11.25">
      <c r="A5" s="0" t="s">
        <v>2985</v>
      </c>
      <c r="B5" s="0" t="b">
        <v>0</v>
      </c>
    </row>
    <row customHeight="1" ht="11.25">
      <c r="A6" s="0" t="s">
        <v>2986</v>
      </c>
      <c r="B6" s="0" t="b">
        <v>0</v>
      </c>
    </row>
    <row customHeight="1" ht="11.25">
      <c r="A7" s="0" t="s">
        <v>2987</v>
      </c>
      <c r="B7" s="0" t="b">
        <v>0</v>
      </c>
    </row>
    <row customHeight="1" ht="11.25">
      <c r="A8" s="0" t="s">
        <v>2988</v>
      </c>
      <c r="B8" s="0" t="b">
        <v>0</v>
      </c>
    </row>
    <row customHeight="1" ht="11.25">
      <c r="A9" s="0" t="s">
        <v>2989</v>
      </c>
      <c r="B9" s="0" t="b">
        <v>1</v>
      </c>
    </row>
    <row customHeight="1" ht="11.25">
      <c r="A10" s="0" t="s">
        <v>2990</v>
      </c>
      <c r="B10" s="0" t="b">
        <v>0</v>
      </c>
    </row>
    <row customHeight="1" ht="11.25">
      <c r="A11" s="0" t="s">
        <v>2991</v>
      </c>
      <c r="B11" s="0" t="b">
        <v>0</v>
      </c>
    </row>
    <row customHeight="1" ht="11.25">
      <c r="A12" s="0" t="s">
        <v>2992</v>
      </c>
      <c r="B12" s="0" t="b">
        <v>0</v>
      </c>
    </row>
    <row customHeight="1" ht="11.25">
      <c r="A13" s="0" t="s">
        <v>2993</v>
      </c>
      <c r="B13" s="0" t="b">
        <v>0</v>
      </c>
    </row>
    <row customHeight="1" ht="11.25">
      <c r="A14" s="0" t="s">
        <v>2994</v>
      </c>
      <c r="B14" s="0" t="b">
        <v>0</v>
      </c>
    </row>
    <row customHeight="1" ht="11.25">
      <c r="A15" s="0" t="s">
        <v>2995</v>
      </c>
      <c r="B15" s="0" t="b">
        <v>1</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37254D3-3F56-783A-BA8D-28897D000BE8}" mc:Ignorable="x14ac xr xr2 xr3">
  <sheetPr>
    <tabColor rgb="FFFFCC99"/>
  </sheetPr>
  <dimension ref="A1:A1"/>
  <sheetViews>
    <sheetView topLeftCell="A1" showGridLines="0" workbookViewId="0">
      <selection activeCell="A1" sqref="A1"/>
    </sheetView>
  </sheetViews>
  <sheetFormatPr defaultColWidth="9.140625" customHeight="1" defaultRowHeight="12.75"/>
  <cols>
    <col min="1" max="1" style="2629" width="9.140625"/>
  </cols>
  <sheetData>
    <row customHeight="1" ht="12.75">
      <c r="A1" s="62"/>
    </row>
  </sheetData>
  <sheetProtection sort="0" autoFilter="0" insertRows="0" insertColumns="1" deleteRows="0" deleteColumns="0"/>
  <pageMargins left="0.75" right="0.75" top="1.00" bottom="1.00" header="0.50" footer="0.50"/>
  <pageSetup pageOrder="downThenOver" orientation="portrait"/>
  <headerFooter>
    <oddHeader>&amp;L&amp;C&amp;R</oddHeader>
    <oddFooter>&amp;L&amp;C&amp;R</oddFooter>
    <evenHeader>&amp;L&amp;C&amp;R</evenHeader>
    <evenFooter>&amp;L&amp;C&amp;R</evenFooter>
  </headerFooter>
</worksheet>
</file>

<file path=xl/worksheets/sheet8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C7A17A6-0868-9FC8-F428-23D990808DCB}" mc:Ignorable="x14ac xr xr2 xr3">
  <sheetPr>
    <tabColor rgb="FFFFCC99"/>
  </sheetPr>
  <dimension ref="A1:B253"/>
  <sheetViews>
    <sheetView topLeftCell="A1" showGridLines="0" workbookViewId="0">
      <selection activeCell="A1" sqref="A1"/>
    </sheetView>
  </sheetViews>
  <sheetFormatPr defaultColWidth="9.140625" customHeight="1" defaultRowHeight="11.25"/>
  <cols>
    <col min="1" max="1" style="1851" width="36.28125" customWidth="1"/>
    <col min="2" max="2" style="1851" width="21.140625" customWidth="1"/>
  </cols>
  <sheetData>
    <row customHeight="1" ht="11.25">
      <c r="A1" s="68" t="s">
        <v>2996</v>
      </c>
      <c r="B1" s="68" t="s">
        <v>2997</v>
      </c>
    </row>
    <row customHeight="1" ht="11.25">
      <c r="A2" s="65" t="s">
        <v>2998</v>
      </c>
      <c r="B2" s="65" t="s">
        <v>2999</v>
      </c>
    </row>
    <row customHeight="1" ht="11.25">
      <c r="A3" s="65" t="s">
        <v>3000</v>
      </c>
      <c r="B3" s="65" t="s">
        <v>3001</v>
      </c>
    </row>
    <row customHeight="1" ht="11.25">
      <c r="A4" s="65" t="s">
        <v>3002</v>
      </c>
      <c r="B4" s="65" t="s">
        <v>3003</v>
      </c>
    </row>
    <row customHeight="1" ht="11.25">
      <c r="A5" s="65" t="s">
        <v>3004</v>
      </c>
      <c r="B5" s="65" t="s">
        <v>3005</v>
      </c>
    </row>
    <row customHeight="1" ht="11.25">
      <c r="A6" s="65" t="s">
        <v>3006</v>
      </c>
      <c r="B6" s="65" t="s">
        <v>3007</v>
      </c>
    </row>
    <row customHeight="1" ht="11.25">
      <c r="A7" s="65" t="s">
        <v>3008</v>
      </c>
      <c r="B7" s="65" t="s">
        <v>3009</v>
      </c>
    </row>
    <row customHeight="1" ht="11.25">
      <c r="A8" s="65" t="s">
        <v>3010</v>
      </c>
      <c r="B8" s="65" t="s">
        <v>3011</v>
      </c>
    </row>
    <row customHeight="1" ht="11.25">
      <c r="A9" s="65" t="s">
        <v>3012</v>
      </c>
      <c r="B9" s="65" t="s">
        <v>3013</v>
      </c>
    </row>
    <row customHeight="1" ht="11.25">
      <c r="A10" s="65" t="s">
        <v>3014</v>
      </c>
      <c r="B10" s="65" t="s">
        <v>3015</v>
      </c>
    </row>
    <row customHeight="1" ht="11.25">
      <c r="A11" s="65" t="s">
        <v>3016</v>
      </c>
      <c r="B11" s="65" t="s">
        <v>3017</v>
      </c>
    </row>
    <row customHeight="1" ht="11.25">
      <c r="A12" s="65" t="s">
        <v>3018</v>
      </c>
      <c r="B12" s="65" t="s">
        <v>3019</v>
      </c>
    </row>
    <row customHeight="1" ht="11.25">
      <c r="A13" s="65" t="s">
        <v>3020</v>
      </c>
      <c r="B13" s="65" t="s">
        <v>3021</v>
      </c>
    </row>
    <row customHeight="1" ht="11.25">
      <c r="A14" s="65" t="s">
        <v>3022</v>
      </c>
      <c r="B14" s="65" t="s">
        <v>3023</v>
      </c>
    </row>
    <row customHeight="1" ht="11.25">
      <c r="A15" s="65" t="s">
        <v>3024</v>
      </c>
      <c r="B15" s="65" t="s">
        <v>3025</v>
      </c>
    </row>
    <row customHeight="1" ht="11.25">
      <c r="A16" s="65" t="s">
        <v>3026</v>
      </c>
      <c r="B16" s="65" t="s">
        <v>3027</v>
      </c>
    </row>
    <row customHeight="1" ht="11.25">
      <c r="A17" s="65" t="s">
        <v>3028</v>
      </c>
      <c r="B17" s="65" t="s">
        <v>3029</v>
      </c>
    </row>
    <row customHeight="1" ht="11.25">
      <c r="A18" s="65" t="s">
        <v>3030</v>
      </c>
      <c r="B18" s="65" t="s">
        <v>3031</v>
      </c>
    </row>
    <row customHeight="1" ht="11.25">
      <c r="A19" s="65" t="s">
        <v>3032</v>
      </c>
      <c r="B19" s="65" t="s">
        <v>3033</v>
      </c>
    </row>
    <row customHeight="1" ht="11.25">
      <c r="A20" s="65" t="s">
        <v>3034</v>
      </c>
      <c r="B20" s="65" t="s">
        <v>3035</v>
      </c>
    </row>
    <row customHeight="1" ht="11.25">
      <c r="A21" s="65" t="s">
        <v>3036</v>
      </c>
      <c r="B21" s="65" t="s">
        <v>3037</v>
      </c>
    </row>
    <row customHeight="1" ht="11.25">
      <c r="A22" s="65" t="s">
        <v>3038</v>
      </c>
      <c r="B22" s="65" t="s">
        <v>3039</v>
      </c>
    </row>
    <row customHeight="1" ht="11.25">
      <c r="A23" s="65" t="s">
        <v>3040</v>
      </c>
      <c r="B23" s="65" t="s">
        <v>3041</v>
      </c>
    </row>
    <row customHeight="1" ht="11.25">
      <c r="A24" s="65" t="s">
        <v>3042</v>
      </c>
      <c r="B24" s="65" t="s">
        <v>3043</v>
      </c>
    </row>
    <row customHeight="1" ht="11.25">
      <c r="A25" s="65" t="s">
        <v>3044</v>
      </c>
      <c r="B25" s="65" t="s">
        <v>3045</v>
      </c>
    </row>
    <row customHeight="1" ht="11.25">
      <c r="A26" s="65" t="s">
        <v>3046</v>
      </c>
      <c r="B26" s="65" t="s">
        <v>3047</v>
      </c>
    </row>
    <row customHeight="1" ht="11.25">
      <c r="A27" s="65" t="s">
        <v>3048</v>
      </c>
      <c r="B27" s="65" t="s">
        <v>3049</v>
      </c>
    </row>
    <row customHeight="1" ht="11.25">
      <c r="A28" s="65" t="s">
        <v>3050</v>
      </c>
      <c r="B28" s="65" t="s">
        <v>3051</v>
      </c>
    </row>
    <row customHeight="1" ht="11.25">
      <c r="A29" s="65" t="s">
        <v>3052</v>
      </c>
      <c r="B29" s="65" t="s">
        <v>3053</v>
      </c>
    </row>
    <row customHeight="1" ht="11.25">
      <c r="A30" s="65" t="s">
        <v>3054</v>
      </c>
      <c r="B30" s="65" t="s">
        <v>3055</v>
      </c>
    </row>
    <row customHeight="1" ht="11.25">
      <c r="A31" s="65" t="s">
        <v>3056</v>
      </c>
      <c r="B31" s="65" t="s">
        <v>3057</v>
      </c>
    </row>
    <row customHeight="1" ht="11.25">
      <c r="A32" s="65" t="s">
        <v>3058</v>
      </c>
      <c r="B32" s="65" t="s">
        <v>3059</v>
      </c>
    </row>
    <row customHeight="1" ht="11.25">
      <c r="A33" s="65" t="s">
        <v>3060</v>
      </c>
      <c r="B33" s="65" t="s">
        <v>3061</v>
      </c>
    </row>
    <row customHeight="1" ht="11.25">
      <c r="A34" s="65" t="s">
        <v>3062</v>
      </c>
      <c r="B34" s="65" t="s">
        <v>3063</v>
      </c>
    </row>
    <row customHeight="1" ht="11.25">
      <c r="A35" s="65" t="s">
        <v>3064</v>
      </c>
      <c r="B35" s="65" t="s">
        <v>3065</v>
      </c>
    </row>
    <row customHeight="1" ht="11.25">
      <c r="A36" s="65" t="s">
        <v>3066</v>
      </c>
      <c r="B36" s="65" t="s">
        <v>3067</v>
      </c>
    </row>
    <row customHeight="1" ht="11.25">
      <c r="A37" s="65" t="s">
        <v>3068</v>
      </c>
      <c r="B37" s="65" t="s">
        <v>3069</v>
      </c>
    </row>
    <row customHeight="1" ht="11.25">
      <c r="A38" s="65" t="s">
        <v>3070</v>
      </c>
      <c r="B38" s="65" t="s">
        <v>3071</v>
      </c>
    </row>
    <row customHeight="1" ht="11.25">
      <c r="A39" s="65" t="s">
        <v>3072</v>
      </c>
      <c r="B39" s="65" t="s">
        <v>3073</v>
      </c>
    </row>
    <row customHeight="1" ht="11.25">
      <c r="A40" s="65" t="s">
        <v>3074</v>
      </c>
      <c r="B40" s="65" t="s">
        <v>3075</v>
      </c>
    </row>
    <row customHeight="1" ht="11.25">
      <c r="A41" s="65" t="s">
        <v>3076</v>
      </c>
      <c r="B41" s="65" t="s">
        <v>3077</v>
      </c>
    </row>
    <row customHeight="1" ht="11.25">
      <c r="A42" s="65" t="s">
        <v>3078</v>
      </c>
      <c r="B42" s="65" t="s">
        <v>3079</v>
      </c>
    </row>
    <row customHeight="1" ht="11.25">
      <c r="A43" s="65" t="s">
        <v>3080</v>
      </c>
      <c r="B43" s="65" t="s">
        <v>3081</v>
      </c>
    </row>
    <row customHeight="1" ht="11.25">
      <c r="A44" s="65" t="s">
        <v>3082</v>
      </c>
      <c r="B44" s="65" t="s">
        <v>3083</v>
      </c>
    </row>
    <row customHeight="1" ht="11.25">
      <c r="A45" s="65" t="s">
        <v>3084</v>
      </c>
      <c r="B45" s="65" t="s">
        <v>3085</v>
      </c>
    </row>
    <row customHeight="1" ht="11.25">
      <c r="A46" s="65" t="s">
        <v>3086</v>
      </c>
      <c r="B46" s="65" t="s">
        <v>3087</v>
      </c>
    </row>
    <row customHeight="1" ht="11.25">
      <c r="A47" s="65" t="s">
        <v>3088</v>
      </c>
      <c r="B47" s="65" t="s">
        <v>3089</v>
      </c>
    </row>
    <row customHeight="1" ht="11.25">
      <c r="A48" s="65" t="s">
        <v>3090</v>
      </c>
      <c r="B48" s="65" t="s">
        <v>3091</v>
      </c>
    </row>
    <row customHeight="1" ht="11.25">
      <c r="A49" s="65" t="s">
        <v>3092</v>
      </c>
      <c r="B49" s="65" t="s">
        <v>3093</v>
      </c>
    </row>
    <row customHeight="1" ht="11.25">
      <c r="A50" s="65" t="s">
        <v>3094</v>
      </c>
      <c r="B50" s="65" t="s">
        <v>3095</v>
      </c>
    </row>
    <row customHeight="1" ht="11.25">
      <c r="A51" s="65" t="s">
        <v>3096</v>
      </c>
      <c r="B51" s="65" t="s">
        <v>3097</v>
      </c>
    </row>
    <row customHeight="1" ht="11.25">
      <c r="A52" s="65" t="s">
        <v>3098</v>
      </c>
      <c r="B52" s="65" t="s">
        <v>3099</v>
      </c>
    </row>
    <row customHeight="1" ht="11.25">
      <c r="A53" s="65" t="s">
        <v>3100</v>
      </c>
      <c r="B53" s="65" t="s">
        <v>3101</v>
      </c>
    </row>
    <row customHeight="1" ht="11.25">
      <c r="A54" s="65" t="s">
        <v>3102</v>
      </c>
      <c r="B54" s="65" t="s">
        <v>3103</v>
      </c>
    </row>
    <row customHeight="1" ht="11.25">
      <c r="A55" s="65" t="s">
        <v>3104</v>
      </c>
      <c r="B55" s="65" t="s">
        <v>3105</v>
      </c>
    </row>
    <row customHeight="1" ht="11.25">
      <c r="A56" s="65" t="s">
        <v>3106</v>
      </c>
      <c r="B56" s="65" t="s">
        <v>3107</v>
      </c>
    </row>
    <row customHeight="1" ht="11.25">
      <c r="A57" s="65" t="s">
        <v>3108</v>
      </c>
      <c r="B57" s="65" t="s">
        <v>3109</v>
      </c>
    </row>
    <row customHeight="1" ht="11.25">
      <c r="A58" s="65" t="s">
        <v>3110</v>
      </c>
      <c r="B58" s="65" t="s">
        <v>3111</v>
      </c>
    </row>
    <row customHeight="1" ht="11.25">
      <c r="A59" s="65" t="s">
        <v>3112</v>
      </c>
      <c r="B59" s="65" t="s">
        <v>3113</v>
      </c>
    </row>
    <row customHeight="1" ht="11.25">
      <c r="A60" s="65" t="s">
        <v>3114</v>
      </c>
      <c r="B60" s="65" t="s">
        <v>3115</v>
      </c>
    </row>
    <row customHeight="1" ht="11.25">
      <c r="A61" s="65"/>
      <c r="B61" s="65" t="s">
        <v>3116</v>
      </c>
    </row>
    <row customHeight="1" ht="11.25">
      <c r="A62" s="65"/>
      <c r="B62" s="65" t="s">
        <v>3117</v>
      </c>
    </row>
    <row customHeight="1" ht="11.25">
      <c r="A63" s="65"/>
      <c r="B63" s="65" t="s">
        <v>3118</v>
      </c>
    </row>
    <row customHeight="1" ht="11.25">
      <c r="A64" s="65"/>
      <c r="B64" s="65" t="s">
        <v>3119</v>
      </c>
    </row>
    <row customHeight="1" ht="11.25">
      <c r="A65" s="65"/>
      <c r="B65" s="65" t="s">
        <v>3120</v>
      </c>
    </row>
    <row customHeight="1" ht="11.25">
      <c r="A66" s="65"/>
      <c r="B66" s="65" t="s">
        <v>3121</v>
      </c>
    </row>
    <row customHeight="1" ht="11.25">
      <c r="A67" s="65"/>
      <c r="B67" s="65" t="s">
        <v>3122</v>
      </c>
    </row>
    <row customHeight="1" ht="11.25">
      <c r="A68" s="65"/>
      <c r="B68" s="65" t="s">
        <v>3123</v>
      </c>
    </row>
    <row customHeight="1" ht="11.25">
      <c r="A69" s="65"/>
      <c r="B69" s="65" t="s">
        <v>3124</v>
      </c>
    </row>
    <row customHeight="1" ht="11.25">
      <c r="A70" s="65"/>
      <c r="B70" s="65" t="s">
        <v>3125</v>
      </c>
    </row>
    <row customHeight="1" ht="11.25">
      <c r="A71" s="65"/>
      <c r="B71" s="65"/>
    </row>
    <row customHeight="1" ht="11.25">
      <c r="A72" s="65"/>
      <c r="B72" s="65"/>
    </row>
    <row customHeight="1" ht="11.25">
      <c r="A73" s="65"/>
      <c r="B73" s="65"/>
    </row>
    <row customHeight="1" ht="11.25">
      <c r="A74" s="65"/>
      <c r="B74" s="65"/>
    </row>
    <row customHeight="1" ht="11.25">
      <c r="A75" s="65"/>
      <c r="B75" s="65"/>
    </row>
    <row customHeight="1" ht="11.25">
      <c r="A76" s="65"/>
      <c r="B76" s="65"/>
    </row>
    <row customHeight="1" ht="11.25">
      <c r="A77" s="65"/>
      <c r="B77" s="65"/>
    </row>
    <row customHeight="1" ht="11.25">
      <c r="A78" s="65"/>
      <c r="B78" s="65"/>
    </row>
    <row customHeight="1" ht="11.25">
      <c r="A79" s="65"/>
      <c r="B79" s="65"/>
    </row>
    <row customHeight="1" ht="11.25">
      <c r="A80" s="65"/>
      <c r="B80" s="65"/>
    </row>
    <row customHeight="1" ht="11.25">
      <c r="A81" s="65"/>
      <c r="B81" s="65"/>
    </row>
    <row customHeight="1" ht="11.25">
      <c r="A82" s="65"/>
      <c r="B82" s="65"/>
    </row>
    <row customHeight="1" ht="11.25">
      <c r="A83" s="65"/>
      <c r="B83" s="65"/>
    </row>
    <row customHeight="1" ht="11.25">
      <c r="A84" s="65"/>
      <c r="B84" s="65"/>
    </row>
    <row customHeight="1" ht="11.25">
      <c r="A85" s="65"/>
      <c r="B85" s="65"/>
    </row>
    <row customHeight="1" ht="11.25">
      <c r="A86" s="65"/>
      <c r="B86" s="65"/>
    </row>
    <row customHeight="1" ht="11.25">
      <c r="A87" s="65"/>
      <c r="B87" s="65"/>
    </row>
    <row customHeight="1" ht="11.25">
      <c r="A88" s="65"/>
      <c r="B88" s="65"/>
    </row>
    <row customHeight="1" ht="11.25">
      <c r="A89" s="65"/>
      <c r="B89" s="65"/>
    </row>
    <row customHeight="1" ht="11.25">
      <c r="A90" s="65"/>
      <c r="B90" s="65"/>
    </row>
    <row customHeight="1" ht="11.25">
      <c r="A91" s="65"/>
      <c r="B91" s="65"/>
    </row>
    <row customHeight="1" ht="11.25">
      <c r="A92" s="65"/>
      <c r="B92" s="65"/>
    </row>
    <row customHeight="1" ht="11.25">
      <c r="A93" s="65"/>
      <c r="B93" s="65"/>
    </row>
    <row customHeight="1" ht="11.25">
      <c r="A94" s="65"/>
      <c r="B94" s="65"/>
    </row>
    <row customHeight="1" ht="11.25">
      <c r="A95" s="65"/>
      <c r="B95" s="65"/>
    </row>
    <row customHeight="1" ht="11.25">
      <c r="A96" s="65"/>
      <c r="B96" s="65"/>
    </row>
    <row customHeight="1" ht="11.25">
      <c r="A97" s="65"/>
      <c r="B97" s="65"/>
    </row>
    <row customHeight="1" ht="11.25">
      <c r="A98" s="65"/>
      <c r="B98" s="65"/>
    </row>
    <row customHeight="1" ht="11.25">
      <c r="A99" s="65"/>
      <c r="B99" s="65"/>
    </row>
    <row customHeight="1" ht="11.25">
      <c r="A100" s="65"/>
      <c r="B100" s="65"/>
    </row>
    <row customHeight="1" ht="11.25">
      <c r="A101" s="65"/>
      <c r="B101" s="65"/>
    </row>
    <row customHeight="1" ht="11.25">
      <c r="A102" s="65"/>
      <c r="B102" s="65"/>
    </row>
    <row customHeight="1" ht="11.25">
      <c r="A103" s="65"/>
      <c r="B103" s="65"/>
    </row>
    <row customHeight="1" ht="11.25">
      <c r="A104" s="65"/>
      <c r="B104" s="65"/>
    </row>
    <row customHeight="1" ht="11.25">
      <c r="A105" s="65"/>
      <c r="B105" s="65"/>
    </row>
    <row customHeight="1" ht="11.25">
      <c r="A106" s="65"/>
      <c r="B106" s="65"/>
    </row>
    <row customHeight="1" ht="11.25">
      <c r="A107" s="65"/>
      <c r="B107" s="65"/>
    </row>
    <row customHeight="1" ht="11.25">
      <c r="A108" s="65"/>
      <c r="B108" s="65"/>
    </row>
    <row customHeight="1" ht="11.25">
      <c r="A109" s="65"/>
      <c r="B109" s="65"/>
    </row>
    <row customHeight="1" ht="11.25">
      <c r="A110" s="65"/>
      <c r="B110" s="65"/>
    </row>
    <row customHeight="1" ht="11.25">
      <c r="A111" s="65"/>
      <c r="B111" s="65"/>
    </row>
    <row customHeight="1" ht="11.25">
      <c r="A112" s="65"/>
      <c r="B112" s="65"/>
    </row>
    <row customHeight="1" ht="11.25">
      <c r="A113" s="65"/>
      <c r="B113" s="65"/>
    </row>
    <row customHeight="1" ht="11.25">
      <c r="A114" s="65"/>
      <c r="B114" s="65"/>
    </row>
    <row customHeight="1" ht="11.25">
      <c r="A115" s="65"/>
      <c r="B115" s="65"/>
    </row>
    <row customHeight="1" ht="11.25">
      <c r="A116" s="65"/>
      <c r="B116" s="65"/>
    </row>
    <row customHeight="1" ht="11.25">
      <c r="A117" s="65"/>
      <c r="B117" s="65"/>
    </row>
    <row customHeight="1" ht="11.25">
      <c r="A118" s="65"/>
      <c r="B118" s="65"/>
    </row>
    <row customHeight="1" ht="11.25">
      <c r="A119" s="65"/>
      <c r="B119" s="65"/>
    </row>
    <row customHeight="1" ht="11.25">
      <c r="A120" s="65"/>
      <c r="B120" s="65"/>
    </row>
    <row customHeight="1" ht="11.25">
      <c r="A121" s="65"/>
      <c r="B121" s="65"/>
    </row>
    <row customHeight="1" ht="11.25">
      <c r="A122" s="65"/>
      <c r="B122" s="65"/>
    </row>
    <row customHeight="1" ht="11.25">
      <c r="A123" s="65"/>
      <c r="B123" s="65"/>
    </row>
    <row customHeight="1" ht="11.25">
      <c r="A124" s="65"/>
      <c r="B124" s="65"/>
    </row>
    <row customHeight="1" ht="11.25">
      <c r="A125" s="65"/>
      <c r="B125" s="65"/>
    </row>
    <row customHeight="1" ht="11.25">
      <c r="A126" s="65"/>
      <c r="B126" s="65"/>
    </row>
    <row customHeight="1" ht="11.25">
      <c r="A127" s="65"/>
      <c r="B127" s="65"/>
    </row>
    <row customHeight="1" ht="11.25">
      <c r="A128" s="65"/>
      <c r="B128" s="65"/>
    </row>
    <row customHeight="1" ht="11.25">
      <c r="A129" s="65"/>
      <c r="B129" s="65"/>
    </row>
    <row customHeight="1" ht="11.25">
      <c r="A130" s="65"/>
      <c r="B130" s="65"/>
    </row>
    <row customHeight="1" ht="11.25">
      <c r="A131" s="65"/>
      <c r="B131" s="65"/>
    </row>
    <row customHeight="1" ht="11.25">
      <c r="A132" s="65"/>
      <c r="B132" s="65"/>
    </row>
    <row customHeight="1" ht="11.25">
      <c r="A133" s="65"/>
      <c r="B133" s="65"/>
    </row>
    <row customHeight="1" ht="11.25">
      <c r="A134" s="65"/>
      <c r="B134" s="65"/>
    </row>
    <row customHeight="1" ht="11.25">
      <c r="A135" s="65"/>
      <c r="B135" s="65"/>
    </row>
    <row customHeight="1" ht="11.25">
      <c r="A136" s="65"/>
      <c r="B136" s="65"/>
    </row>
    <row customHeight="1" ht="11.25">
      <c r="A137" s="65"/>
      <c r="B137" s="65"/>
    </row>
    <row customHeight="1" ht="11.25">
      <c r="A138" s="65"/>
      <c r="B138" s="65"/>
    </row>
    <row customHeight="1" ht="11.25">
      <c r="A139" s="65"/>
      <c r="B139" s="65"/>
    </row>
    <row customHeight="1" ht="11.25">
      <c r="A140" s="65"/>
      <c r="B140" s="65"/>
    </row>
    <row customHeight="1" ht="11.25">
      <c r="A141" s="65"/>
      <c r="B141" s="65"/>
    </row>
    <row customHeight="1" ht="11.25">
      <c r="A142" s="65"/>
      <c r="B142" s="65"/>
    </row>
    <row customHeight="1" ht="11.25">
      <c r="A143" s="65"/>
      <c r="B143" s="65"/>
    </row>
    <row customHeight="1" ht="11.25">
      <c r="A144" s="65"/>
      <c r="B144" s="65"/>
    </row>
    <row customHeight="1" ht="11.25">
      <c r="A145" s="65"/>
      <c r="B145" s="65"/>
    </row>
    <row customHeight="1" ht="11.25">
      <c r="A146" s="65"/>
      <c r="B146" s="65"/>
    </row>
    <row customHeight="1" ht="11.25">
      <c r="A147" s="65"/>
      <c r="B147" s="65"/>
    </row>
    <row customHeight="1" ht="11.25">
      <c r="A148" s="65"/>
      <c r="B148" s="65"/>
    </row>
    <row customHeight="1" ht="11.25">
      <c r="A149" s="65"/>
      <c r="B149" s="65"/>
    </row>
    <row customHeight="1" ht="11.25">
      <c r="A150" s="65"/>
      <c r="B150" s="65"/>
    </row>
    <row customHeight="1" ht="11.25">
      <c r="A151" s="65"/>
      <c r="B151" s="65"/>
    </row>
    <row customHeight="1" ht="11.25">
      <c r="A152" s="65"/>
      <c r="B152" s="65"/>
    </row>
    <row customHeight="1" ht="11.25">
      <c r="A153" s="65"/>
      <c r="B153" s="65"/>
    </row>
    <row customHeight="1" ht="11.25">
      <c r="A154" s="65"/>
      <c r="B154" s="65"/>
    </row>
    <row customHeight="1" ht="11.25">
      <c r="A155" s="65"/>
      <c r="B155" s="65"/>
    </row>
    <row customHeight="1" ht="11.25">
      <c r="A156" s="65"/>
      <c r="B156" s="65"/>
    </row>
    <row customHeight="1" ht="11.25">
      <c r="A157" s="65"/>
      <c r="B157" s="65"/>
    </row>
    <row customHeight="1" ht="11.25">
      <c r="A158" s="65"/>
      <c r="B158" s="65"/>
    </row>
    <row customHeight="1" ht="11.25">
      <c r="A159" s="65"/>
      <c r="B159" s="65"/>
    </row>
    <row customHeight="1" ht="11.25">
      <c r="A160" s="65"/>
      <c r="B160" s="65"/>
    </row>
    <row customHeight="1" ht="11.25">
      <c r="A161" s="65"/>
      <c r="B161" s="65"/>
    </row>
    <row customHeight="1" ht="11.25">
      <c r="A162" s="65"/>
      <c r="B162" s="65"/>
    </row>
    <row customHeight="1" ht="11.25">
      <c r="A163" s="65"/>
      <c r="B163" s="65"/>
    </row>
    <row customHeight="1" ht="11.25">
      <c r="A164" s="65"/>
      <c r="B164" s="65"/>
    </row>
    <row customHeight="1" ht="11.25">
      <c r="A165" s="65"/>
      <c r="B165" s="65"/>
    </row>
    <row customHeight="1" ht="11.25">
      <c r="A166" s="65"/>
      <c r="B166" s="65"/>
    </row>
    <row customHeight="1" ht="11.25">
      <c r="A167" s="65"/>
      <c r="B167" s="65"/>
    </row>
    <row customHeight="1" ht="11.25">
      <c r="A168" s="65"/>
      <c r="B168" s="65"/>
    </row>
    <row customHeight="1" ht="11.25">
      <c r="A169" s="65"/>
      <c r="B169" s="65"/>
    </row>
    <row customHeight="1" ht="11.25">
      <c r="A170" s="65"/>
      <c r="B170" s="65"/>
    </row>
    <row customHeight="1" ht="11.25">
      <c r="A171" s="65"/>
      <c r="B171" s="65"/>
    </row>
    <row customHeight="1" ht="11.25">
      <c r="A172" s="65"/>
      <c r="B172" s="65"/>
    </row>
    <row customHeight="1" ht="11.25">
      <c r="A173" s="65"/>
      <c r="B173" s="65"/>
    </row>
    <row customHeight="1" ht="11.25">
      <c r="A174" s="65"/>
      <c r="B174" s="65"/>
    </row>
    <row customHeight="1" ht="11.25">
      <c r="A175" s="65"/>
      <c r="B175" s="65"/>
    </row>
    <row customHeight="1" ht="11.25">
      <c r="A176" s="65"/>
      <c r="B176" s="65"/>
    </row>
    <row customHeight="1" ht="11.25">
      <c r="A177" s="65"/>
      <c r="B177" s="65"/>
    </row>
    <row customHeight="1" ht="11.25">
      <c r="A178" s="65"/>
      <c r="B178" s="65"/>
    </row>
    <row customHeight="1" ht="11.25">
      <c r="A179" s="65"/>
      <c r="B179" s="65"/>
    </row>
    <row customHeight="1" ht="11.25">
      <c r="A180" s="65"/>
      <c r="B180" s="65"/>
    </row>
    <row customHeight="1" ht="11.25">
      <c r="A181" s="65"/>
      <c r="B181" s="65"/>
    </row>
    <row customHeight="1" ht="11.25">
      <c r="A182" s="65"/>
      <c r="B182" s="65"/>
    </row>
    <row customHeight="1" ht="11.25">
      <c r="A183" s="65"/>
      <c r="B183" s="65"/>
    </row>
    <row customHeight="1" ht="11.25">
      <c r="A184" s="65"/>
      <c r="B184" s="65"/>
    </row>
    <row customHeight="1" ht="11.25">
      <c r="A185" s="65"/>
      <c r="B185" s="65"/>
    </row>
    <row customHeight="1" ht="11.25">
      <c r="A186" s="65"/>
      <c r="B186" s="65"/>
    </row>
    <row customHeight="1" ht="11.25">
      <c r="A187" s="65"/>
      <c r="B187" s="65"/>
    </row>
    <row customHeight="1" ht="11.25">
      <c r="A188" s="65"/>
      <c r="B188" s="65"/>
    </row>
    <row customHeight="1" ht="11.25">
      <c r="A189" s="65"/>
      <c r="B189" s="65"/>
    </row>
    <row customHeight="1" ht="11.25">
      <c r="A190" s="65"/>
      <c r="B190" s="65"/>
    </row>
    <row customHeight="1" ht="11.25">
      <c r="A191" s="65"/>
      <c r="B191" s="65"/>
    </row>
    <row customHeight="1" ht="11.25">
      <c r="A192" s="65"/>
      <c r="B192" s="65"/>
    </row>
    <row customHeight="1" ht="11.25">
      <c r="A193" s="65"/>
      <c r="B193" s="65"/>
    </row>
    <row customHeight="1" ht="11.25">
      <c r="A194" s="65"/>
      <c r="B194" s="65"/>
    </row>
    <row customHeight="1" ht="11.25">
      <c r="A195" s="65"/>
      <c r="B195" s="65"/>
    </row>
    <row customHeight="1" ht="11.25">
      <c r="A196" s="65"/>
      <c r="B196" s="65"/>
    </row>
    <row customHeight="1" ht="11.25">
      <c r="A197" s="65"/>
      <c r="B197" s="65"/>
    </row>
    <row customHeight="1" ht="11.25">
      <c r="A198" s="65"/>
      <c r="B198" s="65"/>
    </row>
    <row customHeight="1" ht="11.25">
      <c r="A199" s="65"/>
      <c r="B199" s="65"/>
    </row>
    <row customHeight="1" ht="11.25">
      <c r="A200" s="65"/>
      <c r="B200" s="65"/>
    </row>
    <row customHeight="1" ht="11.25">
      <c r="A201" s="65"/>
      <c r="B201" s="65"/>
    </row>
    <row customHeight="1" ht="11.25">
      <c r="A202" s="65"/>
      <c r="B202" s="65"/>
    </row>
    <row customHeight="1" ht="11.25">
      <c r="A203" s="65"/>
      <c r="B203" s="65"/>
    </row>
    <row customHeight="1" ht="11.25">
      <c r="A204" s="65"/>
      <c r="B204" s="65"/>
    </row>
    <row customHeight="1" ht="11.25">
      <c r="A205" s="65"/>
      <c r="B205" s="65"/>
    </row>
    <row customHeight="1" ht="11.25">
      <c r="A206" s="65"/>
      <c r="B206" s="65"/>
    </row>
    <row customHeight="1" ht="11.25">
      <c r="A207" s="65"/>
      <c r="B207" s="65"/>
    </row>
    <row customHeight="1" ht="11.25">
      <c r="A208" s="65"/>
      <c r="B208" s="65"/>
    </row>
    <row customHeight="1" ht="11.25">
      <c r="A209" s="65"/>
      <c r="B209" s="65"/>
    </row>
    <row customHeight="1" ht="11.25">
      <c r="A210" s="65"/>
      <c r="B210" s="65"/>
    </row>
    <row customHeight="1" ht="11.25">
      <c r="A211" s="65"/>
      <c r="B211" s="65"/>
    </row>
    <row customHeight="1" ht="11.25">
      <c r="A212" s="65"/>
      <c r="B212" s="65"/>
    </row>
    <row customHeight="1" ht="11.25">
      <c r="A213" s="65"/>
      <c r="B213" s="65"/>
    </row>
    <row customHeight="1" ht="11.25">
      <c r="A214" s="65"/>
      <c r="B214" s="65"/>
    </row>
    <row customHeight="1" ht="11.25">
      <c r="A215" s="65"/>
      <c r="B215" s="65"/>
    </row>
    <row customHeight="1" ht="11.25">
      <c r="A216" s="65"/>
      <c r="B216" s="65"/>
    </row>
    <row customHeight="1" ht="11.25">
      <c r="A217" s="65"/>
      <c r="B217" s="65"/>
    </row>
    <row customHeight="1" ht="11.25">
      <c r="A218" s="65"/>
      <c r="B218" s="65"/>
    </row>
    <row customHeight="1" ht="11.25">
      <c r="A219" s="65"/>
      <c r="B219" s="65"/>
    </row>
    <row customHeight="1" ht="11.25">
      <c r="A220" s="65"/>
      <c r="B220" s="65"/>
    </row>
    <row customHeight="1" ht="11.25">
      <c r="A221" s="65"/>
      <c r="B221" s="65"/>
    </row>
    <row customHeight="1" ht="11.25">
      <c r="A222" s="65"/>
      <c r="B222" s="65"/>
    </row>
    <row customHeight="1" ht="11.25">
      <c r="A223" s="65"/>
      <c r="B223" s="65"/>
    </row>
    <row customHeight="1" ht="11.25">
      <c r="A224" s="65"/>
      <c r="B224" s="65"/>
    </row>
    <row customHeight="1" ht="11.25">
      <c r="A225" s="65"/>
      <c r="B225" s="65"/>
    </row>
    <row customHeight="1" ht="11.25">
      <c r="A226" s="65"/>
      <c r="B226" s="65"/>
    </row>
    <row customHeight="1" ht="11.25">
      <c r="A227" s="65"/>
      <c r="B227" s="65"/>
    </row>
    <row customHeight="1" ht="11.25">
      <c r="A228" s="65"/>
      <c r="B228" s="65"/>
    </row>
    <row customHeight="1" ht="11.25">
      <c r="A229" s="65"/>
      <c r="B229" s="65"/>
    </row>
    <row customHeight="1" ht="11.25">
      <c r="A230" s="65"/>
      <c r="B230" s="65"/>
    </row>
    <row customHeight="1" ht="11.25">
      <c r="A231" s="65"/>
      <c r="B231" s="65"/>
    </row>
    <row customHeight="1" ht="11.25">
      <c r="A232" s="65"/>
      <c r="B232" s="65"/>
    </row>
    <row customHeight="1" ht="11.25">
      <c r="A233" s="65"/>
      <c r="B233" s="65"/>
    </row>
    <row customHeight="1" ht="11.25">
      <c r="A234" s="65"/>
      <c r="B234" s="65"/>
    </row>
    <row customHeight="1" ht="11.25">
      <c r="A235" s="65"/>
      <c r="B235" s="65"/>
    </row>
    <row customHeight="1" ht="11.25">
      <c r="A236" s="65"/>
      <c r="B236" s="65"/>
    </row>
    <row customHeight="1" ht="11.25">
      <c r="A237" s="65"/>
      <c r="B237" s="65"/>
    </row>
    <row customHeight="1" ht="11.25">
      <c r="A238" s="65"/>
      <c r="B238" s="65"/>
    </row>
    <row customHeight="1" ht="11.25">
      <c r="A239" s="65"/>
      <c r="B239" s="65"/>
    </row>
    <row customHeight="1" ht="11.25">
      <c r="A240" s="65"/>
      <c r="B240" s="65"/>
    </row>
    <row customHeight="1" ht="11.25">
      <c r="A241" s="65"/>
      <c r="B241" s="65"/>
    </row>
    <row customHeight="1" ht="11.25">
      <c r="A242" s="65"/>
      <c r="B242" s="65"/>
    </row>
    <row customHeight="1" ht="11.25">
      <c r="A243" s="65"/>
      <c r="B243" s="65"/>
    </row>
    <row customHeight="1" ht="11.25">
      <c r="A244" s="65"/>
      <c r="B244" s="65"/>
    </row>
    <row customHeight="1" ht="11.25">
      <c r="A245" s="65"/>
      <c r="B245" s="65"/>
    </row>
    <row customHeight="1" ht="11.25">
      <c r="A246" s="65"/>
      <c r="B246" s="65"/>
    </row>
    <row customHeight="1" ht="11.25">
      <c r="A247" s="65"/>
      <c r="B247" s="65"/>
    </row>
    <row customHeight="1" ht="11.25">
      <c r="A248" s="65"/>
      <c r="B248" s="65"/>
    </row>
    <row customHeight="1" ht="11.25">
      <c r="A249" s="65"/>
      <c r="B249" s="65"/>
    </row>
    <row customHeight="1" ht="11.25">
      <c r="A250" s="65"/>
      <c r="B250" s="65"/>
    </row>
    <row customHeight="1" ht="11.25">
      <c r="A251" s="65"/>
      <c r="B251" s="65"/>
    </row>
    <row customHeight="1" ht="11.25">
      <c r="A252" s="65"/>
      <c r="B252" s="65"/>
    </row>
    <row customHeight="1" ht="11.25">
      <c r="A253" s="65"/>
      <c r="B253" s="65"/>
    </row>
  </sheetData>
  <sheetProtection formatColumns="0" formatRows="0" sort="0" autoFilter="0" insertRows="0" insertColumns="1" deleteRows="0" deleteColumns="0"/>
  <pageMargins left="0.75" right="0.75" top="1.00" bottom="1.00" header="0.50" footer="0.50"/>
  <pageSetup paperSize="9" pageOrder="downThenOver" orientation="portrait"/>
  <headerFooter>
    <oddHeader>&amp;L&amp;C&amp;R</oddHeader>
    <oddFooter>&amp;L&amp;C&amp;R</oddFooter>
    <evenHeader>&amp;L&amp;C&amp;R</evenHeader>
    <evenFooter>&amp;L&amp;C&amp;R</evenFooter>
  </headerFooter>
</worksheet>
</file>

<file path=xl/worksheets/sheet8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26074C4-7576-3648-EEB4-A6458717E4BC}" mc:Ignorable="x14ac xr xr2 xr3">
  <sheetPr>
    <tabColor rgb="FFFFCC99"/>
  </sheetPr>
  <dimension ref="A1:D36"/>
  <sheetViews>
    <sheetView topLeftCell="A1" showGridLines="0" workbookViewId="0">
      <selection activeCell="A1" sqref="A1"/>
    </sheetView>
  </sheetViews>
  <sheetFormatPr defaultColWidth="9.140625" customHeight="1" defaultRowHeight="11.25"/>
  <cols>
    <col min="1" max="1" style="1851" width="3.7109375" customWidth="1"/>
    <col min="2" max="2" style="1851" width="90.7109375" customWidth="1"/>
    <col min="3" max="4" style="1851" width="9.140625"/>
  </cols>
  <sheetData>
    <row customHeight="1" ht="11.25">
      <c r="B1" s="94" t="s">
        <v>3126</v>
      </c>
    </row>
    <row customHeight="1" ht="90">
      <c r="B2" s="95" t="s">
        <v>3127</v>
      </c>
    </row>
    <row customHeight="1" ht="67.5">
      <c r="B3" s="95" t="s">
        <v>3128</v>
      </c>
    </row>
    <row customHeight="1" ht="33.75">
      <c r="B4" s="95" t="s">
        <v>3129</v>
      </c>
    </row>
    <row customHeight="1" ht="11.25">
      <c r="B5" s="95" t="s">
        <v>3130</v>
      </c>
    </row>
    <row customHeight="1" ht="22.5">
      <c r="B6" s="95" t="s">
        <v>3131</v>
      </c>
    </row>
    <row customHeight="1" ht="22.5">
      <c r="B7" s="95" t="s">
        <v>3132</v>
      </c>
    </row>
    <row customHeight="1" ht="22.5">
      <c r="B8" s="95" t="s">
        <v>3133</v>
      </c>
    </row>
    <row customHeight="1" ht="22.5">
      <c r="B9" s="95" t="s">
        <v>3134</v>
      </c>
    </row>
    <row customHeight="1" ht="56.25">
      <c r="B10" s="95" t="s">
        <v>3135</v>
      </c>
    </row>
    <row customHeight="1" ht="12.75">
      <c r="B11" s="160" t="s">
        <v>3136</v>
      </c>
    </row>
    <row customHeight="1" ht="11.25">
      <c r="B12" s="94" t="s">
        <v>3137</v>
      </c>
    </row>
    <row customHeight="1" ht="22.5">
      <c r="B13" s="95" t="s">
        <v>3138</v>
      </c>
    </row>
    <row customHeight="1" ht="67.5">
      <c r="B14" s="95" t="s">
        <v>3139</v>
      </c>
    </row>
    <row customHeight="1" ht="22.5">
      <c r="B15" s="95" t="s">
        <v>3140</v>
      </c>
    </row>
    <row customHeight="1" ht="11.25">
      <c r="B16" s="94" t="s">
        <v>3141</v>
      </c>
      <c r="D16" s="101"/>
    </row>
    <row customHeight="1" ht="33.75">
      <c r="B17" s="95" t="s">
        <v>3142</v>
      </c>
    </row>
    <row customHeight="1" ht="33.75">
      <c r="B18" s="95" t="s">
        <v>3143</v>
      </c>
    </row>
    <row customHeight="1" ht="11.25">
      <c r="B19" s="95" t="s">
        <v>3144</v>
      </c>
    </row>
    <row customHeight="1" ht="33.75">
      <c r="B20" s="95" t="s">
        <v>3145</v>
      </c>
    </row>
    <row customHeight="1" ht="11.25">
      <c r="B21" s="94" t="s">
        <v>3146</v>
      </c>
    </row>
    <row customHeight="1" ht="11.25">
      <c r="B22" s="95" t="s">
        <v>3147</v>
      </c>
    </row>
    <row r="24" customHeight="1" ht="22.5">
      <c r="B24" s="162" t="s">
        <v>3148</v>
      </c>
    </row>
    <row r="26" customHeight="1" ht="11.25">
      <c r="B26" s="94" t="s">
        <v>3149</v>
      </c>
    </row>
    <row customHeight="1" ht="22.5">
      <c r="B27" s="161" t="s">
        <v>526</v>
      </c>
    </row>
    <row customHeight="1" ht="56.25">
      <c r="B28" s="161" t="s">
        <v>3150</v>
      </c>
    </row>
    <row customHeight="1" ht="11.25">
      <c r="B29" s="211" t="s">
        <v>3151</v>
      </c>
    </row>
    <row customHeight="1" ht="22.5">
      <c r="B30" s="161" t="s">
        <v>3152</v>
      </c>
    </row>
    <row r="32" customHeight="1" ht="11.25">
      <c r="A32" s="189"/>
      <c r="B32" s="190" t="s">
        <v>3153</v>
      </c>
    </row>
    <row customHeight="1" ht="14.25">
      <c r="A33" s="191">
        <v>1</v>
      </c>
      <c r="B33" s="192" t="s">
        <v>3154</v>
      </c>
    </row>
    <row customHeight="1" ht="14.25">
      <c r="A34" s="191">
        <v>2</v>
      </c>
      <c r="B34" s="192" t="s">
        <v>3155</v>
      </c>
    </row>
    <row customHeight="1" ht="11.25">
      <c r="B35" s="190" t="s">
        <v>3156</v>
      </c>
    </row>
    <row customHeight="1" ht="11.25">
      <c r="B36" s="192" t="s">
        <v>3157</v>
      </c>
    </row>
  </sheetData>
  <sheetProtection sort="0" autoFilter="0" insertRows="0" insertColumns="1" deleteRows="0" deleteColumns="0"/>
  <pageMargins left="0.75" right="0.75" top="1.00" bottom="1.00" header="0.50" footer="0.50"/>
  <pageSetup paperSize="9" pageOrder="downThenOver" orientation="portrait"/>
  <headerFooter>
    <oddHeader>&amp;L&amp;C&amp;R</oddHeader>
    <oddFooter>&amp;L&amp;C&amp;R</oddFooter>
    <evenHeader>&amp;L&amp;C&amp;R</evenHeader>
    <evenFooter>&amp;L&amp;C&amp;R</even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F957C78-3B88-649E-9AC8-F097C03AAFBA}" mc:Ignorable="x14ac xr xr2 xr3">
  <sheetPr>
    <tabColor theme="3" tint="0.6"/>
  </sheetPr>
  <dimension ref="A1:V18"/>
  <sheetViews>
    <sheetView showGridLines="0" zoomScale="90" workbookViewId="0">
      <pane xSplit="4" ySplit="13" topLeftCell="E14" activePane="bottomRight" state="frozen"/>
      <selection pane="bottomLeft" activeCell="A14" sqref="A14"/>
      <selection pane="topRight" activeCell="E1" sqref="E1"/>
      <selection pane="bottomRight" activeCell="A1" sqref="A1"/>
    </sheetView>
  </sheetViews>
  <sheetFormatPr defaultColWidth="10.57421875" customHeight="1" defaultRowHeight="14.25"/>
  <cols>
    <col min="1" max="1" style="1633" width="9.140625" hidden="1" customWidth="1"/>
    <col min="2" max="2" style="1636" width="9.140625" hidden="1" customWidth="1"/>
    <col min="3" max="3" style="1843" width="3.00390625" customWidth="1"/>
    <col min="4" max="4" style="1636" width="5.00390625" customWidth="1"/>
    <col min="5" max="5" style="1636" width="38.00390625" customWidth="1"/>
    <col min="6" max="7" style="1636" width="3.00390625" customWidth="1"/>
    <col min="8" max="8" style="1636" width="38.00390625" customWidth="1"/>
    <col min="9" max="9" style="1636" width="35.00390625" customWidth="1"/>
    <col min="10" max="10" style="1636" width="103.00390625" customWidth="1"/>
    <col min="11" max="11" style="1820" width="3.00390625" customWidth="1"/>
    <col min="12" max="14" style="1643" width="10.00390625" customWidth="1"/>
    <col min="15" max="15" style="1643" width="13.00390625" customWidth="1"/>
    <col min="16" max="16" style="1643" width="15.00390625" customWidth="1"/>
    <col min="17" max="17" style="1643" width="16.00390625" customWidth="1"/>
    <col min="18" max="21" style="1643" width="10.00390625" customWidth="1"/>
    <col min="22" max="22" style="1636" width="10.57421875" hidden="1"/>
  </cols>
  <sheetData>
    <row customHeight="1" ht="22.5" hidden="1">
      <c r="E1" s="413"/>
      <c r="F1" s="413"/>
      <c r="G1" s="413"/>
      <c r="H1" s="2218" t="s">
        <v>482</v>
      </c>
      <c r="I1" s="2218"/>
      <c r="V1" s="1608" t="s">
        <v>14</v>
      </c>
    </row>
    <row s="1636" customFormat="1" customHeight="1" ht="14.25" hidden="1">
      <c r="C2" s="1620"/>
      <c r="D2" s="2234" t="s">
        <v>123</v>
      </c>
      <c r="E2" s="2236"/>
      <c r="F2" s="1626"/>
      <c r="G2" s="1621" t="s">
        <v>123</v>
      </c>
      <c r="H2" s="1624"/>
      <c r="I2" s="1622"/>
      <c r="L2" s="1623"/>
      <c r="M2" s="1623"/>
      <c r="N2" s="1623"/>
      <c r="O2" s="1623" t="s">
        <v>512</v>
      </c>
      <c r="P2" s="1623"/>
      <c r="Q2" s="1623"/>
      <c r="R2" s="1625" t="s">
        <v>511</v>
      </c>
      <c r="S2" s="1625" t="s">
        <v>511</v>
      </c>
      <c r="T2" s="1623"/>
      <c r="U2" s="1623"/>
      <c r="V2" s="1619">
        <v>0</v>
      </c>
    </row>
    <row s="1636" customFormat="1" customHeight="1" ht="14.25" hidden="1">
      <c r="C3" s="1620"/>
      <c r="D3" s="2235"/>
      <c r="E3" s="2237"/>
      <c r="F3" s="406"/>
      <c r="G3" s="870"/>
      <c r="H3" s="870" t="s">
        <v>513</v>
      </c>
      <c r="I3" s="314"/>
      <c r="L3" s="1623"/>
      <c r="M3" s="1623"/>
      <c r="N3" s="1623"/>
      <c r="O3" s="1623"/>
      <c r="P3" s="1623"/>
      <c r="Q3" s="1623"/>
      <c r="R3" s="1625"/>
      <c r="S3" s="1625"/>
      <c r="T3" s="1623"/>
      <c r="U3" s="1623"/>
      <c r="V3" s="1619">
        <v>0</v>
      </c>
    </row>
    <row customHeight="1" ht="14.25" hidden="1">
      <c r="V4" s="1608">
        <v>0</v>
      </c>
    </row>
    <row s="1614" customFormat="1" customHeight="1" ht="5.25">
      <c r="C5" s="702"/>
      <c r="D5" s="703"/>
      <c r="E5" s="703"/>
      <c r="F5" s="703"/>
      <c r="G5" s="703"/>
      <c r="H5" s="703" t="s">
        <v>486</v>
      </c>
      <c r="I5" s="703"/>
      <c r="J5" s="703"/>
      <c r="L5" s="1615"/>
      <c r="M5" s="1615"/>
      <c r="N5" s="1615"/>
      <c r="O5" s="1615"/>
      <c r="P5" s="1615"/>
      <c r="Q5" s="1615"/>
      <c r="R5" s="1615"/>
      <c r="S5" s="1615"/>
      <c r="T5" s="1615"/>
      <c r="U5" s="1615"/>
      <c r="V5" s="1614">
        <v>5</v>
      </c>
    </row>
    <row customHeight="1" ht="29.25">
      <c r="C6" s="1517"/>
      <c r="D6" s="2238" t="s">
        <v>514</v>
      </c>
      <c r="E6" s="2238"/>
      <c r="F6" s="2238"/>
      <c r="G6" s="2238"/>
      <c r="H6" s="2238"/>
      <c r="I6" s="2238"/>
      <c r="J6" s="492"/>
      <c r="K6" s="1616"/>
      <c r="V6" s="1608">
        <v>28</v>
      </c>
    </row>
    <row customHeight="1" ht="18">
      <c r="C7" s="1517"/>
      <c r="D7" s="2177" t="str">
        <f>IF(org=0,"Не определено",org)</f>
        <v>ПАО "ТГК-1" (филиал "Кольский")</v>
      </c>
      <c r="E7" s="2177"/>
      <c r="F7" s="2177"/>
      <c r="G7" s="2177"/>
      <c r="H7" s="2177"/>
      <c r="I7" s="2177"/>
      <c r="J7" s="492"/>
      <c r="K7" s="1616"/>
      <c r="V7" s="1608">
        <v>17</v>
      </c>
    </row>
    <row s="1613" customFormat="1" customHeight="1" ht="5.25">
      <c r="A8" s="1612"/>
      <c r="C8" s="487"/>
      <c r="D8" s="486"/>
      <c r="E8" s="486"/>
      <c r="F8" s="486"/>
      <c r="G8" s="486"/>
      <c r="H8" s="486"/>
      <c r="I8" s="486"/>
      <c r="J8" s="486"/>
      <c r="L8" s="1615"/>
      <c r="M8" s="1615"/>
      <c r="N8" s="1615"/>
      <c r="O8" s="1615"/>
      <c r="P8" s="1615"/>
      <c r="Q8" s="1615"/>
      <c r="R8" s="1615"/>
      <c r="S8" s="1615"/>
      <c r="T8" s="1615"/>
      <c r="U8" s="1615"/>
      <c r="V8" s="1613">
        <v>5</v>
      </c>
    </row>
    <row s="1613" customFormat="1" customHeight="1" ht="5.25">
      <c r="A9" s="1612"/>
      <c r="C9" s="487"/>
      <c r="D9" s="486"/>
      <c r="E9" s="486"/>
      <c r="F9" s="486"/>
      <c r="G9" s="486"/>
      <c r="H9" s="486"/>
      <c r="I9" s="486"/>
      <c r="J9" s="486"/>
      <c r="L9" s="1623"/>
      <c r="M9" s="1623"/>
      <c r="N9" s="1623"/>
      <c r="O9" s="1623"/>
      <c r="P9" s="1623"/>
      <c r="Q9" s="1623"/>
      <c r="R9" s="1623"/>
      <c r="S9" s="1623"/>
      <c r="T9" s="1623"/>
      <c r="U9" s="1623"/>
      <c r="V9" s="1613">
        <v>5</v>
      </c>
    </row>
    <row customHeight="1" ht="14.699999999999998">
      <c r="C10" s="1517"/>
      <c r="D10" s="2219" t="s">
        <v>430</v>
      </c>
      <c r="E10" s="2220"/>
      <c r="F10" s="2220"/>
      <c r="G10" s="2220"/>
      <c r="H10" s="2220"/>
      <c r="I10" s="2220"/>
      <c r="J10" s="2224" t="s">
        <v>431</v>
      </c>
      <c r="V10" s="1608">
        <v>14</v>
      </c>
    </row>
    <row customHeight="1" ht="27.299999999999997">
      <c r="C11" s="1517"/>
      <c r="D11" s="2128" t="s">
        <v>92</v>
      </c>
      <c r="E11" s="2224" t="s">
        <v>119</v>
      </c>
      <c r="F11" s="2193" t="s">
        <v>92</v>
      </c>
      <c r="G11" s="2194"/>
      <c r="H11" s="2176" t="s">
        <v>515</v>
      </c>
      <c r="I11" s="2176" t="s">
        <v>516</v>
      </c>
      <c r="J11" s="2224"/>
      <c r="V11" s="1608">
        <v>26</v>
      </c>
    </row>
    <row customHeight="1" ht="14.699999999999998">
      <c r="C12" s="1517"/>
      <c r="D12" s="2128"/>
      <c r="E12" s="2224"/>
      <c r="F12" s="2201"/>
      <c r="G12" s="2202"/>
      <c r="H12" s="2233"/>
      <c r="I12" s="2233"/>
      <c r="J12" s="2224"/>
      <c r="V12" s="1608">
        <v>14</v>
      </c>
    </row>
    <row s="1642" customFormat="1" customHeight="1" ht="11.25" hidden="1">
      <c r="C13" s="499"/>
      <c r="D13" s="500" t="s">
        <v>506</v>
      </c>
      <c r="E13" s="500"/>
      <c r="F13" s="500"/>
      <c r="G13" s="500"/>
      <c r="H13" s="498"/>
      <c r="I13" s="498"/>
      <c r="J13" s="436"/>
      <c r="L13" s="1615"/>
      <c r="M13" s="1615"/>
      <c r="N13" s="1615"/>
      <c r="O13" s="1615"/>
      <c r="P13" s="1615"/>
      <c r="Q13" s="1615"/>
      <c r="R13" s="1615"/>
      <c r="S13" s="1615"/>
      <c r="T13" s="1615"/>
      <c r="U13" s="1615"/>
      <c r="V13" s="497">
        <v>0</v>
      </c>
    </row>
    <row customHeight="1" ht="14.699999999999998">
      <c r="A14" s="1608"/>
      <c r="C14" s="1517"/>
      <c r="D14" s="2234" t="s">
        <v>123</v>
      </c>
      <c r="E14" s="2236"/>
      <c r="F14" s="1618"/>
      <c r="G14" s="1617" t="s">
        <v>123</v>
      </c>
      <c r="H14" s="1624"/>
      <c r="I14" s="1622"/>
      <c r="J14" s="2170" t="s">
        <v>517</v>
      </c>
      <c r="K14" s="1608"/>
      <c r="R14" s="501" t="s">
        <v>511</v>
      </c>
      <c r="S14" s="501" t="s">
        <v>511</v>
      </c>
      <c r="V14" s="1608">
        <v>14</v>
      </c>
    </row>
    <row customHeight="1" ht="14.699999999999998">
      <c r="A15" s="1608"/>
      <c r="C15" s="1517"/>
      <c r="D15" s="2235"/>
      <c r="E15" s="2237"/>
      <c r="F15" s="406"/>
      <c r="G15" s="870"/>
      <c r="H15" s="870" t="s">
        <v>513</v>
      </c>
      <c r="I15" s="314"/>
      <c r="J15" s="2171"/>
      <c r="K15" s="1608"/>
      <c r="R15" s="501"/>
      <c r="S15" s="501"/>
      <c r="V15" s="1608">
        <v>14</v>
      </c>
    </row>
    <row customHeight="1" ht="14.699999999999998">
      <c r="A16" s="1608"/>
      <c r="C16" s="1517"/>
      <c r="D16" s="406"/>
      <c r="E16" s="870" t="s">
        <v>134</v>
      </c>
      <c r="F16" s="314"/>
      <c r="G16" s="314"/>
      <c r="H16" s="407"/>
      <c r="I16" s="407"/>
      <c r="J16" s="2172"/>
      <c r="K16" s="1608"/>
      <c r="V16" s="1608">
        <v>14</v>
      </c>
    </row>
    <row customHeight="1" ht="14.699999999999998">
      <c r="K17" s="1608"/>
      <c r="V17" s="1608">
        <v>14</v>
      </c>
    </row>
    <row customHeight="1" ht="22.5" hidden="1">
      <c r="A18" s="1609" t="s">
        <v>86</v>
      </c>
      <c r="B18" s="1608">
        <v>0</v>
      </c>
      <c r="C18" s="452">
        <v>3</v>
      </c>
      <c r="D18" s="1608">
        <v>5</v>
      </c>
      <c r="E18" s="1608">
        <v>38</v>
      </c>
      <c r="F18" s="1608">
        <v>3</v>
      </c>
      <c r="G18" s="1608">
        <v>3</v>
      </c>
      <c r="H18" s="1608">
        <v>38</v>
      </c>
      <c r="I18" s="1608">
        <v>35</v>
      </c>
      <c r="J18" s="1608">
        <v>103</v>
      </c>
      <c r="K18" s="1610">
        <v>3</v>
      </c>
      <c r="L18" s="1615">
        <v>10</v>
      </c>
      <c r="M18" s="1615">
        <v>10</v>
      </c>
      <c r="N18" s="1615">
        <v>10</v>
      </c>
      <c r="O18" s="1615">
        <v>13</v>
      </c>
      <c r="P18" s="1615">
        <v>15</v>
      </c>
      <c r="Q18" s="1615">
        <v>16</v>
      </c>
      <c r="R18" s="1615">
        <v>10</v>
      </c>
      <c r="S18" s="1615">
        <v>10</v>
      </c>
      <c r="T18" s="1615">
        <v>10</v>
      </c>
      <c r="U18" s="1615">
        <v>10</v>
      </c>
      <c r="V18" s="1608">
        <v>23</v>
      </c>
    </row>
  </sheetData>
  <sheetProtection formatColumns="0" formatRows="0" autoFilter="0" sort="0" insertRows="0" insertColumns="1" deleteRows="0" deleteColumns="0"/>
  <mergeCells count="15">
    <mergeCell ref="H1:I1"/>
    <mergeCell ref="D6:I6"/>
    <mergeCell ref="D7:I7"/>
    <mergeCell ref="D2:D3"/>
    <mergeCell ref="E2:E3"/>
    <mergeCell ref="J14:J16"/>
    <mergeCell ref="D10:I10"/>
    <mergeCell ref="J10:J12"/>
    <mergeCell ref="D11:D12"/>
    <mergeCell ref="E11:E12"/>
    <mergeCell ref="F11:G12"/>
    <mergeCell ref="H11:H12"/>
    <mergeCell ref="I11:I12"/>
    <mergeCell ref="D14:D15"/>
    <mergeCell ref="E14:E15"/>
  </mergeCells>
  <dataValidations count="5">
    <dataValidation type="textLength" operator="lessThanOrEqual" allowBlank="1" showInputMessage="1" showErrorMessage="1" errorTitle="Ошибка" error="Допускается ввод не более 900 символов!" sqref="H14 H2">
      <formula1>900</formula1>
    </dataValidation>
    <dataValidation allowBlank="1" showErrorMessage="1" errorTitle="Ошибка" error="Допускается ввод только неотрицательных чисел!" sqref="E13:G13"/>
    <dataValidation type="decimal" allowBlank="1" showErrorMessage="1" errorTitle="Ошибка" error="Допускается ввод только неотрицательных чисел!" sqref="H13:I13">
      <formula1>0</formula1>
      <formula2>9.99999999999999E+23</formula2>
    </dataValidation>
    <dataValidation allowBlank="1" showInputMessage="1" showErrorMessage="1" prompt="Выберите один или несколько одновременно видов деятельности, выполнив последовательно по одному щелчку на строке с видом деятельности" sqref="E14 E2"/>
    <dataValidation type="whole" allowBlank="1" showErrorMessage="1" errorTitle="Ошибка" error="Допускается ввод только неотрицательных целых чисел!" sqref="I14 I2">
      <formula1>0</formula1>
      <formula2>9.99999999999999E+23</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Листы</vt:lpstr>
      </vt:variant>
      <vt:variant>
        <vt:i4>1</vt:i4>
      </vt:variant>
      <vt:variant>
        <vt:lpstr>Именованные диапазоны</vt:lpstr>
      </vt:variant>
      <vt:variant>
        <vt:i4>2199</vt:i4>
      </vt:variant>
    </vt:vector>
  </HeadingPairs>
  <TitlesOfParts>
    <vt:vector size="2200" baseType="lpstr">
      <vt:lpstr>Инструкция</vt:lpstr>
      <vt:lpstr>B_FHD_CHECK_INDEX_1</vt:lpstr>
      <vt:lpstr>B_FHD_CHECK_INDEX_2</vt:lpstr>
      <vt:lpstr>B_FHD_COSTS_INDEX_1</vt:lpstr>
      <vt:lpstr>B_FHD_COSTS_INDEX_2</vt:lpstr>
      <vt:lpstr>B_FHD_DATA_TOP80_ACTIVITY</vt:lpstr>
      <vt:lpstr>B_FHD_diff_1</vt:lpstr>
      <vt:lpstr>B_FHD_FLAG_DIFFERENTIATION</vt:lpstr>
      <vt:lpstr>B_FHD_FLAG_INDEX_1</vt:lpstr>
      <vt:lpstr>B_FHD_FLAG_INDEX_2</vt:lpstr>
      <vt:lpstr>B_FHD_TKO_DATA_TOP80_ACTIVITY</vt:lpstr>
      <vt:lpstr>B_FHD_TKO_diff_1</vt:lpstr>
      <vt:lpstr>B_FHD_TKO_FLAG_DIFFERENTIATION</vt:lpstr>
      <vt:lpstr>B_FHD_TKO_TRANS_DATA_TOP80_ACTIVITY</vt:lpstr>
      <vt:lpstr>B_FHD_TKO_TRANS_diff_1</vt:lpstr>
      <vt:lpstr>B_FHD_TKO_TRANS_FLAG_DIFFERENTIATION</vt:lpstr>
      <vt:lpstr>B_FHD20_ADD_HL_2_COLUMN_MARKER</vt:lpstr>
      <vt:lpstr>B_FHD20_ADD_HL_3_COLUMN_MARKER</vt:lpstr>
      <vt:lpstr>B_FHD20_ADD_HL_4_COLUMN_MARKER</vt:lpstr>
      <vt:lpstr>B_FHD20_ALL_DATA</vt:lpstr>
      <vt:lpstr>B_FHD20_COSTS_OPS_diff_1</vt:lpstr>
      <vt:lpstr>B_FHD20_COSTS_PH_diff_1</vt:lpstr>
      <vt:lpstr>B_FHD20_DEL_HL_2_COLUMN_MARKER</vt:lpstr>
      <vt:lpstr>B_FHD20_DEL_HL_3_COLUMN_MARKER</vt:lpstr>
      <vt:lpstr>B_FHD20_DEL_HL_4_COLUMN_MARKER</vt:lpstr>
      <vt:lpstr>B_FHD20_diff_1</vt:lpstr>
      <vt:lpstr>B_FHD20_FLAG_FHD</vt:lpstr>
      <vt:lpstr>B_FHD20_NUMBER_COLUMN_MARKER</vt:lpstr>
      <vt:lpstr>B_FHD20_PART_COLUMN_MARKER</vt:lpstr>
      <vt:lpstr>B_KNE_diff_1</vt:lpstr>
      <vt:lpstr>B_OTEP_diff_1</vt:lpstr>
      <vt:lpstr>B_OTEP_FLAG_DIFFERENTIATION</vt:lpstr>
      <vt:lpstr>B_OTEP_HEAT_DATA_TOP80_ACTIVITY</vt:lpstr>
      <vt:lpstr>BLOCK_BALANCE_INDICATORS</vt:lpstr>
      <vt:lpstr>BLOCK_BALANCE_TKO_FLAG_TRANS</vt:lpstr>
      <vt:lpstr>BLOCK_CONNECTION_STATE</vt:lpstr>
      <vt:lpstr>BLOCK_DIFF_CS</vt:lpstr>
      <vt:lpstr>BLOCK_DIFFERENTIATION_NOT_TKO</vt:lpstr>
      <vt:lpstr>BLOCK_FIRST_TARIFF</vt:lpstr>
      <vt:lpstr>BLOCK_FIRST_TARIFF_OREG_PUBL</vt:lpstr>
      <vt:lpstr>BLOCK_IP_DETAILED_FACT_IST_FIN</vt:lpstr>
      <vt:lpstr>BLOCK_IP_DETAILED_FACT_PERIOD_EVENT</vt:lpstr>
      <vt:lpstr>BLOCK_MAIN_INFO_HEAT</vt:lpstr>
      <vt:lpstr>BLOCK_MAIN_INFO_NOT_TKO</vt:lpstr>
      <vt:lpstr>BLOCK_MAIN_INFO_OBJECT_COLDVSNA</vt:lpstr>
      <vt:lpstr>BLOCK_MAIN_INFO_OBJECT_COMM_COLDVSNA</vt:lpstr>
      <vt:lpstr>BLOCK_MAIN_INFO_OBJECT_COMM_HEAT</vt:lpstr>
      <vt:lpstr>BLOCK_MAIN_INFO_OBJECT_COMM_HOTVSNA</vt:lpstr>
      <vt:lpstr>BLOCK_MAIN_INFO_OBJECT_COMM_VOTV</vt:lpstr>
      <vt:lpstr>BLOCK_MAIN_INFO_OBJECT_HEAT</vt:lpstr>
      <vt:lpstr>BLOCK_MAIN_INFO_OBJECT_HOTVSNA</vt:lpstr>
      <vt:lpstr>BLOCK_MAIN_INFO_OBJECT_VOTV</vt:lpstr>
      <vt:lpstr>BLOCK_NOT_ROIV_INDICATORS_1</vt:lpstr>
      <vt:lpstr>BLOCK_NOT_ROIV_INDICATORS_2</vt:lpstr>
      <vt:lpstr>BLOCK_NOT_ROIV_INDICATORS_3</vt:lpstr>
      <vt:lpstr>BLOCK_NOTE_P_TARIFF_A</vt:lpstr>
      <vt:lpstr>BLOCK_NOTE_P_TARIFF_A_COLDVSNA</vt:lpstr>
      <vt:lpstr>BLOCK_NOTE_P_TARIFF_A_HOTVSNA</vt:lpstr>
      <vt:lpstr>BLOCK_NOTE_P_TARIFF_A_VOTV</vt:lpstr>
      <vt:lpstr>BLOCK_NOTE_P_TARIFF_B</vt:lpstr>
      <vt:lpstr>BLOCK_NOTE_P_TARIFF_B_COLDVSNA</vt:lpstr>
      <vt:lpstr>BLOCK_NOTE_P_TARIFF_B_HOTVSNA</vt:lpstr>
      <vt:lpstr>BLOCK_NOTE_P_TARIFF_B_VOTV</vt:lpstr>
      <vt:lpstr>BLOCK_NOTE_P_TARIFF_C</vt:lpstr>
      <vt:lpstr>BLOCK_NOTE_P_TARIFF_C_COLDVSNA</vt:lpstr>
      <vt:lpstr>BLOCK_NOTE_P_TARIFF_C_HOTVSNA</vt:lpstr>
      <vt:lpstr>BLOCK_NOTE_P_TARIFF_C_VOTV</vt:lpstr>
      <vt:lpstr>BLOCK_NOTE_P_TARIFF_D</vt:lpstr>
      <vt:lpstr>BLOCK_NOTE_P_TARIFF_D_COLDVSNA</vt:lpstr>
      <vt:lpstr>BLOCK_NOTE_P_TARIFF_E_COLDVSNA</vt:lpstr>
      <vt:lpstr>BLOCK_NOTE_P_TARIFF_E1</vt:lpstr>
      <vt:lpstr>BLOCK_NOTE_P_TARIFF_E2</vt:lpstr>
      <vt:lpstr>BLOCK_NOTE_P_TARIFF_F</vt:lpstr>
      <vt:lpstr>BLOCK_NOTE_P_TARIFF_G</vt:lpstr>
      <vt:lpstr>BLOCK_NOTE_P_TARIFF_H</vt:lpstr>
      <vt:lpstr>BLOCK_NOTE_P_TARIFF_I</vt:lpstr>
      <vt:lpstr>BLOCK_NOTE_P_TARIFF_I_1</vt:lpstr>
      <vt:lpstr>BLOCK_NOTE_R_TARIFF_A</vt:lpstr>
      <vt:lpstr>BLOCK_NOTE_R_TARIFF_A_COLDVSNA</vt:lpstr>
      <vt:lpstr>BLOCK_NOTE_R_TARIFF_A_HOTVSNA</vt:lpstr>
      <vt:lpstr>BLOCK_NOTE_R_TARIFF_A_VOTV</vt:lpstr>
      <vt:lpstr>BLOCK_NOTE_R_TARIFF_B</vt:lpstr>
      <vt:lpstr>BLOCK_NOTE_R_TARIFF_B_COLDVSNA</vt:lpstr>
      <vt:lpstr>BLOCK_NOTE_R_TARIFF_B_HOTVSNA</vt:lpstr>
      <vt:lpstr>BLOCK_NOTE_R_TARIFF_B_VOTV</vt:lpstr>
      <vt:lpstr>BLOCK_NOTE_R_TARIFF_C</vt:lpstr>
      <vt:lpstr>BLOCK_NOTE_R_TARIFF_C_COLDVSNA</vt:lpstr>
      <vt:lpstr>BLOCK_NOTE_R_TARIFF_C_HOTVSNA</vt:lpstr>
      <vt:lpstr>BLOCK_NOTE_R_TARIFF_C_VOTV</vt:lpstr>
      <vt:lpstr>BLOCK_NOTE_R_TARIFF_D</vt:lpstr>
      <vt:lpstr>BLOCK_NOTE_R_TARIFF_D_COLDVSNA</vt:lpstr>
      <vt:lpstr>BLOCK_NOTE_R_TARIFF_E_COLDVSNA</vt:lpstr>
      <vt:lpstr>BLOCK_NOTE_R_TARIFF_E1</vt:lpstr>
      <vt:lpstr>BLOCK_NOTE_R_TARIFF_E2</vt:lpstr>
      <vt:lpstr>BLOCK_NOTE_R_TARIFF_F</vt:lpstr>
      <vt:lpstr>BLOCK_NOTE_R_TARIFF_G</vt:lpstr>
      <vt:lpstr>BLOCK_NOTE_R_TARIFF_H</vt:lpstr>
      <vt:lpstr>BLOCK_NOTE_R_TARIFF_I</vt:lpstr>
      <vt:lpstr>BLOCK_NOTE_R_TARIFF_I_1</vt:lpstr>
      <vt:lpstr>BLOCK_PERIOD_DATA</vt:lpstr>
      <vt:lpstr>BLOCK_PERIOD_QUARTER</vt:lpstr>
      <vt:lpstr>BLOCK_PERIOD_TWO_DATA</vt:lpstr>
      <vt:lpstr>BLOCK_PERIOD_YEAR</vt:lpstr>
      <vt:lpstr>BLOCK_POK_FHD_COLDVSNA_P1</vt:lpstr>
      <vt:lpstr>BLOCK_POK_FHD_COLDVSNA_P2</vt:lpstr>
      <vt:lpstr>BLOCK_POK_FHD_HEAT_ONLY_REG_ORG_P1</vt:lpstr>
      <vt:lpstr>BLOCK_POK_FHD_HEAT_ONLY_REG_ORG_P2</vt:lpstr>
      <vt:lpstr>BLOCK_POK_FHD_HEAT_P1</vt:lpstr>
      <vt:lpstr>BLOCK_POK_FHD_HEAT_P2</vt:lpstr>
      <vt:lpstr>BLOCK_POK_FHD_HEAT_P3</vt:lpstr>
      <vt:lpstr>BLOCK_POK_FHD_HEAT_P4</vt:lpstr>
      <vt:lpstr>BLOCK_POK_FHD_HEAT_P5</vt:lpstr>
      <vt:lpstr>BLOCK_POK_FHD_HEAT_P6</vt:lpstr>
      <vt:lpstr>BLOCK_POK_FHD_HOTVSNA_P1</vt:lpstr>
      <vt:lpstr>BLOCK_POK_FHD_HOTVSNA_P2</vt:lpstr>
      <vt:lpstr>BLOCK_POK_FHD_NOT_HEAT_P1</vt:lpstr>
      <vt:lpstr>BLOCK_POK_FHD_NOT_HEAT_P2</vt:lpstr>
      <vt:lpstr>BLOCK_POK_FHD_NOT_HOTVSNA</vt:lpstr>
      <vt:lpstr>BLOCK_POK_FHD_VOTV_P1</vt:lpstr>
      <vt:lpstr>BLOCK_POK_FHD_VSNA</vt:lpstr>
      <vt:lpstr>BLOCK_POK_FHD20_NOT_HEAT</vt:lpstr>
      <vt:lpstr>BLOCK_POK_KNE_COLDVSNA</vt:lpstr>
      <vt:lpstr>BLOCK_POK_KNE_HEAT</vt:lpstr>
      <vt:lpstr>BLOCK_POK_KNE_HOTVSNA</vt:lpstr>
      <vt:lpstr>BLOCK_POK_KNE_VOTV</vt:lpstr>
      <vt:lpstr>BLOCK_PRICE_INDICATORS_HEAT</vt:lpstr>
      <vt:lpstr>BLOCK_PRICE_INDICATORS_LEVEL</vt:lpstr>
      <vt:lpstr>BLOCK_PRICE_IST_TE</vt:lpstr>
      <vt:lpstr>BLOCK_PRICE_REQUEST</vt:lpstr>
      <vt:lpstr>BLOCK_PT_COLDVSNA</vt:lpstr>
      <vt:lpstr>BLOCK_PT_HEAT</vt:lpstr>
      <vt:lpstr>BLOCK_PT_HEAT_NOT_R</vt:lpstr>
      <vt:lpstr>BLOCK_PT_HEAT_NOT_R_TMP</vt:lpstr>
      <vt:lpstr>BLOCK_PT_HEAT_PHEAT</vt:lpstr>
      <vt:lpstr>BLOCK_PT_HEAT_PHEAT_HIDDEN_FORMULAS</vt:lpstr>
      <vt:lpstr>BLOCK_PT_HEAT_RHEAT</vt:lpstr>
      <vt:lpstr>BLOCK_PT_HEAT_RHEAT_HIDDEN_FORMULAS</vt:lpstr>
      <vt:lpstr>BLOCK_PT_HOTVSNA</vt:lpstr>
      <vt:lpstr>BLOCK_PT_VOTV</vt:lpstr>
      <vt:lpstr>BLOCK_TABLE_P_TARIFF_A</vt:lpstr>
      <vt:lpstr>BLOCK_TABLE_P_TARIFF_A_COLDVSNA</vt:lpstr>
      <vt:lpstr>BLOCK_TABLE_P_TARIFF_A_HOTVSNA</vt:lpstr>
      <vt:lpstr>BLOCK_TABLE_P_TARIFF_A_VOTV</vt:lpstr>
      <vt:lpstr>BLOCK_TABLE_P_TARIFF_B</vt:lpstr>
      <vt:lpstr>BLOCK_TABLE_P_TARIFF_B_COLDVSNA</vt:lpstr>
      <vt:lpstr>BLOCK_TABLE_P_TARIFF_B_HOTVSNA</vt:lpstr>
      <vt:lpstr>BLOCK_TABLE_P_TARIFF_B_VOTV</vt:lpstr>
      <vt:lpstr>BLOCK_TABLE_P_TARIFF_C</vt:lpstr>
      <vt:lpstr>BLOCK_TABLE_P_TARIFF_C_COLDVSNA</vt:lpstr>
      <vt:lpstr>BLOCK_TABLE_P_TARIFF_C_HOTVSNA</vt:lpstr>
      <vt:lpstr>BLOCK_TABLE_P_TARIFF_C_VOTV</vt:lpstr>
      <vt:lpstr>BLOCK_TABLE_P_TARIFF_D</vt:lpstr>
      <vt:lpstr>BLOCK_TABLE_P_TARIFF_D_COLDVSNA</vt:lpstr>
      <vt:lpstr>BLOCK_TABLE_P_TARIFF_E_COLDVSNA</vt:lpstr>
      <vt:lpstr>BLOCK_TABLE_P_TARIFF_E1</vt:lpstr>
      <vt:lpstr>BLOCK_TABLE_P_TARIFF_E2</vt:lpstr>
      <vt:lpstr>BLOCK_TABLE_P_TARIFF_F</vt:lpstr>
      <vt:lpstr>BLOCK_TABLE_P_TARIFF_G</vt:lpstr>
      <vt:lpstr>BLOCK_TABLE_P_TARIFF_H</vt:lpstr>
      <vt:lpstr>BLOCK_TABLE_P_TARIFF_I</vt:lpstr>
      <vt:lpstr>BLOCK_TABLE_P_TARIFF_I_1</vt:lpstr>
      <vt:lpstr>BLOCK_TABLE_R_TARIFF_A</vt:lpstr>
      <vt:lpstr>BLOCK_TABLE_R_TARIFF_A_COLDVSNA</vt:lpstr>
      <vt:lpstr>BLOCK_TABLE_R_TARIFF_A_HOTVSNA</vt:lpstr>
      <vt:lpstr>BLOCK_TABLE_R_TARIFF_A_VOTV</vt:lpstr>
      <vt:lpstr>BLOCK_TABLE_R_TARIFF_B</vt:lpstr>
      <vt:lpstr>BLOCK_TABLE_R_TARIFF_B_COLDVSNA</vt:lpstr>
      <vt:lpstr>BLOCK_TABLE_R_TARIFF_B_HOTVSNA</vt:lpstr>
      <vt:lpstr>BLOCK_TABLE_R_TARIFF_B_VOTV</vt:lpstr>
      <vt:lpstr>BLOCK_TABLE_R_TARIFF_C</vt:lpstr>
      <vt:lpstr>BLOCK_TABLE_R_TARIFF_C_COLDVSNA</vt:lpstr>
      <vt:lpstr>BLOCK_TABLE_R_TARIFF_C_HOTVSNA</vt:lpstr>
      <vt:lpstr>BLOCK_TABLE_R_TARIFF_C_VOTV</vt:lpstr>
      <vt:lpstr>BLOCK_TABLE_R_TARIFF_D</vt:lpstr>
      <vt:lpstr>BLOCK_TABLE_R_TARIFF_D_COLDVSNA</vt:lpstr>
      <vt:lpstr>BLOCK_TABLE_R_TARIFF_E_COLDVSNA</vt:lpstr>
      <vt:lpstr>BLOCK_TABLE_R_TARIFF_E1</vt:lpstr>
      <vt:lpstr>BLOCK_TABLE_R_TARIFF_E2</vt:lpstr>
      <vt:lpstr>BLOCK_TABLE_R_TARIFF_F</vt:lpstr>
      <vt:lpstr>BLOCK_TABLE_R_TARIFF_G</vt:lpstr>
      <vt:lpstr>BLOCK_TABLE_R_TARIFF_H</vt:lpstr>
      <vt:lpstr>BLOCK_TABLE_R_TARIFF_I</vt:lpstr>
      <vt:lpstr>BLOCK_TABLE_R_TARIFF_I_1</vt:lpstr>
      <vt:lpstr>BLOCK_TEMPLATES_INVEST_TIT</vt:lpstr>
      <vt:lpstr>BLOCK_TERMS_HEAT_P1</vt:lpstr>
      <vt:lpstr>BLOCK_TERMS_NOT_TKO_P1</vt:lpstr>
      <vt:lpstr>BLOCK_TERMS_NOT_TKO_P2</vt:lpstr>
      <vt:lpstr>BLOCK_TERMS_TKO_TRANS</vt:lpstr>
      <vt:lpstr>BLOCK_TERRITORY_INFO</vt:lpstr>
      <vt:lpstr>BLOCK_TITLE_ROIV_INFO</vt:lpstr>
      <vt:lpstr>BLOCK_WARM_ORG_TYPE</vt:lpstr>
      <vt:lpstr>checkCell_List01</vt:lpstr>
      <vt:lpstr>checkCell_List07</vt:lpstr>
      <vt:lpstr>CLASS_TKO_LIST</vt:lpstr>
      <vt:lpstr>code</vt:lpstr>
      <vt:lpstr>CodeTemplateList</vt:lpstr>
      <vt:lpstr>COLDVSNA_FIN_SRC_LIST</vt:lpstr>
      <vt:lpstr>COLDVSNA_FIN_SRC_VLD_LIST</vt:lpstr>
      <vt:lpstr>COLDVSNA_IP_EVENT_CI_STAGE_LIST</vt:lpstr>
      <vt:lpstr>COLDVSNA_IP_EVENT_GROUP_LIST</vt:lpstr>
      <vt:lpstr>COLDVSNA_IP_EVENT_SUBGROUP_1_LIST</vt:lpstr>
      <vt:lpstr>COLDVSNA_IP_EVENT_SUBGROUP_3_LIST</vt:lpstr>
      <vt:lpstr>COLDVSNA_IP_EVENT_SUBGROUP_5_LIST</vt:lpstr>
      <vt:lpstr>COLDVSNA_IP_EVENT_TYPE_LIST</vt:lpstr>
      <vt:lpstr>COLDVSNA_PT_VED_ID</vt:lpstr>
      <vt:lpstr>COLDVSNA_PT_VED_NAME</vt:lpstr>
      <vt:lpstr>COLDVSNA_PT_VED_NAME_LIST</vt:lpstr>
      <vt:lpstr>COLDVSNA_TARIFF_A_COLDVSNA_ADD_HL_COLUMN_MARKER</vt:lpstr>
      <vt:lpstr>COLDVSNA_TARIFF_A_COLDVSNA_DEL_HL_DATA_DIFF_COLUMN_MARKER</vt:lpstr>
      <vt:lpstr>COLDVSNA_TARIFF_A_COLDVSNA_DEL_HL_FLAG_DIFF_COLUMN_MARKER</vt:lpstr>
      <vt:lpstr>COLDVSNA_TARIFF_A_COLDVSNA_DEL_HL_GC_COLUMN_MARKER</vt:lpstr>
      <vt:lpstr>COLDVSNA_TARIFF_A_COLDVSNA_DELETE_PERIOD_ROW_MARKER</vt:lpstr>
      <vt:lpstr>COLDVSNA_TARIFF_A_COLDVSNA_FLAG_BLOCK_COLUMN_MARKER</vt:lpstr>
      <vt:lpstr>COLDVSNA_TARIFF_A_COLDVSNA_FLAG_BLOCK_ROW_MARKER</vt:lpstr>
      <vt:lpstr>COLDVSNA_TARIFF_A_COLDVSNA_NUM_CS_COLUMN_MARKER</vt:lpstr>
      <vt:lpstr>COLDVSNA_TARIFF_A_COLDVSNA_NUM_DATA_DIFF_COLUMN_MARKER</vt:lpstr>
      <vt:lpstr>COLDVSNA_TARIFF_A_COLDVSNA_NUM_FLAG_DIFF_COLUMN_MARKER</vt:lpstr>
      <vt:lpstr>COLDVSNA_TARIFF_A_COLDVSNA_NUM_GC_COLUMN_MARKER</vt:lpstr>
      <vt:lpstr>COLDVSNA_TARIFF_A_COLDVSNA_NUM_NTAR_COLUMN_MARKER</vt:lpstr>
      <vt:lpstr>COLDVSNA_TARIFF_A_COLDVSNA_NUM_TER_COLUMN_MARKER</vt:lpstr>
      <vt:lpstr>COLDVSNA_TARIFF_B_COLDVSNA_ADD_HL_COLUMN_MARKER</vt:lpstr>
      <vt:lpstr>COLDVSNA_TARIFF_B_COLDVSNA_DEL_HL_DATA_DIFF_COLUMN_MARKER</vt:lpstr>
      <vt:lpstr>COLDVSNA_TARIFF_B_COLDVSNA_DEL_HL_FLAG_DIFF_COLUMN_MARKER</vt:lpstr>
      <vt:lpstr>COLDVSNA_TARIFF_B_COLDVSNA_DEL_HL_GC_COLUMN_MARKER</vt:lpstr>
      <vt:lpstr>COLDVSNA_TARIFF_B_COLDVSNA_DELETE_PERIOD_ROW_MARKER</vt:lpstr>
      <vt:lpstr>COLDVSNA_TARIFF_B_COLDVSNA_FLAG_BLOCK_COLUMN_MARKER</vt:lpstr>
      <vt:lpstr>COLDVSNA_TARIFF_B_COLDVSNA_FLAG_BLOCK_ROW_MARKER</vt:lpstr>
      <vt:lpstr>COLDVSNA_TARIFF_B_COLDVSNA_NUM_CS_COLUMN_MARKER</vt:lpstr>
      <vt:lpstr>COLDVSNA_TARIFF_B_COLDVSNA_NUM_DATA_DIFF_COLUMN_MARKER</vt:lpstr>
      <vt:lpstr>COLDVSNA_TARIFF_B_COLDVSNA_NUM_FLAG_DIFF_COLUMN_MARKER</vt:lpstr>
      <vt:lpstr>COLDVSNA_TARIFF_B_COLDVSNA_NUM_GC_COLUMN_MARKER</vt:lpstr>
      <vt:lpstr>COLDVSNA_TARIFF_B_COLDVSNA_NUM_NTAR_COLUMN_MARKER</vt:lpstr>
      <vt:lpstr>COLDVSNA_TARIFF_B_COLDVSNA_NUM_TER_COLUMN_MARKER</vt:lpstr>
      <vt:lpstr>COLDVSNA_TARIFF_C_COLDVSNA_ADD_HL_COLUMN_MARKER</vt:lpstr>
      <vt:lpstr>COLDVSNA_TARIFF_C_COLDVSNA_DEL_HL_DATA_DIFF_COLUMN_MARKER</vt:lpstr>
      <vt:lpstr>COLDVSNA_TARIFF_C_COLDVSNA_DEL_HL_FLAG_DIFF_COLUMN_MARKER</vt:lpstr>
      <vt:lpstr>COLDVSNA_TARIFF_C_COLDVSNA_DEL_HL_GC_COLUMN_MARKER</vt:lpstr>
      <vt:lpstr>COLDVSNA_TARIFF_C_COLDVSNA_DELETE_PERIOD_ROW_MARKER</vt:lpstr>
      <vt:lpstr>COLDVSNA_TARIFF_C_COLDVSNA_FLAG_BLOCK_COLUMN_MARKER</vt:lpstr>
      <vt:lpstr>COLDVSNA_TARIFF_C_COLDVSNA_FLAG_BLOCK_ROW_MARKER</vt:lpstr>
      <vt:lpstr>COLDVSNA_TARIFF_C_COLDVSNA_NUM_CS_COLUMN_MARKER</vt:lpstr>
      <vt:lpstr>COLDVSNA_TARIFF_C_COLDVSNA_NUM_DATA_DIFF_COLUMN_MARKER</vt:lpstr>
      <vt:lpstr>COLDVSNA_TARIFF_C_COLDVSNA_NUM_FLAG_DIFF_COLUMN_MARKER</vt:lpstr>
      <vt:lpstr>COLDVSNA_TARIFF_C_COLDVSNA_NUM_GC_COLUMN_MARKER</vt:lpstr>
      <vt:lpstr>COLDVSNA_TARIFF_C_COLDVSNA_NUM_NTAR_COLUMN_MARKER</vt:lpstr>
      <vt:lpstr>COLDVSNA_TARIFF_C_COLDVSNA_NUM_TER_COLUMN_MARKER</vt:lpstr>
      <vt:lpstr>COLDVSNA_TARIFF_D_COLDVSNA_ADD_HL_COLUMN_MARKER</vt:lpstr>
      <vt:lpstr>COLDVSNA_TARIFF_D_COLDVSNA_DEL_HL_DATA_DIFF_COLUMN_MARKER</vt:lpstr>
      <vt:lpstr>COLDVSNA_TARIFF_D_COLDVSNA_DEL_HL_FLAG_DIFF_COLUMN_MARKER</vt:lpstr>
      <vt:lpstr>COLDVSNA_TARIFF_D_COLDVSNA_DEL_HL_GC_COLUMN_MARKER</vt:lpstr>
      <vt:lpstr>COLDVSNA_TARIFF_D_COLDVSNA_DELETE_PERIOD_ROW_MARKER</vt:lpstr>
      <vt:lpstr>COLDVSNA_TARIFF_D_COLDVSNA_FLAG_BLOCK_COLUMN_MARKER</vt:lpstr>
      <vt:lpstr>COLDVSNA_TARIFF_D_COLDVSNA_FLAG_BLOCK_ROW_MARKER</vt:lpstr>
      <vt:lpstr>COLDVSNA_TARIFF_D_COLDVSNA_NUM_CS_COLUMN_MARKER</vt:lpstr>
      <vt:lpstr>COLDVSNA_TARIFF_D_COLDVSNA_NUM_DATA_DIFF_COLUMN_MARKER</vt:lpstr>
      <vt:lpstr>COLDVSNA_TARIFF_D_COLDVSNA_NUM_FLAG_DIFF_COLUMN_MARKER</vt:lpstr>
      <vt:lpstr>COLDVSNA_TARIFF_D_COLDVSNA_NUM_GC_COLUMN_MARKER</vt:lpstr>
      <vt:lpstr>COLDVSNA_TARIFF_D_COLDVSNA_NUM_NTAR_COLUMN_MARKER</vt:lpstr>
      <vt:lpstr>COLDVSNA_TARIFF_D_COLDVSNA_NUM_TER_COLUMN_MARKER</vt:lpstr>
      <vt:lpstr>COLDVSNA_TARIFF_E_COLDVSNA_ADD_HL_COLUMN_MARKER</vt:lpstr>
      <vt:lpstr>COLDVSNA_TARIFF_E_COLDVSNA_ADD_HL_DIAMETERS_COLUMN_MARKER</vt:lpstr>
      <vt:lpstr>COLDVSNA_TARIFF_E_COLDVSNA_ADD_HL_LEN_COLUMN_MARKER</vt:lpstr>
      <vt:lpstr>COLDVSNA_TARIFF_E_COLDVSNA_ADD_HL_LOAD_COLUMN_MARKER</vt:lpstr>
      <vt:lpstr>COLDVSNA_TARIFF_E_COLDVSNA_ADD_HL_NETS_COLUMN_MARKER</vt:lpstr>
      <vt:lpstr>COLDVSNA_TARIFF_E_COLDVSNA_DEL_HL_DATA_DIFF_COLUMN_MARKER</vt:lpstr>
      <vt:lpstr>COLDVSNA_TARIFF_E_COLDVSNA_DEL_HL_DIAMETERS_COLUMN_MARKER</vt:lpstr>
      <vt:lpstr>COLDVSNA_TARIFF_E_COLDVSNA_DEL_HL_FLAG_DIFF_COLUMN_MARKER</vt:lpstr>
      <vt:lpstr>COLDVSNA_TARIFF_E_COLDVSNA_DEL_HL_GC_COLUMN_MARKER</vt:lpstr>
      <vt:lpstr>COLDVSNA_TARIFF_E_COLDVSNA_DEL_HL_LEN_COLUMN_MARKER</vt:lpstr>
      <vt:lpstr>COLDVSNA_TARIFF_E_COLDVSNA_DEL_HL_LOAD_COLUMN_MARKER</vt:lpstr>
      <vt:lpstr>COLDVSNA_TARIFF_E_COLDVSNA_DEL_HL_NETS_COLUMN_MARKER</vt:lpstr>
      <vt:lpstr>COLDVSNA_TARIFF_E_COLDVSNA_DELETE_PERIOD_ROW_MARKER</vt:lpstr>
      <vt:lpstr>COLDVSNA_TARIFF_E_COLDVSNA_FLAG_BLOCK_COLUMN_MARKER</vt:lpstr>
      <vt:lpstr>COLDVSNA_TARIFF_E_COLDVSNA_FLAG_BLOCK_ROW_MARKER</vt:lpstr>
      <vt:lpstr>COLDVSNA_TARIFF_E_COLDVSNA_NUM_CS_COLUMN_MARKER</vt:lpstr>
      <vt:lpstr>COLDVSNA_TARIFF_E_COLDVSNA_NUM_DATA_DIFF_COLUMN_MARKER</vt:lpstr>
      <vt:lpstr>COLDVSNA_TARIFF_E_COLDVSNA_NUM_DIAMETERS_COLUMN_MARKER</vt:lpstr>
      <vt:lpstr>COLDVSNA_TARIFF_E_COLDVSNA_NUM_FLAG_DIFF_COLUMN_MARKER</vt:lpstr>
      <vt:lpstr>COLDVSNA_TARIFF_E_COLDVSNA_NUM_GC_COLUMN_MARKER</vt:lpstr>
      <vt:lpstr>COLDVSNA_TARIFF_E_COLDVSNA_NUM_LEN_COLUMN_MARKER</vt:lpstr>
      <vt:lpstr>COLDVSNA_TARIFF_E_COLDVSNA_NUM_LOAD_COLUMN_MARKER</vt:lpstr>
      <vt:lpstr>COLDVSNA_TARIFF_E_COLDVSNA_NUM_NETS_COLUMN_MARKER</vt:lpstr>
      <vt:lpstr>COLDVSNA_TARIFF_E_COLDVSNA_NUM_NTAR_COLUMN_MARKER</vt:lpstr>
      <vt:lpstr>COLDVSNA_TARIFF_E_COLDVSNA_NUM_TER_COLUMN_MARKER</vt:lpstr>
      <vt:lpstr>cross_without_borders</vt:lpstr>
      <vt:lpstr>CS_ID</vt:lpstr>
      <vt:lpstr>CURRENT_DATE</vt:lpstr>
      <vt:lpstr>CURRENT_YEAR</vt:lpstr>
      <vt:lpstr>DATA_URL</vt:lpstr>
      <vt:lpstr>DESCRIPTION_TERRITORY</vt:lpstr>
      <vt:lpstr>DIFFERENTIATION_AREA</vt:lpstr>
      <vt:lpstr>DIFFERENTIATION_AREA_ID</vt:lpstr>
      <vt:lpstr>DIFFERENTIATION_CheckC</vt:lpstr>
      <vt:lpstr>DIFFERENTIATION_fieldMarker</vt:lpstr>
      <vt:lpstr>DIFFERENTIATION_ID</vt:lpstr>
      <vt:lpstr>DIFFERENTIATION_ID_DIFF</vt:lpstr>
      <vt:lpstr>DIFFERENTIATION_SYSTEM</vt:lpstr>
      <vt:lpstr>DIFFERENTIATION_TARIFF_AREA_ID</vt:lpstr>
      <vt:lpstr>DIFFERENTIATION_TARIFF_VD_ID</vt:lpstr>
      <vt:lpstr>DIFFERENTIATION_TARIFF_VTAR_ID</vt:lpstr>
      <vt:lpstr>DIFFERENTIATION_TKO_ADD_HL_CLASS_TKO_COLUMN_MARKER</vt:lpstr>
      <vt:lpstr>DIFFERENTIATION_TKO_ADD_HL_NTAR_COLUMN_MARKER</vt:lpstr>
      <vt:lpstr>DIFFERENTIATION_TKO_ADD_HL_TER_COLUMN_MARKER</vt:lpstr>
      <vt:lpstr>DIFFERENTIATION_TKO_ADD_HL_TO_COLUMN_MARKER</vt:lpstr>
      <vt:lpstr>DIFFERENTIATION_TKO_ADD_HL_TYPE_TKO_COLUMN_MARKER</vt:lpstr>
      <vt:lpstr>DIFFERENTIATION_TKO_ADD_HL_VTAR_COLUMN_MARKER</vt:lpstr>
      <vt:lpstr>DIFFERENTIATION_TKO_AREA_ID</vt:lpstr>
      <vt:lpstr>DIFFERENTIATION_TKO_DEL_HL_CLASS_TKO_COLUMN_MARKER</vt:lpstr>
      <vt:lpstr>DIFFERENTIATION_TKO_DEL_HL_NTAR_COLUMN_MARKER</vt:lpstr>
      <vt:lpstr>DIFFERENTIATION_TKO_DEL_HL_TER_COLUMN_MARKER</vt:lpstr>
      <vt:lpstr>DIFFERENTIATION_TKO_DEL_HL_TO_COLUMN_MARKER</vt:lpstr>
      <vt:lpstr>DIFFERENTIATION_TKO_DEL_HL_TYPE_TKO_COLUMN_MARKER</vt:lpstr>
      <vt:lpstr>DIFFERENTIATION_TKO_FLAG_DIFF_CLASS_TKO_ETC_COLUMN_MARKER</vt:lpstr>
      <vt:lpstr>DIFFERENTIATION_TKO_FLAG_DIFF_CLASS_TKO_TARIFF_COLUMN_MARKER</vt:lpstr>
      <vt:lpstr>DIFFERENTIATION_TKO_FLAG_DIFF_TER_ETC_COLUMN_MARKER</vt:lpstr>
      <vt:lpstr>DIFFERENTIATION_TKO_FLAG_DIFF_TER_TARIFF_COLUMN_MARKER</vt:lpstr>
      <vt:lpstr>DIFFERENTIATION_TKO_FLAG_DIFF_TO_ETC_COLUMN_MARKER</vt:lpstr>
      <vt:lpstr>DIFFERENTIATION_TKO_FLAG_DIFF_TO_TARIFF_COLUMN_MARKER</vt:lpstr>
      <vt:lpstr>DIFFERENTIATION_TKO_FLAG_DIFF_TYPE_TKO_ETC_COLUMN_MARKER</vt:lpstr>
      <vt:lpstr>DIFFERENTIATION_TKO_FLAG_DIFF_TYPE_TKO_TARIFF_COLUMN_MARKER</vt:lpstr>
      <vt:lpstr>DIFFERENTIATION_TKO_FLAG_VTAR_COLUMN_MARKER</vt:lpstr>
      <vt:lpstr>DIFFERENTIATION_TKO_TER_ID</vt:lpstr>
      <vt:lpstr>DIFFERENTIATION_UNMERGE_AREA</vt:lpstr>
      <vt:lpstr>DIFFERENTIATION_UNMERGE_SYSTEM</vt:lpstr>
      <vt:lpstr>DIFFERENTIATION_UNMERGE_VD</vt:lpstr>
      <vt:lpstr>DIFFERENTIATION_VD</vt:lpstr>
      <vt:lpstr>DIFFERENTIATION_VD_ID</vt:lpstr>
      <vt:lpstr>ED_DATE</vt:lpstr>
      <vt:lpstr>ED_DATE_PARKING</vt:lpstr>
      <vt:lpstr>ED_LINK</vt:lpstr>
      <vt:lpstr>EndDateList</vt:lpstr>
      <vt:lpstr>et_B_FHD20_1</vt:lpstr>
      <vt:lpstr>et_B_FHD20_1_HEAT</vt:lpstr>
      <vt:lpstr>et_B_FHD20_1_NOT_HEAT</vt:lpstr>
      <vt:lpstr>et_B_FHD20_2</vt:lpstr>
      <vt:lpstr>et_B_FHD20_3</vt:lpstr>
      <vt:lpstr>et_B_FHD20_4</vt:lpstr>
      <vt:lpstr>et_B_STANDARTS</vt:lpstr>
      <vt:lpstr>et_CHANGE_INFO</vt:lpstr>
      <vt:lpstr>et_COLDVSNA_TARIFF_A_COLDVSNA_CS</vt:lpstr>
      <vt:lpstr>et_COLDVSNA_TARIFF_A_COLDVSNA_DATA_DIFF</vt:lpstr>
      <vt:lpstr>et_COLDVSNA_TARIFF_A_COLDVSNA_FLAG_DIFF</vt:lpstr>
      <vt:lpstr>et_COLDVSNA_TARIFF_A_COLDVSNA_GC</vt:lpstr>
      <vt:lpstr>et_COLDVSNA_TARIFF_A_COLDVSNA_NTAR</vt:lpstr>
      <vt:lpstr>et_COLDVSNA_TARIFF_A_COLDVSNA_PERIOD_COLOR</vt:lpstr>
      <vt:lpstr>et_COLDVSNA_TARIFF_A_COLDVSNA_PERIOD_NOT_COLOR</vt:lpstr>
      <vt:lpstr>et_COLDVSNA_TARIFF_A_COLDVSNA_TER</vt:lpstr>
      <vt:lpstr>et_COLDVSNA_TARIFF_A_COLDVSNA_TN</vt:lpstr>
      <vt:lpstr>et_COLDVSNA_TARIFF_B_COLDVSNA_CS</vt:lpstr>
      <vt:lpstr>et_COLDVSNA_TARIFF_B_COLDVSNA_DATA_DIFF</vt:lpstr>
      <vt:lpstr>et_COLDVSNA_TARIFF_B_COLDVSNA_FLAG_DIFF</vt:lpstr>
      <vt:lpstr>et_COLDVSNA_TARIFF_B_COLDVSNA_GC</vt:lpstr>
      <vt:lpstr>et_COLDVSNA_TARIFF_B_COLDVSNA_NTAR</vt:lpstr>
      <vt:lpstr>et_COLDVSNA_TARIFF_B_COLDVSNA_PERIOD_COLOR</vt:lpstr>
      <vt:lpstr>et_COLDVSNA_TARIFF_B_COLDVSNA_PERIOD_NOT_COLOR</vt:lpstr>
      <vt:lpstr>et_COLDVSNA_TARIFF_B_COLDVSNA_TER</vt:lpstr>
      <vt:lpstr>et_COLDVSNA_TARIFF_C_COLDVSNA_CS</vt:lpstr>
      <vt:lpstr>et_COLDVSNA_TARIFF_C_COLDVSNA_DATA_DIFF</vt:lpstr>
      <vt:lpstr>et_COLDVSNA_TARIFF_C_COLDVSNA_FLAG_DIFF</vt:lpstr>
      <vt:lpstr>et_COLDVSNA_TARIFF_C_COLDVSNA_GC</vt:lpstr>
      <vt:lpstr>et_COLDVSNA_TARIFF_C_COLDVSNA_NTAR</vt:lpstr>
      <vt:lpstr>et_COLDVSNA_TARIFF_C_COLDVSNA_PERIOD_COLOR</vt:lpstr>
      <vt:lpstr>et_COLDVSNA_TARIFF_C_COLDVSNA_PERIOD_NOT_COLOR</vt:lpstr>
      <vt:lpstr>et_COLDVSNA_TARIFF_C_COLDVSNA_TER</vt:lpstr>
      <vt:lpstr>et_COLDVSNA_TARIFF_D_COLDVSNA_CS</vt:lpstr>
      <vt:lpstr>et_COLDVSNA_TARIFF_D_COLDVSNA_DATA_DIFF</vt:lpstr>
      <vt:lpstr>et_COLDVSNA_TARIFF_D_COLDVSNA_FLAG_DIFF</vt:lpstr>
      <vt:lpstr>et_COLDVSNA_TARIFF_D_COLDVSNA_GC</vt:lpstr>
      <vt:lpstr>et_COLDVSNA_TARIFF_D_COLDVSNA_NTAR</vt:lpstr>
      <vt:lpstr>et_COLDVSNA_TARIFF_D_COLDVSNA_PERIOD_COLOR</vt:lpstr>
      <vt:lpstr>et_COLDVSNA_TARIFF_D_COLDVSNA_PERIOD_NOT_COLOR</vt:lpstr>
      <vt:lpstr>et_COLDVSNA_TARIFF_D_COLDVSNA_TER</vt:lpstr>
      <vt:lpstr>et_COLDVSNA_TARIFF_E_COLDVSNA_CS</vt:lpstr>
      <vt:lpstr>et_COLDVSNA_TARIFF_E_COLDVSNA_DATA_DIFF</vt:lpstr>
      <vt:lpstr>et_COLDVSNA_TARIFF_E_COLDVSNA_DIAMETERS</vt:lpstr>
      <vt:lpstr>et_COLDVSNA_TARIFF_E_COLDVSNA_FLAG_DIFF</vt:lpstr>
      <vt:lpstr>et_COLDVSNA_TARIFF_E_COLDVSNA_GC</vt:lpstr>
      <vt:lpstr>et_COLDVSNA_TARIFF_E_COLDVSNA_LEN</vt:lpstr>
      <vt:lpstr>et_COLDVSNA_TARIFF_E_COLDVSNA_LOAD</vt:lpstr>
      <vt:lpstr>et_COLDVSNA_TARIFF_E_COLDVSNA_NETS</vt:lpstr>
      <vt:lpstr>et_COLDVSNA_TARIFF_E_COLDVSNA_NTAR</vt:lpstr>
      <vt:lpstr>et_COLDVSNA_TARIFF_E_COLDVSNA_PERIOD_COLOR</vt:lpstr>
      <vt:lpstr>et_COLDVSNA_TARIFF_E_COLDVSNA_PERIOD_NOT_COLOR</vt:lpstr>
      <vt:lpstr>et_COLDVSNA_TARIFF_E_COLDVSNA_TER</vt:lpstr>
      <vt:lpstr>et_Comm</vt:lpstr>
      <vt:lpstr>et_DIFFERENTIATION_AREA</vt:lpstr>
      <vt:lpstr>et_DIFFERENTIATION_SYSTEM</vt:lpstr>
      <vt:lpstr>et_DIFFERENTIATION_TARIFF_COLOR</vt:lpstr>
      <vt:lpstr>et_DIFFERENTIATION_TARIFF_CS</vt:lpstr>
      <vt:lpstr>et_DIFFERENTIATION_TARIFF_IST_TE</vt:lpstr>
      <vt:lpstr>et_DIFFERENTIATION_TARIFF_NOT_COLOR</vt:lpstr>
      <vt:lpstr>et_DIFFERENTIATION_TARIFF_NOT_HEAT_COLOR</vt:lpstr>
      <vt:lpstr>et_DIFFERENTIATION_TARIFF_NOT_HEAT_CS</vt:lpstr>
      <vt:lpstr>et_DIFFERENTIATION_TARIFF_NOT_HEAT_NTAR</vt:lpstr>
      <vt:lpstr>et_DIFFERENTIATION_TARIFF_NOT_HEAT_TER</vt:lpstr>
      <vt:lpstr>et_DIFFERENTIATION_TARIFF_NOT_HEAT_VTAR</vt:lpstr>
      <vt:lpstr>et_DIFFERENTIATION_TARIFF_NTAR</vt:lpstr>
      <vt:lpstr>et_DIFFERENTIATION_TARIFF_TER</vt:lpstr>
      <vt:lpstr>et_DIFFERENTIATION_TARIFF_VTAR</vt:lpstr>
      <vt:lpstr>et_DIFFERENTIATION_TKO_CLASS_TKO</vt:lpstr>
      <vt:lpstr>et_DIFFERENTIATION_TKO_COLOR</vt:lpstr>
      <vt:lpstr>et_DIFFERENTIATION_TKO_NOT_COLOR</vt:lpstr>
      <vt:lpstr>et_DIFFERENTIATION_TKO_NTAR</vt:lpstr>
      <vt:lpstr>et_DIFFERENTIATION_TKO_TER</vt:lpstr>
      <vt:lpstr>et_DIFFERENTIATION_TKO_TO</vt:lpstr>
      <vt:lpstr>et_DIFFERENTIATION_TKO_TYPE_TKO</vt:lpstr>
      <vt:lpstr>et_DIFFERENTIATION_TKO_VTAR</vt:lpstr>
      <vt:lpstr>et_DIFFERENTIATION_VD</vt:lpstr>
      <vt:lpstr>et_ED</vt:lpstr>
      <vt:lpstr>et_HEAT_TARIFF_A_CS</vt:lpstr>
      <vt:lpstr>et_HEAT_TARIFF_A_GC</vt:lpstr>
      <vt:lpstr>et_HEAT_TARIFF_A_IST_TE</vt:lpstr>
      <vt:lpstr>et_HEAT_TARIFF_A_NTAR</vt:lpstr>
      <vt:lpstr>et_HEAT_TARIFF_A_PERIOD_COLOR</vt:lpstr>
      <vt:lpstr>et_HEAT_TARIFF_A_PERIOD_NOT_COLOR</vt:lpstr>
      <vt:lpstr>et_HEAT_TARIFF_A_SCHEME</vt:lpstr>
      <vt:lpstr>et_HEAT_TARIFF_A_TER</vt:lpstr>
      <vt:lpstr>et_HEAT_TARIFF_A_TN</vt:lpstr>
      <vt:lpstr>et_HEAT_TARIFF_B_CS</vt:lpstr>
      <vt:lpstr>et_HEAT_TARIFF_B_GC</vt:lpstr>
      <vt:lpstr>et_HEAT_TARIFF_B_IST_TE</vt:lpstr>
      <vt:lpstr>et_HEAT_TARIFF_B_NTAR</vt:lpstr>
      <vt:lpstr>et_HEAT_TARIFF_B_PERIOD_COLOR</vt:lpstr>
      <vt:lpstr>et_HEAT_TARIFF_B_PERIOD_NOT_COLOR</vt:lpstr>
      <vt:lpstr>et_HEAT_TARIFF_B_SCHEME</vt:lpstr>
      <vt:lpstr>et_HEAT_TARIFF_B_TER</vt:lpstr>
      <vt:lpstr>et_HEAT_TARIFF_B_TN</vt:lpstr>
      <vt:lpstr>et_HEAT_TARIFF_C_CS</vt:lpstr>
      <vt:lpstr>et_HEAT_TARIFF_C_GC</vt:lpstr>
      <vt:lpstr>et_HEAT_TARIFF_C_IST_TE</vt:lpstr>
      <vt:lpstr>et_HEAT_TARIFF_C_NTAR</vt:lpstr>
      <vt:lpstr>et_HEAT_TARIFF_C_PERIOD_COLOR</vt:lpstr>
      <vt:lpstr>et_HEAT_TARIFF_C_PERIOD_NOT_COLOR</vt:lpstr>
      <vt:lpstr>et_HEAT_TARIFF_C_SCHEME</vt:lpstr>
      <vt:lpstr>et_HEAT_TARIFF_C_TER</vt:lpstr>
      <vt:lpstr>et_HEAT_TARIFF_C_TN</vt:lpstr>
      <vt:lpstr>et_HEAT_TARIFF_D_CONS</vt:lpstr>
      <vt:lpstr>et_HEAT_TARIFF_D_CS</vt:lpstr>
      <vt:lpstr>et_HEAT_TARIFF_D_GC</vt:lpstr>
      <vt:lpstr>et_HEAT_TARIFF_D_IST_TE</vt:lpstr>
      <vt:lpstr>et_HEAT_TARIFF_D_NTAR</vt:lpstr>
      <vt:lpstr>et_HEAT_TARIFF_D_PERIOD_COLOR</vt:lpstr>
      <vt:lpstr>et_HEAT_TARIFF_D_PERIOD_NOT_COLOR</vt:lpstr>
      <vt:lpstr>et_HEAT_TARIFF_D_SCHEME</vt:lpstr>
      <vt:lpstr>et_HEAT_TARIFF_D_TER</vt:lpstr>
      <vt:lpstr>et_HEAT_TARIFF_D_TN</vt:lpstr>
      <vt:lpstr>et_HEAT_TARIFF_E1_CS</vt:lpstr>
      <vt:lpstr>et_HEAT_TARIFF_E1_GC</vt:lpstr>
      <vt:lpstr>et_HEAT_TARIFF_E1_IST_TE</vt:lpstr>
      <vt:lpstr>et_HEAT_TARIFF_E1_NTAR</vt:lpstr>
      <vt:lpstr>et_HEAT_TARIFF_E1_PERIOD_COLOR</vt:lpstr>
      <vt:lpstr>et_HEAT_TARIFF_E1_PERIOD_NOT_COLOR</vt:lpstr>
      <vt:lpstr>et_HEAT_TARIFF_E1_SCHEME</vt:lpstr>
      <vt:lpstr>et_HEAT_TARIFF_E1_TER</vt:lpstr>
      <vt:lpstr>et_HEAT_TARIFF_E1_TN</vt:lpstr>
      <vt:lpstr>et_HEAT_TARIFF_E2_CS</vt:lpstr>
      <vt:lpstr>et_HEAT_TARIFF_E2_GC</vt:lpstr>
      <vt:lpstr>et_HEAT_TARIFF_E2_IST_TE</vt:lpstr>
      <vt:lpstr>et_HEAT_TARIFF_E2_NTAR</vt:lpstr>
      <vt:lpstr>et_HEAT_TARIFF_E2_PERIOD_COLOR</vt:lpstr>
      <vt:lpstr>et_HEAT_TARIFF_E2_PERIOD_NOT_COLOR</vt:lpstr>
      <vt:lpstr>et_HEAT_TARIFF_E2_SCHEME</vt:lpstr>
      <vt:lpstr>et_HEAT_TARIFF_E2_TER</vt:lpstr>
      <vt:lpstr>et_HEAT_TARIFF_E2_TN</vt:lpstr>
      <vt:lpstr>et_HEAT_TARIFF_F_CS</vt:lpstr>
      <vt:lpstr>et_HEAT_TARIFF_F_GC</vt:lpstr>
      <vt:lpstr>et_HEAT_TARIFF_F_IST_TE</vt:lpstr>
      <vt:lpstr>et_HEAT_TARIFF_F_NTAR</vt:lpstr>
      <vt:lpstr>et_HEAT_TARIFF_F_PERIOD_COLOR</vt:lpstr>
      <vt:lpstr>et_HEAT_TARIFF_F_PERIOD_NOT_COLOR</vt:lpstr>
      <vt:lpstr>et_HEAT_TARIFF_F_SCHEME</vt:lpstr>
      <vt:lpstr>et_HEAT_TARIFF_F_TER</vt:lpstr>
      <vt:lpstr>et_HEAT_TARIFF_F_TN</vt:lpstr>
      <vt:lpstr>et_HEAT_TARIFF_G_CS</vt:lpstr>
      <vt:lpstr>et_HEAT_TARIFF_G_DIAMETERS</vt:lpstr>
      <vt:lpstr>et_HEAT_TARIFF_G_GC</vt:lpstr>
      <vt:lpstr>et_HEAT_TARIFF_G_IST_TE</vt:lpstr>
      <vt:lpstr>et_HEAT_TARIFF_G_LOAD</vt:lpstr>
      <vt:lpstr>et_HEAT_TARIFF_G_NETS</vt:lpstr>
      <vt:lpstr>et_HEAT_TARIFF_G_NTAR</vt:lpstr>
      <vt:lpstr>et_HEAT_TARIFF_G_PERIOD_COLOR</vt:lpstr>
      <vt:lpstr>et_HEAT_TARIFF_G_PERIOD_NOT_COLOR</vt:lpstr>
      <vt:lpstr>et_HEAT_TARIFF_G_SCHEME</vt:lpstr>
      <vt:lpstr>et_HEAT_TARIFF_G_TER</vt:lpstr>
      <vt:lpstr>et_HEAT_TARIFF_G_TN</vt:lpstr>
      <vt:lpstr>et_HEAT_TARIFF_H_CS</vt:lpstr>
      <vt:lpstr>et_HEAT_TARIFF_H_DIAMETERS</vt:lpstr>
      <vt:lpstr>et_HEAT_TARIFF_H_GC</vt:lpstr>
      <vt:lpstr>et_HEAT_TARIFF_H_IST_TE</vt:lpstr>
      <vt:lpstr>et_HEAT_TARIFF_H_LOAD</vt:lpstr>
      <vt:lpstr>et_HEAT_TARIFF_H_NETS</vt:lpstr>
      <vt:lpstr>et_HEAT_TARIFF_H_NTAR</vt:lpstr>
      <vt:lpstr>et_HEAT_TARIFF_H_PERIOD_COLOR</vt:lpstr>
      <vt:lpstr>et_HEAT_TARIFF_H_PERIOD_NOT_COLOR</vt:lpstr>
      <vt:lpstr>et_HEAT_TARIFF_H_SCHEME</vt:lpstr>
      <vt:lpstr>et_HEAT_TARIFF_H_TER</vt:lpstr>
      <vt:lpstr>et_HEAT_TARIFF_H_TN</vt:lpstr>
      <vt:lpstr>et_HEAT_TARIFF_I_1_CS</vt:lpstr>
      <vt:lpstr>et_HEAT_TARIFF_I_1_GC</vt:lpstr>
      <vt:lpstr>et_HEAT_TARIFF_I_1_IST_TE</vt:lpstr>
      <vt:lpstr>et_HEAT_TARIFF_I_1_NTAR</vt:lpstr>
      <vt:lpstr>et_HEAT_TARIFF_I_1_PERIOD_COLOR</vt:lpstr>
      <vt:lpstr>et_HEAT_TARIFF_I_1_PERIOD_NOT_COLOR</vt:lpstr>
      <vt:lpstr>et_HEAT_TARIFF_I_1_SCHEME</vt:lpstr>
      <vt:lpstr>et_HEAT_TARIFF_I_1_TER</vt:lpstr>
      <vt:lpstr>et_HEAT_TARIFF_I_1_TN</vt:lpstr>
      <vt:lpstr>et_HEAT_TARIFF_I_CS</vt:lpstr>
      <vt:lpstr>et_HEAT_TARIFF_I_GC</vt:lpstr>
      <vt:lpstr>et_HEAT_TARIFF_I_IST_TE</vt:lpstr>
      <vt:lpstr>et_HEAT_TARIFF_I_NTAR</vt:lpstr>
      <vt:lpstr>et_HEAT_TARIFF_I_PERIOD_COLOR</vt:lpstr>
      <vt:lpstr>et_HEAT_TARIFF_I_PERIOD_NOT_COLOR</vt:lpstr>
      <vt:lpstr>et_HEAT_TARIFF_I_SCHEME</vt:lpstr>
      <vt:lpstr>et_HEAT_TARIFF_I_TER</vt:lpstr>
      <vt:lpstr>et_HEAT_TARIFF_I_TN</vt:lpstr>
      <vt:lpstr>et_hor_B_FHD_1</vt:lpstr>
      <vt:lpstr>et_hor_B_FHD_2</vt:lpstr>
      <vt:lpstr>et_hor_B_FHD_3</vt:lpstr>
      <vt:lpstr>et_hor_B_FHD_4</vt:lpstr>
      <vt:lpstr>et_hor_B_FHD_5</vt:lpstr>
      <vt:lpstr>et_hor_B_FHD_6</vt:lpstr>
      <vt:lpstr>et_hor_B_FHD_TKO_2</vt:lpstr>
      <vt:lpstr>et_hor_B_FHD_TKO_TRANS_2</vt:lpstr>
      <vt:lpstr>et_hor_B_OTEP_2</vt:lpstr>
      <vt:lpstr>et_hor_Q_LIMIT_1</vt:lpstr>
      <vt:lpstr>et_hor_Q_LIMIT_2</vt:lpstr>
      <vt:lpstr>et_hor_Q_LIMIT_3</vt:lpstr>
      <vt:lpstr>et_hor_Q_LIMIT_4</vt:lpstr>
      <vt:lpstr>et_hor_Q_TP_1</vt:lpstr>
      <vt:lpstr>et_HOTVSNA_TARIFF_A_HOTVSNA_CS</vt:lpstr>
      <vt:lpstr>et_HOTVSNA_TARIFF_A_HOTVSNA_DATA_DIFF</vt:lpstr>
      <vt:lpstr>et_HOTVSNA_TARIFF_A_HOTVSNA_FLAG_DIFF</vt:lpstr>
      <vt:lpstr>et_HOTVSNA_TARIFF_A_HOTVSNA_GC</vt:lpstr>
      <vt:lpstr>et_HOTVSNA_TARIFF_A_HOTVSNA_NTAR</vt:lpstr>
      <vt:lpstr>et_HOTVSNA_TARIFF_A_HOTVSNA_PERIOD_COLOR</vt:lpstr>
      <vt:lpstr>et_HOTVSNA_TARIFF_A_HOTVSNA_PERIOD_NOT_COLOR</vt:lpstr>
      <vt:lpstr>et_HOTVSNA_TARIFF_A_HOTVSNA_TER</vt:lpstr>
      <vt:lpstr>et_HOTVSNA_TARIFF_A_HOTVSNA_TN</vt:lpstr>
      <vt:lpstr>et_HOTVSNA_TARIFF_B_HOTVSNA_CS</vt:lpstr>
      <vt:lpstr>et_HOTVSNA_TARIFF_B_HOTVSNA_DATA_DIFF</vt:lpstr>
      <vt:lpstr>et_HOTVSNA_TARIFF_B_HOTVSNA_FLAG_DIFF</vt:lpstr>
      <vt:lpstr>et_HOTVSNA_TARIFF_B_HOTVSNA_GC</vt:lpstr>
      <vt:lpstr>et_HOTVSNA_TARIFF_B_HOTVSNA_NTAR</vt:lpstr>
      <vt:lpstr>et_HOTVSNA_TARIFF_B_HOTVSNA_PERIOD_COLOR</vt:lpstr>
      <vt:lpstr>et_HOTVSNA_TARIFF_B_HOTVSNA_PERIOD_NOT_COLOR</vt:lpstr>
      <vt:lpstr>et_HOTVSNA_TARIFF_B_HOTVSNA_TER</vt:lpstr>
      <vt:lpstr>et_HOTVSNA_TARIFF_B_HOTVSNA_TN</vt:lpstr>
      <vt:lpstr>et_HOTVSNA_TARIFF_C_HOTVSNA_CS</vt:lpstr>
      <vt:lpstr>et_HOTVSNA_TARIFF_C_HOTVSNA_DATA_DIFF</vt:lpstr>
      <vt:lpstr>et_HOTVSNA_TARIFF_C_HOTVSNA_DIAMETERS</vt:lpstr>
      <vt:lpstr>et_HOTVSNA_TARIFF_C_HOTVSNA_FLAG_DIFF</vt:lpstr>
      <vt:lpstr>et_HOTVSNA_TARIFF_C_HOTVSNA_GC</vt:lpstr>
      <vt:lpstr>et_HOTVSNA_TARIFF_C_HOTVSNA_LEN</vt:lpstr>
      <vt:lpstr>et_HOTVSNA_TARIFF_C_HOTVSNA_LOAD</vt:lpstr>
      <vt:lpstr>et_HOTVSNA_TARIFF_C_HOTVSNA_NETS</vt:lpstr>
      <vt:lpstr>et_HOTVSNA_TARIFF_C_HOTVSNA_NTAR</vt:lpstr>
      <vt:lpstr>et_HOTVSNA_TARIFF_C_HOTVSNA_PERIOD_COLOR</vt:lpstr>
      <vt:lpstr>et_HOTVSNA_TARIFF_C_HOTVSNA_PERIOD_NOT_COLOR</vt:lpstr>
      <vt:lpstr>et_HOTVSNA_TARIFF_C_HOTVSNA_TER</vt:lpstr>
      <vt:lpstr>et_IP_DETAILED</vt:lpstr>
      <vt:lpstr>et_IP_DETAILED_EVENT</vt:lpstr>
      <vt:lpstr>et_IP_DETAILED_IST_FIN</vt:lpstr>
      <vt:lpstr>et_IP_DETAILED_OBJECT</vt:lpstr>
      <vt:lpstr>et_IP_DETAILED_YEAR</vt:lpstr>
      <vt:lpstr>et_IP_MAIN</vt:lpstr>
      <vt:lpstr>et_IP_MAIN_PROPERTY</vt:lpstr>
      <vt:lpstr>et_IP_QRE</vt:lpstr>
      <vt:lpstr>et_IP_QRE_CLAIM</vt:lpstr>
      <vt:lpstr>et_List02</vt:lpstr>
      <vt:lpstr>et_List02_1_wd</vt:lpstr>
      <vt:lpstr>et_List02_2_wd</vt:lpstr>
      <vt:lpstr>et_List02_3_wd</vt:lpstr>
      <vt:lpstr>et_List02_4_wd</vt:lpstr>
      <vt:lpstr>et_List02_changeColor_1</vt:lpstr>
      <vt:lpstr>et_List02_changeColor_1_wd</vt:lpstr>
      <vt:lpstr>et_List02_changeColor_2</vt:lpstr>
      <vt:lpstr>et_List02_changeColor_2_wd</vt:lpstr>
      <vt:lpstr>et_List02_changeColor_3</vt:lpstr>
      <vt:lpstr>et_List02_changeColor_3_wd</vt:lpstr>
      <vt:lpstr>et_List02_changeColor_4</vt:lpstr>
      <vt:lpstr>et_List02_changeColor_4_wd</vt:lpstr>
      <vt:lpstr>et_List02_wd</vt:lpstr>
      <vt:lpstr>et_OFFER_p1</vt:lpstr>
      <vt:lpstr>et_OFFER_p1_0</vt:lpstr>
      <vt:lpstr>et_OFFER_p2</vt:lpstr>
      <vt:lpstr>et_OFFER_p2_0</vt:lpstr>
      <vt:lpstr>et_ORG_INFO_1</vt:lpstr>
      <vt:lpstr>et_ORG_INFO_2</vt:lpstr>
      <vt:lpstr>et_ORG_INFO_3</vt:lpstr>
      <vt:lpstr>et_ORG_TERRITORY_MO</vt:lpstr>
      <vt:lpstr>et_ORG_TERRITORY_MO_FLAG_INTERNET</vt:lpstr>
      <vt:lpstr>et_ORG_TERRITORY_MO_LINK</vt:lpstr>
      <vt:lpstr>et_ORG_VD</vt:lpstr>
      <vt:lpstr>et_ORG_VD_COLDVSNA</vt:lpstr>
      <vt:lpstr>et_ORG_VD_FIRST_SYSTEM</vt:lpstr>
      <vt:lpstr>et_ORG_VD_HEAT</vt:lpstr>
      <vt:lpstr>et_ORG_VD_HOTVSNA</vt:lpstr>
      <vt:lpstr>et_ORG_VD_TKO_ACTIVITY</vt:lpstr>
      <vt:lpstr>et_ORG_VD_TKO_TYPE_OBJECT</vt:lpstr>
      <vt:lpstr>et_ORG_VD_VOTV</vt:lpstr>
      <vt:lpstr>et_P_PROCEDURE_TC_1</vt:lpstr>
      <vt:lpstr>et_P_PROCEDURE_TC_2</vt:lpstr>
      <vt:lpstr>et_P_PROCEDURE_TC_3</vt:lpstr>
      <vt:lpstr>et_P_PROCEDURE_TC_4</vt:lpstr>
      <vt:lpstr>et_P_PROCEDURE_TC_5</vt:lpstr>
      <vt:lpstr>et_P_T_TERMS</vt:lpstr>
      <vt:lpstr>et_Q_TP_DIFFERENTIATION</vt:lpstr>
      <vt:lpstr>et_QRE</vt:lpstr>
      <vt:lpstr>et_QRE_CLAIM</vt:lpstr>
      <vt:lpstr>et_R_B_Purch</vt:lpstr>
      <vt:lpstr>et_ROIV_CASE_case</vt:lpstr>
      <vt:lpstr>et_ROIV_CASE_PUC_case</vt:lpstr>
      <vt:lpstr>et_ROIV_INFO_phone</vt:lpstr>
      <vt:lpstr>et_ROIV_ORG_org</vt:lpstr>
      <vt:lpstr>et_ROIV_OTV_DL</vt:lpstr>
      <vt:lpstr>et_ROIV_OTV_org</vt:lpstr>
      <vt:lpstr>et_TERMS</vt:lpstr>
      <vt:lpstr>et_TERRITORY_AREA</vt:lpstr>
      <vt:lpstr>et_TERRITORY_MO</vt:lpstr>
      <vt:lpstr>et_ver_B_FHD_DIFFERENTIATION</vt:lpstr>
      <vt:lpstr>et_ver_B_FHD_TKO_DIFFERENTIATION</vt:lpstr>
      <vt:lpstr>et_ver_B_FHD_TKO_TRANS_DIFFERENTIATION</vt:lpstr>
      <vt:lpstr>et_ver_B_KNE_DIFFERENTIATION</vt:lpstr>
      <vt:lpstr>et_ver_B_OTEP_DIFFERENTIATION</vt:lpstr>
      <vt:lpstr>et_ver_COLDVSNA_TARIFF_A_COLDVSNA</vt:lpstr>
      <vt:lpstr>et_ver_COLDVSNA_TARIFF_B_COLDVSNA</vt:lpstr>
      <vt:lpstr>et_ver_COLDVSNA_TARIFF_C_COLDVSNA</vt:lpstr>
      <vt:lpstr>et_ver_COLDVSNA_TARIFF_D_COLDVSNA</vt:lpstr>
      <vt:lpstr>et_ver_COLDVSNA_TARIFF_E_COLDVSNA</vt:lpstr>
      <vt:lpstr>et_ver_HEAT_TARIFF_A</vt:lpstr>
      <vt:lpstr>et_ver_HEAT_TARIFF_B</vt:lpstr>
      <vt:lpstr>et_ver_HEAT_TARIFF_C</vt:lpstr>
      <vt:lpstr>et_ver_HEAT_TARIFF_D</vt:lpstr>
      <vt:lpstr>et_ver_HEAT_TARIFF_E1</vt:lpstr>
      <vt:lpstr>et_ver_HEAT_TARIFF_E2</vt:lpstr>
      <vt:lpstr>et_ver_HEAT_TARIFF_F</vt:lpstr>
      <vt:lpstr>et_ver_HEAT_TARIFF_G</vt:lpstr>
      <vt:lpstr>et_ver_HEAT_TARIFF_H</vt:lpstr>
      <vt:lpstr>et_ver_HEAT_TARIFF_I</vt:lpstr>
      <vt:lpstr>et_ver_HEAT_TARIFF_I_1</vt:lpstr>
      <vt:lpstr>et_ver_HOTVSNA_TARIFF_A_HOTVSNA</vt:lpstr>
      <vt:lpstr>et_ver_HOTVSNA_TARIFF_B_HOTVSNA</vt:lpstr>
      <vt:lpstr>et_ver_HOTVSNA_TARIFF_C_HOTVSNA</vt:lpstr>
      <vt:lpstr>et_ver_IP_FIN_PLAN</vt:lpstr>
      <vt:lpstr>et_ver_IP_FIN_PLAN_YEAR</vt:lpstr>
      <vt:lpstr>et_ver_Q_LIMIT_DIFFERENTIATION</vt:lpstr>
      <vt:lpstr>et_ver_Q_PH_DIFFERENTIATION</vt:lpstr>
      <vt:lpstr>et_ver_Q_TP_DIFFERENTIATION</vt:lpstr>
      <vt:lpstr>et_ver_VOTV_TARIFF_A_VOTV</vt:lpstr>
      <vt:lpstr>et_ver_VOTV_TARIFF_B_VOTV</vt:lpstr>
      <vt:lpstr>et_ver_VOTV_TARIFF_C_VOTV</vt:lpstr>
      <vt:lpstr>et_VOTV_TARIFF_A_VOTV_CS</vt:lpstr>
      <vt:lpstr>et_VOTV_TARIFF_A_VOTV_DATA_DIFF</vt:lpstr>
      <vt:lpstr>et_VOTV_TARIFF_A_VOTV_FLAG_DIFF</vt:lpstr>
      <vt:lpstr>et_VOTV_TARIFF_A_VOTV_GC</vt:lpstr>
      <vt:lpstr>et_VOTV_TARIFF_A_VOTV_NTAR</vt:lpstr>
      <vt:lpstr>et_VOTV_TARIFF_A_VOTV_PERIOD_COLOR</vt:lpstr>
      <vt:lpstr>et_VOTV_TARIFF_A_VOTV_PERIOD_NOT_COLOR</vt:lpstr>
      <vt:lpstr>et_VOTV_TARIFF_A_VOTV_TER</vt:lpstr>
      <vt:lpstr>et_VOTV_TARIFF_A_VOTV_TN</vt:lpstr>
      <vt:lpstr>et_VOTV_TARIFF_B_VOTV_CS</vt:lpstr>
      <vt:lpstr>et_VOTV_TARIFF_B_VOTV_DATA_DIFF</vt:lpstr>
      <vt:lpstr>et_VOTV_TARIFF_B_VOTV_FLAG_DIFF</vt:lpstr>
      <vt:lpstr>et_VOTV_TARIFF_B_VOTV_GC</vt:lpstr>
      <vt:lpstr>et_VOTV_TARIFF_B_VOTV_NTAR</vt:lpstr>
      <vt:lpstr>et_VOTV_TARIFF_B_VOTV_PERIOD_COLOR</vt:lpstr>
      <vt:lpstr>et_VOTV_TARIFF_B_VOTV_PERIOD_NOT_COLOR</vt:lpstr>
      <vt:lpstr>et_VOTV_TARIFF_B_VOTV_TER</vt:lpstr>
      <vt:lpstr>et_VOTV_TARIFF_B_VOTV_TN</vt:lpstr>
      <vt:lpstr>et_VOTV_TARIFF_C_VOTV_CS</vt:lpstr>
      <vt:lpstr>et_VOTV_TARIFF_C_VOTV_DATA_DIFF</vt:lpstr>
      <vt:lpstr>et_VOTV_TARIFF_C_VOTV_DIAMETERS</vt:lpstr>
      <vt:lpstr>et_VOTV_TARIFF_C_VOTV_FLAG_DIFF</vt:lpstr>
      <vt:lpstr>et_VOTV_TARIFF_C_VOTV_GC</vt:lpstr>
      <vt:lpstr>et_VOTV_TARIFF_C_VOTV_LEN</vt:lpstr>
      <vt:lpstr>et_VOTV_TARIFF_C_VOTV_LOAD</vt:lpstr>
      <vt:lpstr>et_VOTV_TARIFF_C_VOTV_NETS</vt:lpstr>
      <vt:lpstr>et_VOTV_TARIFF_C_VOTV_NTAR</vt:lpstr>
      <vt:lpstr>et_VOTV_TARIFF_C_VOTV_PERIOD_COLOR</vt:lpstr>
      <vt:lpstr>et_VOTV_TARIFF_C_VOTV_PERIOD_NOT_COLOR</vt:lpstr>
      <vt:lpstr>et_VOTV_TARIFF_C_VOTV_TER</vt:lpstr>
      <vt:lpstr>f_quart</vt:lpstr>
      <vt:lpstr>f_year</vt:lpstr>
      <vt:lpstr>FHD_NAME_FORM</vt:lpstr>
      <vt:lpstr>FHD_NOTE_P_1</vt:lpstr>
      <vt:lpstr>FHD_NOTE_P_10</vt:lpstr>
      <vt:lpstr>FHD_NOTE_P_11</vt:lpstr>
      <vt:lpstr>FHD_NOTE_P_12</vt:lpstr>
      <vt:lpstr>FHD_NOTE_P_13</vt:lpstr>
      <vt:lpstr>FHD_NOTE_P_14</vt:lpstr>
      <vt:lpstr>FHD_NOTE_P_15</vt:lpstr>
      <vt:lpstr>FHD_NOTE_P_16</vt:lpstr>
      <vt:lpstr>FHD_NOTE_P_17</vt:lpstr>
      <vt:lpstr>FHD_NOTE_P_18</vt:lpstr>
      <vt:lpstr>FHD_NOTE_P_19</vt:lpstr>
      <vt:lpstr>FHD_NOTE_P_2</vt:lpstr>
      <vt:lpstr>FHD_NOTE_P_20</vt:lpstr>
      <vt:lpstr>FHD_NOTE_P_21</vt:lpstr>
      <vt:lpstr>FHD_NOTE_P_22</vt:lpstr>
      <vt:lpstr>FHD_NOTE_P_23</vt:lpstr>
      <vt:lpstr>FHD_NOTE_P_24</vt:lpstr>
      <vt:lpstr>FHD_NOTE_P_25</vt:lpstr>
      <vt:lpstr>FHD_NOTE_P_26</vt:lpstr>
      <vt:lpstr>FHD_NOTE_P_27</vt:lpstr>
      <vt:lpstr>FHD_NOTE_P_28</vt:lpstr>
      <vt:lpstr>FHD_NOTE_P_29</vt:lpstr>
      <vt:lpstr>FHD_NOTE_P_3</vt:lpstr>
      <vt:lpstr>FHD_NOTE_P_30</vt:lpstr>
      <vt:lpstr>FHD_NOTE_P_31</vt:lpstr>
      <vt:lpstr>FHD_NOTE_P_32</vt:lpstr>
      <vt:lpstr>FHD_NOTE_P_33</vt:lpstr>
      <vt:lpstr>FHD_NOTE_P_34</vt:lpstr>
      <vt:lpstr>FHD_NOTE_P_35</vt:lpstr>
      <vt:lpstr>FHD_NOTE_P_36</vt:lpstr>
      <vt:lpstr>FHD_NOTE_P_37</vt:lpstr>
      <vt:lpstr>FHD_NOTE_P_38</vt:lpstr>
      <vt:lpstr>FHD_NOTE_P_39</vt:lpstr>
      <vt:lpstr>FHD_NOTE_P_4</vt:lpstr>
      <vt:lpstr>FHD_NOTE_P_40</vt:lpstr>
      <vt:lpstr>FHD_NOTE_P_41</vt:lpstr>
      <vt:lpstr>FHD_NOTE_P_42</vt:lpstr>
      <vt:lpstr>FHD_NOTE_P_43</vt:lpstr>
      <vt:lpstr>FHD_NOTE_P_44</vt:lpstr>
      <vt:lpstr>FHD_NOTE_P_45</vt:lpstr>
      <vt:lpstr>FHD_NOTE_P_46</vt:lpstr>
      <vt:lpstr>FHD_NOTE_P_47</vt:lpstr>
      <vt:lpstr>FHD_NOTE_P_48</vt:lpstr>
      <vt:lpstr>FHD_NOTE_P_49</vt:lpstr>
      <vt:lpstr>FHD_NOTE_P_5</vt:lpstr>
      <vt:lpstr>FHD_NOTE_P_50</vt:lpstr>
      <vt:lpstr>FHD_NOTE_P_51</vt:lpstr>
      <vt:lpstr>FHD_NOTE_P_52</vt:lpstr>
      <vt:lpstr>FHD_NOTE_P_53</vt:lpstr>
      <vt:lpstr>FHD_NOTE_P_54</vt:lpstr>
      <vt:lpstr>FHD_NOTE_P_55</vt:lpstr>
      <vt:lpstr>FHD_NOTE_P_56</vt:lpstr>
      <vt:lpstr>FHD_NOTE_P_57</vt:lpstr>
      <vt:lpstr>FHD_NOTE_P_58</vt:lpstr>
      <vt:lpstr>FHD_NOTE_P_59</vt:lpstr>
      <vt:lpstr>FHD_NOTE_P_6</vt:lpstr>
      <vt:lpstr>FHD_NOTE_P_60</vt:lpstr>
      <vt:lpstr>FHD_NOTE_P_61</vt:lpstr>
      <vt:lpstr>FHD_NOTE_P_62</vt:lpstr>
      <vt:lpstr>FHD_NOTE_P_63</vt:lpstr>
      <vt:lpstr>FHD_NOTE_P_64</vt:lpstr>
      <vt:lpstr>FHD_NOTE_P_65</vt:lpstr>
      <vt:lpstr>FHD_NOTE_P_66</vt:lpstr>
      <vt:lpstr>FHD_NOTE_P_67</vt:lpstr>
      <vt:lpstr>FHD_NOTE_P_68</vt:lpstr>
      <vt:lpstr>FHD_NOTE_P_69</vt:lpstr>
      <vt:lpstr>FHD_NOTE_P_7</vt:lpstr>
      <vt:lpstr>FHD_NOTE_P_70</vt:lpstr>
      <vt:lpstr>FHD_NOTE_P_71</vt:lpstr>
      <vt:lpstr>FHD_NOTE_P_72</vt:lpstr>
      <vt:lpstr>FHD_NOTE_P_73</vt:lpstr>
      <vt:lpstr>FHD_NOTE_P_74</vt:lpstr>
      <vt:lpstr>FHD_NOTE_P_75</vt:lpstr>
      <vt:lpstr>FHD_NOTE_P_76</vt:lpstr>
      <vt:lpstr>FHD_NOTE_P_77</vt:lpstr>
      <vt:lpstr>FHD_NOTE_P_78</vt:lpstr>
      <vt:lpstr>FHD_NOTE_P_79</vt:lpstr>
      <vt:lpstr>FHD_NOTE_P_8</vt:lpstr>
      <vt:lpstr>FHD_NOTE_P_80</vt:lpstr>
      <vt:lpstr>FHD_NOTE_P_81</vt:lpstr>
      <vt:lpstr>FHD_NOTE_P_82</vt:lpstr>
      <vt:lpstr>FHD_NOTE_P_83</vt:lpstr>
      <vt:lpstr>FHD_NOTE_P_84</vt:lpstr>
      <vt:lpstr>FHD_NOTE_P_9</vt:lpstr>
      <vt:lpstr>FHD_NUM_P_1</vt:lpstr>
      <vt:lpstr>FHD_NUM_P_10</vt:lpstr>
      <vt:lpstr>FHD_NUM_P_11</vt:lpstr>
      <vt:lpstr>FHD_NUM_P_12</vt:lpstr>
      <vt:lpstr>FHD_NUM_P_13</vt:lpstr>
      <vt:lpstr>FHD_NUM_P_14</vt:lpstr>
      <vt:lpstr>FHD_NUM_P_15</vt:lpstr>
      <vt:lpstr>FHD_NUM_P_16</vt:lpstr>
      <vt:lpstr>FHD_NUM_P_17</vt:lpstr>
      <vt:lpstr>FHD_NUM_P_18</vt:lpstr>
      <vt:lpstr>FHD_NUM_P_19</vt:lpstr>
      <vt:lpstr>FHD_NUM_P_2</vt:lpstr>
      <vt:lpstr>FHD_NUM_P_20</vt:lpstr>
      <vt:lpstr>FHD_NUM_P_21</vt:lpstr>
      <vt:lpstr>FHD_NUM_P_22</vt:lpstr>
      <vt:lpstr>FHD_NUM_P_23</vt:lpstr>
      <vt:lpstr>FHD_NUM_P_24</vt:lpstr>
      <vt:lpstr>FHD_NUM_P_25</vt:lpstr>
      <vt:lpstr>FHD_NUM_P_26</vt:lpstr>
      <vt:lpstr>FHD_NUM_P_27</vt:lpstr>
      <vt:lpstr>FHD_NUM_P_28</vt:lpstr>
      <vt:lpstr>FHD_NUM_P_29</vt:lpstr>
      <vt:lpstr>FHD_NUM_P_3</vt:lpstr>
      <vt:lpstr>FHD_NUM_P_30</vt:lpstr>
      <vt:lpstr>FHD_NUM_P_31</vt:lpstr>
      <vt:lpstr>FHD_NUM_P_32</vt:lpstr>
      <vt:lpstr>FHD_NUM_P_33</vt:lpstr>
      <vt:lpstr>FHD_NUM_P_34</vt:lpstr>
      <vt:lpstr>FHD_NUM_P_35</vt:lpstr>
      <vt:lpstr>FHD_NUM_P_36</vt:lpstr>
      <vt:lpstr>FHD_NUM_P_37</vt:lpstr>
      <vt:lpstr>FHD_NUM_P_38</vt:lpstr>
      <vt:lpstr>FHD_NUM_P_39</vt:lpstr>
      <vt:lpstr>FHD_NUM_P_4</vt:lpstr>
      <vt:lpstr>FHD_NUM_P_40</vt:lpstr>
      <vt:lpstr>FHD_NUM_P_41</vt:lpstr>
      <vt:lpstr>FHD_NUM_P_42</vt:lpstr>
      <vt:lpstr>FHD_NUM_P_43</vt:lpstr>
      <vt:lpstr>FHD_NUM_P_44</vt:lpstr>
      <vt:lpstr>FHD_NUM_P_45</vt:lpstr>
      <vt:lpstr>FHD_NUM_P_46</vt:lpstr>
      <vt:lpstr>FHD_NUM_P_47</vt:lpstr>
      <vt:lpstr>FHD_NUM_P_48</vt:lpstr>
      <vt:lpstr>FHD_NUM_P_49</vt:lpstr>
      <vt:lpstr>FHD_NUM_P_5</vt:lpstr>
      <vt:lpstr>FHD_NUM_P_50</vt:lpstr>
      <vt:lpstr>FHD_NUM_P_51</vt:lpstr>
      <vt:lpstr>FHD_NUM_P_52</vt:lpstr>
      <vt:lpstr>FHD_NUM_P_53</vt:lpstr>
      <vt:lpstr>FHD_NUM_P_54</vt:lpstr>
      <vt:lpstr>FHD_NUM_P_55</vt:lpstr>
      <vt:lpstr>FHD_NUM_P_56</vt:lpstr>
      <vt:lpstr>FHD_NUM_P_57</vt:lpstr>
      <vt:lpstr>FHD_NUM_P_58</vt:lpstr>
      <vt:lpstr>FHD_NUM_P_59</vt:lpstr>
      <vt:lpstr>FHD_NUM_P_6</vt:lpstr>
      <vt:lpstr>FHD_NUM_P_60</vt:lpstr>
      <vt:lpstr>FHD_NUM_P_61</vt:lpstr>
      <vt:lpstr>FHD_NUM_P_62</vt:lpstr>
      <vt:lpstr>FHD_NUM_P_63</vt:lpstr>
      <vt:lpstr>FHD_NUM_P_64</vt:lpstr>
      <vt:lpstr>FHD_NUM_P_65</vt:lpstr>
      <vt:lpstr>FHD_NUM_P_66</vt:lpstr>
      <vt:lpstr>FHD_NUM_P_67</vt:lpstr>
      <vt:lpstr>FHD_NUM_P_68</vt:lpstr>
      <vt:lpstr>FHD_NUM_P_69</vt:lpstr>
      <vt:lpstr>FHD_NUM_P_7</vt:lpstr>
      <vt:lpstr>FHD_NUM_P_70</vt:lpstr>
      <vt:lpstr>FHD_NUM_P_71</vt:lpstr>
      <vt:lpstr>FHD_NUM_P_72</vt:lpstr>
      <vt:lpstr>FHD_NUM_P_73</vt:lpstr>
      <vt:lpstr>FHD_NUM_P_74</vt:lpstr>
      <vt:lpstr>FHD_NUM_P_75</vt:lpstr>
      <vt:lpstr>FHD_NUM_P_76</vt:lpstr>
      <vt:lpstr>FHD_NUM_P_77</vt:lpstr>
      <vt:lpstr>FHD_NUM_P_78</vt:lpstr>
      <vt:lpstr>FHD_NUM_P_79</vt:lpstr>
      <vt:lpstr>FHD_NUM_P_8</vt:lpstr>
      <vt:lpstr>FHD_NUM_P_80</vt:lpstr>
      <vt:lpstr>FHD_NUM_P_81</vt:lpstr>
      <vt:lpstr>FHD_NUM_P_82</vt:lpstr>
      <vt:lpstr>FHD_NUM_P_83</vt:lpstr>
      <vt:lpstr>FHD_NUM_P_84</vt:lpstr>
      <vt:lpstr>FHD_NUM_P_9</vt:lpstr>
      <vt:lpstr>FHD_NUM_P_A</vt:lpstr>
      <vt:lpstr>FHD_P_1</vt:lpstr>
      <vt:lpstr>FHD_P_10</vt:lpstr>
      <vt:lpstr>FHD_P_11</vt:lpstr>
      <vt:lpstr>FHD_P_12</vt:lpstr>
      <vt:lpstr>FHD_P_13</vt:lpstr>
      <vt:lpstr>FHD_P_14</vt:lpstr>
      <vt:lpstr>FHD_P_15</vt:lpstr>
      <vt:lpstr>FHD_P_16</vt:lpstr>
      <vt:lpstr>FHD_P_17</vt:lpstr>
      <vt:lpstr>FHD_P_18</vt:lpstr>
      <vt:lpstr>FHD_P_19</vt:lpstr>
      <vt:lpstr>FHD_P_2</vt:lpstr>
      <vt:lpstr>FHD_P_20</vt:lpstr>
      <vt:lpstr>FHD_P_21</vt:lpstr>
      <vt:lpstr>FHD_P_22</vt:lpstr>
      <vt:lpstr>FHD_P_23</vt:lpstr>
      <vt:lpstr>FHD_P_24</vt:lpstr>
      <vt:lpstr>FHD_P_25</vt:lpstr>
      <vt:lpstr>FHD_P_26</vt:lpstr>
      <vt:lpstr>FHD_P_27</vt:lpstr>
      <vt:lpstr>FHD_P_28</vt:lpstr>
      <vt:lpstr>FHD_P_29</vt:lpstr>
      <vt:lpstr>FHD_P_3</vt:lpstr>
      <vt:lpstr>FHD_P_30</vt:lpstr>
      <vt:lpstr>FHD_P_31</vt:lpstr>
      <vt:lpstr>FHD_P_32</vt:lpstr>
      <vt:lpstr>FHD_P_33</vt:lpstr>
      <vt:lpstr>FHD_P_34</vt:lpstr>
      <vt:lpstr>FHD_P_35</vt:lpstr>
      <vt:lpstr>FHD_P_36</vt:lpstr>
      <vt:lpstr>FHD_P_37</vt:lpstr>
      <vt:lpstr>FHD_P_38</vt:lpstr>
      <vt:lpstr>FHD_P_39</vt:lpstr>
      <vt:lpstr>FHD_P_4</vt:lpstr>
      <vt:lpstr>FHD_P_40</vt:lpstr>
      <vt:lpstr>FHD_P_41</vt:lpstr>
      <vt:lpstr>FHD_P_42</vt:lpstr>
      <vt:lpstr>FHD_P_43</vt:lpstr>
      <vt:lpstr>FHD_P_44</vt:lpstr>
      <vt:lpstr>FHD_P_45</vt:lpstr>
      <vt:lpstr>FHD_P_46</vt:lpstr>
      <vt:lpstr>FHD_P_47</vt:lpstr>
      <vt:lpstr>FHD_P_48</vt:lpstr>
      <vt:lpstr>FHD_P_49</vt:lpstr>
      <vt:lpstr>FHD_P_5</vt:lpstr>
      <vt:lpstr>FHD_P_50</vt:lpstr>
      <vt:lpstr>FHD_P_51</vt:lpstr>
      <vt:lpstr>FHD_P_52</vt:lpstr>
      <vt:lpstr>FHD_P_53</vt:lpstr>
      <vt:lpstr>FHD_P_54</vt:lpstr>
      <vt:lpstr>FHD_P_55</vt:lpstr>
      <vt:lpstr>FHD_P_56</vt:lpstr>
      <vt:lpstr>FHD_P_57</vt:lpstr>
      <vt:lpstr>FHD_P_58</vt:lpstr>
      <vt:lpstr>FHD_P_59</vt:lpstr>
      <vt:lpstr>FHD_P_6</vt:lpstr>
      <vt:lpstr>FHD_P_60</vt:lpstr>
      <vt:lpstr>FHD_P_61</vt:lpstr>
      <vt:lpstr>FHD_P_62</vt:lpstr>
      <vt:lpstr>FHD_P_63</vt:lpstr>
      <vt:lpstr>FHD_P_64</vt:lpstr>
      <vt:lpstr>FHD_P_65</vt:lpstr>
      <vt:lpstr>FHD_P_66</vt:lpstr>
      <vt:lpstr>FHD_P_67</vt:lpstr>
      <vt:lpstr>FHD_P_68</vt:lpstr>
      <vt:lpstr>FHD_P_69</vt:lpstr>
      <vt:lpstr>FHD_P_7</vt:lpstr>
      <vt:lpstr>FHD_P_70</vt:lpstr>
      <vt:lpstr>FHD_P_71</vt:lpstr>
      <vt:lpstr>FHD_P_72</vt:lpstr>
      <vt:lpstr>FHD_P_73</vt:lpstr>
      <vt:lpstr>FHD_P_74</vt:lpstr>
      <vt:lpstr>FHD_P_75</vt:lpstr>
      <vt:lpstr>FHD_P_76</vt:lpstr>
      <vt:lpstr>FHD_P_77</vt:lpstr>
      <vt:lpstr>FHD_P_78</vt:lpstr>
      <vt:lpstr>FHD_P_79</vt:lpstr>
      <vt:lpstr>FHD_P_8</vt:lpstr>
      <vt:lpstr>FHD_P_80</vt:lpstr>
      <vt:lpstr>FHD_P_81</vt:lpstr>
      <vt:lpstr>FHD_P_82</vt:lpstr>
      <vt:lpstr>FHD_P_83</vt:lpstr>
      <vt:lpstr>FHD_P_84</vt:lpstr>
      <vt:lpstr>FHD_P_9</vt:lpstr>
      <vt:lpstr>FHD_P_A</vt:lpstr>
      <vt:lpstr>FHD20_NAME_FORM</vt:lpstr>
      <vt:lpstr>fil</vt:lpstr>
      <vt:lpstr>flag_Q_LIMIT_p3</vt:lpstr>
      <vt:lpstr>flag_Q_LIMIT_p4</vt:lpstr>
      <vt:lpstr>HEAT_FIN_SRC_LIST</vt:lpstr>
      <vt:lpstr>HEAT_FIN_SRC_VLD_LIST</vt:lpstr>
      <vt:lpstr>HEAT_IP_EVENT_CI_STAGE_LIST</vt:lpstr>
      <vt:lpstr>HEAT_IP_EVENT_GROUP_LIST</vt:lpstr>
      <vt:lpstr>HEAT_IP_EVENT_SUBGROUP_1_LIST</vt:lpstr>
      <vt:lpstr>HEAT_IP_EVENT_SUBGROUP_3_LIST</vt:lpstr>
      <vt:lpstr>HEAT_IP_EVENT_SUBGROUP_5_LIST</vt:lpstr>
      <vt:lpstr>HEAT_IP_EVENT_TYPE_LIST</vt:lpstr>
      <vt:lpstr>HEAT_PT_SCHEME</vt:lpstr>
      <vt:lpstr>HEAT_PT_TARIFF_ID</vt:lpstr>
      <vt:lpstr>HEAT_PT_TARIFF_NAME</vt:lpstr>
      <vt:lpstr>HEAT_PT_TARIFF_NAME_LIST</vt:lpstr>
      <vt:lpstr>HEAT_PT_VED_ID</vt:lpstr>
      <vt:lpstr>HEAT_PT_VED_NAME</vt:lpstr>
      <vt:lpstr>HEAT_PT_VED_NAME_LIST</vt:lpstr>
      <vt:lpstr>HEAT_TARIFF_A_ADD_HL_COLUMN_MARKER</vt:lpstr>
      <vt:lpstr>HEAT_TARIFF_A_DEL_HL_GC_COLUMN_MARKER</vt:lpstr>
      <vt:lpstr>HEAT_TARIFF_A_DEL_HL_SCHEME_COLUMN_MARKER</vt:lpstr>
      <vt:lpstr>HEAT_TARIFF_A_DEL_HL_TN_COLUMN_MARKER</vt:lpstr>
      <vt:lpstr>HEAT_TARIFF_A_DELETE_PERIOD_ROW_MARKER</vt:lpstr>
      <vt:lpstr>HEAT_TARIFF_A_FLAG_BLOCK_COLUMN_MARKER</vt:lpstr>
      <vt:lpstr>HEAT_TARIFF_A_FLAG_BLOCK_ROW_MARKER</vt:lpstr>
      <vt:lpstr>HEAT_TARIFF_A_NUM_CS_COLUMN_MARKER</vt:lpstr>
      <vt:lpstr>HEAT_TARIFF_A_NUM_GC_COLUMN_MARKER</vt:lpstr>
      <vt:lpstr>HEAT_TARIFF_A_NUM_IST_TE_COLUMN_MARKER</vt:lpstr>
      <vt:lpstr>HEAT_TARIFF_A_NUM_NTAR_COLUMN_MARKER</vt:lpstr>
      <vt:lpstr>HEAT_TARIFF_A_NUM_SCHEME_COLUMN_MARKER</vt:lpstr>
      <vt:lpstr>HEAT_TARIFF_A_NUM_TER_COLUMN_MARKER</vt:lpstr>
      <vt:lpstr>HEAT_TARIFF_A_NUM_TN_COLUMN_MARKER</vt:lpstr>
      <vt:lpstr>HEAT_TARIFF_B_ADD_HL_COLUMN_MARKER</vt:lpstr>
      <vt:lpstr>HEAT_TARIFF_B_DEL_HL_GC_COLUMN_MARKER</vt:lpstr>
      <vt:lpstr>HEAT_TARIFF_B_DEL_HL_SCHEME_COLUMN_MARKER</vt:lpstr>
      <vt:lpstr>HEAT_TARIFF_B_DEL_HL_TN_COLUMN_MARKER</vt:lpstr>
      <vt:lpstr>HEAT_TARIFF_B_DELETE_PERIOD_ROW_MARKER</vt:lpstr>
      <vt:lpstr>HEAT_TARIFF_B_FLAG_BLOCK_COLUMN_MARKER</vt:lpstr>
      <vt:lpstr>HEAT_TARIFF_B_FLAG_BLOCK_ROW_MARKER</vt:lpstr>
      <vt:lpstr>HEAT_TARIFF_B_NUM_CS_COLUMN_MARKER</vt:lpstr>
      <vt:lpstr>HEAT_TARIFF_B_NUM_GC_COLUMN_MARKER</vt:lpstr>
      <vt:lpstr>HEAT_TARIFF_B_NUM_IST_TE_COLUMN_MARKER</vt:lpstr>
      <vt:lpstr>HEAT_TARIFF_B_NUM_NTAR_COLUMN_MARKER</vt:lpstr>
      <vt:lpstr>HEAT_TARIFF_B_NUM_SCHEME_COLUMN_MARKER</vt:lpstr>
      <vt:lpstr>HEAT_TARIFF_B_NUM_TER_COLUMN_MARKER</vt:lpstr>
      <vt:lpstr>HEAT_TARIFF_B_NUM_TN_COLUMN_MARKER</vt:lpstr>
      <vt:lpstr>HEAT_TARIFF_C_ADD_HL_COLUMN_MARKER</vt:lpstr>
      <vt:lpstr>HEAT_TARIFF_C_DEL_HL_GC_COLUMN_MARKER</vt:lpstr>
      <vt:lpstr>HEAT_TARIFF_C_DEL_HL_SCHEME_COLUMN_MARKER</vt:lpstr>
      <vt:lpstr>HEAT_TARIFF_C_DEL_HL_TN_COLUMN_MARKER</vt:lpstr>
      <vt:lpstr>HEAT_TARIFF_C_DELETE_PERIOD_ROW_MARKER</vt:lpstr>
      <vt:lpstr>HEAT_TARIFF_C_FLAG_BLOCK_COLUMN_MARKER</vt:lpstr>
      <vt:lpstr>HEAT_TARIFF_C_FLAG_BLOCK_ROW_MARKER</vt:lpstr>
      <vt:lpstr>HEAT_TARIFF_C_NUM_CS_COLUMN_MARKER</vt:lpstr>
      <vt:lpstr>HEAT_TARIFF_C_NUM_GC_COLUMN_MARKER</vt:lpstr>
      <vt:lpstr>HEAT_TARIFF_C_NUM_IST_TE_COLUMN_MARKER</vt:lpstr>
      <vt:lpstr>HEAT_TARIFF_C_NUM_NTAR_COLUMN_MARKER</vt:lpstr>
      <vt:lpstr>HEAT_TARIFF_C_NUM_SCHEME_COLUMN_MARKER</vt:lpstr>
      <vt:lpstr>HEAT_TARIFF_C_NUM_TER_COLUMN_MARKER</vt:lpstr>
      <vt:lpstr>HEAT_TARIFF_C_NUM_TN_COLUMN_MARKER</vt:lpstr>
      <vt:lpstr>HEAT_TARIFF_D_ADD_HL_COLUMN_MARKER</vt:lpstr>
      <vt:lpstr>HEAT_TARIFF_D_DEL_HL_CONS_COLUMN_MARKER</vt:lpstr>
      <vt:lpstr>HEAT_TARIFF_D_DEL_HL_GC_COLUMN_MARKER</vt:lpstr>
      <vt:lpstr>HEAT_TARIFF_D_DEL_HL_SCHEME_COLUMN_MARKER</vt:lpstr>
      <vt:lpstr>HEAT_TARIFF_D_DEL_HL_TN_COLUMN_MARKER</vt:lpstr>
      <vt:lpstr>HEAT_TARIFF_D_DELETE_PERIOD_ROW_MARKER</vt:lpstr>
      <vt:lpstr>HEAT_TARIFF_D_FLAG_BLOCK_COLUMN_MARKER</vt:lpstr>
      <vt:lpstr>HEAT_TARIFF_D_FLAG_BLOCK_ROW_MARKER</vt:lpstr>
      <vt:lpstr>HEAT_TARIFF_D_NUM_CONS_COLUMN_MARKER</vt:lpstr>
      <vt:lpstr>HEAT_TARIFF_D_NUM_CS_COLUMN_MARKER</vt:lpstr>
      <vt:lpstr>HEAT_TARIFF_D_NUM_GC_COLUMN_MARKER</vt:lpstr>
      <vt:lpstr>HEAT_TARIFF_D_NUM_IST_TE_COLUMN_MARKER</vt:lpstr>
      <vt:lpstr>HEAT_TARIFF_D_NUM_NTAR_COLUMN_MARKER</vt:lpstr>
      <vt:lpstr>HEAT_TARIFF_D_NUM_SCHEME_COLUMN_MARKER</vt:lpstr>
      <vt:lpstr>HEAT_TARIFF_D_NUM_TER_COLUMN_MARKER</vt:lpstr>
      <vt:lpstr>HEAT_TARIFF_D_NUM_TN_COLUMN_MARKER</vt:lpstr>
      <vt:lpstr>HEAT_TARIFF_E1_ADD_HL_COLUMN_MARKER</vt:lpstr>
      <vt:lpstr>HEAT_TARIFF_E1_DEL_HL_GC_COLUMN_MARKER</vt:lpstr>
      <vt:lpstr>HEAT_TARIFF_E1_DEL_HL_SCHEME_COLUMN_MARKER</vt:lpstr>
      <vt:lpstr>HEAT_TARIFF_E1_DEL_HL_TN_COLUMN_MARKER</vt:lpstr>
      <vt:lpstr>HEAT_TARIFF_E1_DELETE_PERIOD_ROW_MARKER</vt:lpstr>
      <vt:lpstr>HEAT_TARIFF_E1_FLAG_BLOCK_COLUMN_MARKER</vt:lpstr>
      <vt:lpstr>HEAT_TARIFF_E1_FLAG_BLOCK_ROW_MARKER</vt:lpstr>
      <vt:lpstr>HEAT_TARIFF_E1_NUM_CS_COLUMN_MARKER</vt:lpstr>
      <vt:lpstr>HEAT_TARIFF_E1_NUM_GC_COLUMN_MARKER</vt:lpstr>
      <vt:lpstr>HEAT_TARIFF_E1_NUM_IST_TE_COLUMN_MARKER</vt:lpstr>
      <vt:lpstr>HEAT_TARIFF_E1_NUM_NTAR_COLUMN_MARKER</vt:lpstr>
      <vt:lpstr>HEAT_TARIFF_E1_NUM_SCHEME_COLUMN_MARKER</vt:lpstr>
      <vt:lpstr>HEAT_TARIFF_E1_NUM_TER_COLUMN_MARKER</vt:lpstr>
      <vt:lpstr>HEAT_TARIFF_E1_NUM_TN_COLUMN_MARKER</vt:lpstr>
      <vt:lpstr>HEAT_TARIFF_E2_ADD_HL_COLUMN_MARKER</vt:lpstr>
      <vt:lpstr>HEAT_TARIFF_E2_DEL_HL_GC_COLUMN_MARKER</vt:lpstr>
      <vt:lpstr>HEAT_TARIFF_E2_DEL_HL_SCHEME_COLUMN_MARKER</vt:lpstr>
      <vt:lpstr>HEAT_TARIFF_E2_DEL_HL_TN_COLUMN_MARKER</vt:lpstr>
      <vt:lpstr>HEAT_TARIFF_E2_DELETE_PERIOD_ROW_MARKER</vt:lpstr>
      <vt:lpstr>HEAT_TARIFF_E2_FLAG_BLOCK_COLUMN_MARKER</vt:lpstr>
      <vt:lpstr>HEAT_TARIFF_E2_FLAG_BLOCK_ROW_MARKER</vt:lpstr>
      <vt:lpstr>HEAT_TARIFF_E2_NUM_CS_COLUMN_MARKER</vt:lpstr>
      <vt:lpstr>HEAT_TARIFF_E2_NUM_GC_COLUMN_MARKER</vt:lpstr>
      <vt:lpstr>HEAT_TARIFF_E2_NUM_IST_TE_COLUMN_MARKER</vt:lpstr>
      <vt:lpstr>HEAT_TARIFF_E2_NUM_NTAR_COLUMN_MARKER</vt:lpstr>
      <vt:lpstr>HEAT_TARIFF_E2_NUM_SCHEME_COLUMN_MARKER</vt:lpstr>
      <vt:lpstr>HEAT_TARIFF_E2_NUM_TER_COLUMN_MARKER</vt:lpstr>
      <vt:lpstr>HEAT_TARIFF_E2_NUM_TN_COLUMN_MARKER</vt:lpstr>
      <vt:lpstr>HEAT_TARIFF_F_ADD_HL_COLUMN_MARKER</vt:lpstr>
      <vt:lpstr>HEAT_TARIFF_F_DEL_HL_GC_COLUMN_MARKER</vt:lpstr>
      <vt:lpstr>HEAT_TARIFF_F_DEL_HL_SCHEME_COLUMN_MARKER</vt:lpstr>
      <vt:lpstr>HEAT_TARIFF_F_DEL_HL_TN_COLUMN_MARKER</vt:lpstr>
      <vt:lpstr>HEAT_TARIFF_F_DELETE_PERIOD_ROW_MARKER</vt:lpstr>
      <vt:lpstr>HEAT_TARIFF_F_FLAG_BLOCK_COLUMN_MARKER</vt:lpstr>
      <vt:lpstr>HEAT_TARIFF_F_FLAG_BLOCK_ROW_MARKER</vt:lpstr>
      <vt:lpstr>HEAT_TARIFF_F_NUM_CS_COLUMN_MARKER</vt:lpstr>
      <vt:lpstr>HEAT_TARIFF_F_NUM_GC_COLUMN_MARKER</vt:lpstr>
      <vt:lpstr>HEAT_TARIFF_F_NUM_IST_TE_COLUMN_MARKER</vt:lpstr>
      <vt:lpstr>HEAT_TARIFF_F_NUM_NTAR_COLUMN_MARKER</vt:lpstr>
      <vt:lpstr>HEAT_TARIFF_F_NUM_SCHEME_COLUMN_MARKER</vt:lpstr>
      <vt:lpstr>HEAT_TARIFF_F_NUM_TER_COLUMN_MARKER</vt:lpstr>
      <vt:lpstr>HEAT_TARIFF_F_NUM_TN_COLUMN_MARKER</vt:lpstr>
      <vt:lpstr>HEAT_TARIFF_G_ADD_HL_COLUMN_MARKER</vt:lpstr>
      <vt:lpstr>HEAT_TARIFF_G_ADD_HL_DIAMETERS_COLUMN_MARKER</vt:lpstr>
      <vt:lpstr>HEAT_TARIFF_G_ADD_HL_LOAD_COLUMN_MARKER</vt:lpstr>
      <vt:lpstr>HEAT_TARIFF_G_ADD_HL_NETS_COLUMN_MARKER</vt:lpstr>
      <vt:lpstr>HEAT_TARIFF_G_DEL_HL_DIAMETERS_COLUMN_MARKER</vt:lpstr>
      <vt:lpstr>HEAT_TARIFF_G_DEL_HL_GC_COLUMN_MARKER</vt:lpstr>
      <vt:lpstr>HEAT_TARIFF_G_DEL_HL_LOAD_COLUMN_MARKER</vt:lpstr>
      <vt:lpstr>HEAT_TARIFF_G_DEL_HL_NETS_COLUMN_MARKER</vt:lpstr>
      <vt:lpstr>HEAT_TARIFF_G_DEL_HL_SCHEME_COLUMN_MARKER</vt:lpstr>
      <vt:lpstr>HEAT_TARIFF_G_DEL_HL_TN_COLUMN_MARKER</vt:lpstr>
      <vt:lpstr>HEAT_TARIFF_G_DELETE_PERIOD_ROW_MARKER</vt:lpstr>
      <vt:lpstr>HEAT_TARIFF_G_FLAG_BLOCK_COLUMN_MARKER</vt:lpstr>
      <vt:lpstr>HEAT_TARIFF_G_FLAG_BLOCK_ROW_MARKER</vt:lpstr>
      <vt:lpstr>HEAT_TARIFF_G_NUM_CS_COLUMN_MARKER</vt:lpstr>
      <vt:lpstr>HEAT_TARIFF_G_NUM_DIAMETERS_COLUMN_MARKER</vt:lpstr>
      <vt:lpstr>HEAT_TARIFF_G_NUM_GC_COLUMN_MARKER</vt:lpstr>
      <vt:lpstr>HEAT_TARIFF_G_NUM_IST_TE_COLUMN_MARKER</vt:lpstr>
      <vt:lpstr>HEAT_TARIFF_G_NUM_LOAD_COLUMN_MARKER</vt:lpstr>
      <vt:lpstr>HEAT_TARIFF_G_NUM_NETS_COLUMN_MARKER</vt:lpstr>
      <vt:lpstr>HEAT_TARIFF_G_NUM_NTAR_COLUMN_MARKER</vt:lpstr>
      <vt:lpstr>HEAT_TARIFF_G_NUM_SCHEME_COLUMN_MARKER</vt:lpstr>
      <vt:lpstr>HEAT_TARIFF_G_NUM_TER_COLUMN_MARKER</vt:lpstr>
      <vt:lpstr>HEAT_TARIFF_G_NUM_TN_COLUMN_MARKER</vt:lpstr>
      <vt:lpstr>HEAT_TARIFF_H_ADD_HL_COLUMN_MARKER</vt:lpstr>
      <vt:lpstr>HEAT_TARIFF_H_ADD_HL_DIAMETERS_COLUMN_MARKER</vt:lpstr>
      <vt:lpstr>HEAT_TARIFF_H_ADD_HL_LOAD_COLUMN_MARKER</vt:lpstr>
      <vt:lpstr>HEAT_TARIFF_H_ADD_HL_NETS_COLUMN_MARKER</vt:lpstr>
      <vt:lpstr>HEAT_TARIFF_H_DEL_HL_DIAMETERS_COLUMN_MARKER</vt:lpstr>
      <vt:lpstr>HEAT_TARIFF_H_DEL_HL_GC_COLUMN_MARKER</vt:lpstr>
      <vt:lpstr>HEAT_TARIFF_H_DEL_HL_LOAD_COLUMN_MARKER</vt:lpstr>
      <vt:lpstr>HEAT_TARIFF_H_DEL_HL_NETS_COLUMN_MARKER</vt:lpstr>
      <vt:lpstr>HEAT_TARIFF_H_DEL_HL_SCHEME_COLUMN_MARKER</vt:lpstr>
      <vt:lpstr>HEAT_TARIFF_H_DEL_HL_TN_COLUMN_MARKER</vt:lpstr>
      <vt:lpstr>HEAT_TARIFF_H_DELETE_PERIOD_ROW_MARKER</vt:lpstr>
      <vt:lpstr>HEAT_TARIFF_H_FLAG_BLOCK_COLUMN_MARKER</vt:lpstr>
      <vt:lpstr>HEAT_TARIFF_H_FLAG_BLOCK_ROW_MARKER</vt:lpstr>
      <vt:lpstr>HEAT_TARIFF_H_NUM_CS_COLUMN_MARKER</vt:lpstr>
      <vt:lpstr>HEAT_TARIFF_H_NUM_DIAMETERS_COLUMN_MARKER</vt:lpstr>
      <vt:lpstr>HEAT_TARIFF_H_NUM_GC_COLUMN_MARKER</vt:lpstr>
      <vt:lpstr>HEAT_TARIFF_H_NUM_IST_TE_COLUMN_MARKER</vt:lpstr>
      <vt:lpstr>HEAT_TARIFF_H_NUM_LOAD_COLUMN_MARKER</vt:lpstr>
      <vt:lpstr>HEAT_TARIFF_H_NUM_NETS_COLUMN_MARKER</vt:lpstr>
      <vt:lpstr>HEAT_TARIFF_H_NUM_NTAR_COLUMN_MARKER</vt:lpstr>
      <vt:lpstr>HEAT_TARIFF_H_NUM_SCHEME_COLUMN_MARKER</vt:lpstr>
      <vt:lpstr>HEAT_TARIFF_H_NUM_TER_COLUMN_MARKER</vt:lpstr>
      <vt:lpstr>HEAT_TARIFF_H_NUM_TN_COLUMN_MARKER</vt:lpstr>
      <vt:lpstr>HEAT_TARIFF_I_1_ADD_HL_COLUMN_MARKER</vt:lpstr>
      <vt:lpstr>HEAT_TARIFF_I_1_DEL_HL_GC_COLUMN_MARKER</vt:lpstr>
      <vt:lpstr>HEAT_TARIFF_I_1_DEL_HL_SCHEME_COLUMN_MARKER</vt:lpstr>
      <vt:lpstr>HEAT_TARIFF_I_1_DEL_HL_TN_COLUMN_MARKER</vt:lpstr>
      <vt:lpstr>HEAT_TARIFF_I_1_DELETE_PERIOD_ROW_MARKER</vt:lpstr>
      <vt:lpstr>HEAT_TARIFF_I_1_FLAG_BLOCK_COLUMN_MARKER</vt:lpstr>
      <vt:lpstr>HEAT_TARIFF_I_1_FLAG_BLOCK_ROW_MARKER</vt:lpstr>
      <vt:lpstr>HEAT_TARIFF_I_1_NUM_CS_COLUMN_MARKER</vt:lpstr>
      <vt:lpstr>HEAT_TARIFF_I_1_NUM_GC_COLUMN_MARKER</vt:lpstr>
      <vt:lpstr>HEAT_TARIFF_I_1_NUM_IST_TE_COLUMN_MARKER</vt:lpstr>
      <vt:lpstr>HEAT_TARIFF_I_1_NUM_NTAR_COLUMN_MARKER</vt:lpstr>
      <vt:lpstr>HEAT_TARIFF_I_1_NUM_SCHEME_COLUMN_MARKER</vt:lpstr>
      <vt:lpstr>HEAT_TARIFF_I_1_NUM_TER_COLUMN_MARKER</vt:lpstr>
      <vt:lpstr>HEAT_TARIFF_I_1_NUM_TN_COLUMN_MARKER</vt:lpstr>
      <vt:lpstr>HEAT_TARIFF_I_ADD_HL_COLUMN_MARKER</vt:lpstr>
      <vt:lpstr>HEAT_TARIFF_I_DEL_HL_GC_COLUMN_MARKER</vt:lpstr>
      <vt:lpstr>HEAT_TARIFF_I_DEL_HL_SCHEME_COLUMN_MARKER</vt:lpstr>
      <vt:lpstr>HEAT_TARIFF_I_DEL_HL_TN_COLUMN_MARKER</vt:lpstr>
      <vt:lpstr>HEAT_TARIFF_I_DELETE_PERIOD_ROW_MARKER</vt:lpstr>
      <vt:lpstr>HEAT_TARIFF_I_FLAG_BLOCK_COLUMN_MARKER</vt:lpstr>
      <vt:lpstr>HEAT_TARIFF_I_FLAG_BLOCK_ROW_MARKER</vt:lpstr>
      <vt:lpstr>HEAT_TARIFF_I_NUM_CS_COLUMN_MARKER</vt:lpstr>
      <vt:lpstr>HEAT_TARIFF_I_NUM_GC_COLUMN_MARKER</vt:lpstr>
      <vt:lpstr>HEAT_TARIFF_I_NUM_IST_TE_COLUMN_MARKER</vt:lpstr>
      <vt:lpstr>HEAT_TARIFF_I_NUM_NTAR_COLUMN_MARKER</vt:lpstr>
      <vt:lpstr>HEAT_TARIFF_I_NUM_SCHEME_COLUMN_MARKER</vt:lpstr>
      <vt:lpstr>HEAT_TARIFF_I_NUM_TER_COLUMN_MARKER</vt:lpstr>
      <vt:lpstr>HEAT_TARIFF_I_NUM_TN_COLUMN_MARKER</vt:lpstr>
      <vt:lpstr>HOTVSNA_FIN_SRC_LIST</vt:lpstr>
      <vt:lpstr>HOTVSNA_FIN_SRC_VLD_LIST</vt:lpstr>
      <vt:lpstr>HOTVSNA_IP_EVENT_CI_STAGE_LIST</vt:lpstr>
      <vt:lpstr>HOTVSNA_IP_EVENT_GROUP_LIST</vt:lpstr>
      <vt:lpstr>HOTVSNA_IP_EVENT_SUBGROUP_1_LIST</vt:lpstr>
      <vt:lpstr>HOTVSNA_IP_EVENT_SUBGROUP_3_LIST</vt:lpstr>
      <vt:lpstr>HOTVSNA_IP_EVENT_SUBGROUP_5_LIST</vt:lpstr>
      <vt:lpstr>HOTVSNA_IP_EVENT_TYPE_LIST</vt:lpstr>
      <vt:lpstr>HOTVSNA_PT_VED_ID</vt:lpstr>
      <vt:lpstr>HOTVSNA_PT_VED_NAME</vt:lpstr>
      <vt:lpstr>HOTVSNA_PT_VED_NAME_LIST</vt:lpstr>
      <vt:lpstr>HOTVSNA_TARIFF_A_HOTVSNA_ADD_HL_COLUMN_MARKER</vt:lpstr>
      <vt:lpstr>HOTVSNA_TARIFF_A_HOTVSNA_DEL_HL_DATA_DIFF_COLUMN_MARKER</vt:lpstr>
      <vt:lpstr>HOTVSNA_TARIFF_A_HOTVSNA_DEL_HL_FLAG_DIFF_COLUMN_MARKER</vt:lpstr>
      <vt:lpstr>HOTVSNA_TARIFF_A_HOTVSNA_DEL_HL_GC_COLUMN_MARKER</vt:lpstr>
      <vt:lpstr>HOTVSNA_TARIFF_A_HOTVSNA_DELETE_PERIOD_ROW_MARKER</vt:lpstr>
      <vt:lpstr>HOTVSNA_TARIFF_A_HOTVSNA_FLAG_BLOCK_COLUMN_MARKER</vt:lpstr>
      <vt:lpstr>HOTVSNA_TARIFF_A_HOTVSNA_FLAG_BLOCK_ROW_MARKER</vt:lpstr>
      <vt:lpstr>HOTVSNA_TARIFF_A_HOTVSNA_NUM_CS_COLUMN_MARKER</vt:lpstr>
      <vt:lpstr>HOTVSNA_TARIFF_A_HOTVSNA_NUM_DATA_DIFF_COLUMN_MARKER</vt:lpstr>
      <vt:lpstr>HOTVSNA_TARIFF_A_HOTVSNA_NUM_FLAG_DIFF_COLUMN_MARKER</vt:lpstr>
      <vt:lpstr>HOTVSNA_TARIFF_A_HOTVSNA_NUM_GC_COLUMN_MARKER</vt:lpstr>
      <vt:lpstr>HOTVSNA_TARIFF_A_HOTVSNA_NUM_NTAR_COLUMN_MARKER</vt:lpstr>
      <vt:lpstr>HOTVSNA_TARIFF_A_HOTVSNA_NUM_TER_COLUMN_MARKER</vt:lpstr>
      <vt:lpstr>HOTVSNA_TARIFF_B_HOTVSNA_ADD_HL_COLUMN_MARKER</vt:lpstr>
      <vt:lpstr>HOTVSNA_TARIFF_B_HOTVSNA_DEL_HL_DATA_DIFF_COLUMN_MARKER</vt:lpstr>
      <vt:lpstr>HOTVSNA_TARIFF_B_HOTVSNA_DEL_HL_FLAG_DIFF_COLUMN_MARKER</vt:lpstr>
      <vt:lpstr>HOTVSNA_TARIFF_B_HOTVSNA_DEL_HL_GC_COLUMN_MARKER</vt:lpstr>
      <vt:lpstr>HOTVSNA_TARIFF_B_HOTVSNA_DELETE_PERIOD_ROW_MARKER</vt:lpstr>
      <vt:lpstr>HOTVSNA_TARIFF_B_HOTVSNA_FLAG_BLOCK_COLUMN_MARKER</vt:lpstr>
      <vt:lpstr>HOTVSNA_TARIFF_B_HOTVSNA_FLAG_BLOCK_ROW_MARKER</vt:lpstr>
      <vt:lpstr>HOTVSNA_TARIFF_B_HOTVSNA_NUM_CS_COLUMN_MARKER</vt:lpstr>
      <vt:lpstr>HOTVSNA_TARIFF_B_HOTVSNA_NUM_DATA_DIFF_COLUMN_MARKER</vt:lpstr>
      <vt:lpstr>HOTVSNA_TARIFF_B_HOTVSNA_NUM_FLAG_DIFF_COLUMN_MARKER</vt:lpstr>
      <vt:lpstr>HOTVSNA_TARIFF_B_HOTVSNA_NUM_GC_COLUMN_MARKER</vt:lpstr>
      <vt:lpstr>HOTVSNA_TARIFF_B_HOTVSNA_NUM_NTAR_COLUMN_MARKER</vt:lpstr>
      <vt:lpstr>HOTVSNA_TARIFF_B_HOTVSNA_NUM_TER_COLUMN_MARKER</vt:lpstr>
      <vt:lpstr>HOTVSNA_TARIFF_C_HOTVSNA_ADD_HL_COLUMN_MARKER</vt:lpstr>
      <vt:lpstr>HOTVSNA_TARIFF_C_HOTVSNA_ADD_HL_DIAMETERS_COLUMN_MARKER</vt:lpstr>
      <vt:lpstr>HOTVSNA_TARIFF_C_HOTVSNA_ADD_HL_LEN_COLUMN_MARKER</vt:lpstr>
      <vt:lpstr>HOTVSNA_TARIFF_C_HOTVSNA_ADD_HL_LOAD_COLUMN_MARKER</vt:lpstr>
      <vt:lpstr>HOTVSNA_TARIFF_C_HOTVSNA_ADD_HL_NETS_COLUMN_MARKER</vt:lpstr>
      <vt:lpstr>HOTVSNA_TARIFF_C_HOTVSNA_DEL_HL_DATA_DIFF_COLUMN_MARKER</vt:lpstr>
      <vt:lpstr>HOTVSNA_TARIFF_C_HOTVSNA_DEL_HL_DIAMETERS_COLUMN_MARKER</vt:lpstr>
      <vt:lpstr>HOTVSNA_TARIFF_C_HOTVSNA_DEL_HL_FLAG_DIFF_COLUMN_MARKER</vt:lpstr>
      <vt:lpstr>HOTVSNA_TARIFF_C_HOTVSNA_DEL_HL_GC_COLUMN_MARKER</vt:lpstr>
      <vt:lpstr>HOTVSNA_TARIFF_C_HOTVSNA_DEL_HL_LEN_COLUMN_MARKER</vt:lpstr>
      <vt:lpstr>HOTVSNA_TARIFF_C_HOTVSNA_DEL_HL_LOAD_COLUMN_MARKER</vt:lpstr>
      <vt:lpstr>HOTVSNA_TARIFF_C_HOTVSNA_DEL_HL_NETS_COLUMN_MARKER</vt:lpstr>
      <vt:lpstr>HOTVSNA_TARIFF_C_HOTVSNA_DELETE_PERIOD_ROW_MARKER</vt:lpstr>
      <vt:lpstr>HOTVSNA_TARIFF_C_HOTVSNA_FLAG_BLOCK_COLUMN_MARKER</vt:lpstr>
      <vt:lpstr>HOTVSNA_TARIFF_C_HOTVSNA_FLAG_BLOCK_ROW_MARKER</vt:lpstr>
      <vt:lpstr>HOTVSNA_TARIFF_C_HOTVSNA_NUM_CS_COLUMN_MARKER</vt:lpstr>
      <vt:lpstr>HOTVSNA_TARIFF_C_HOTVSNA_NUM_DATA_DIFF_COLUMN_MARKER</vt:lpstr>
      <vt:lpstr>HOTVSNA_TARIFF_C_HOTVSNA_NUM_DIAMETERS_COLUMN_MARKER</vt:lpstr>
      <vt:lpstr>HOTVSNA_TARIFF_C_HOTVSNA_NUM_FLAG_DIFF_COLUMN_MARKER</vt:lpstr>
      <vt:lpstr>HOTVSNA_TARIFF_C_HOTVSNA_NUM_GC_COLUMN_MARKER</vt:lpstr>
      <vt:lpstr>HOTVSNA_TARIFF_C_HOTVSNA_NUM_LEN_COLUMN_MARKER</vt:lpstr>
      <vt:lpstr>HOTVSNA_TARIFF_C_HOTVSNA_NUM_LOAD_COLUMN_MARKER</vt:lpstr>
      <vt:lpstr>HOTVSNA_TARIFF_C_HOTVSNA_NUM_NETS_COLUMN_MARKER</vt:lpstr>
      <vt:lpstr>HOTVSNA_TARIFF_C_HOTVSNA_NUM_NTAR_COLUMN_MARKER</vt:lpstr>
      <vt:lpstr>HOTVSNA_TARIFF_C_HOTVSNA_NUM_TER_COLUMN_MARKER</vt:lpstr>
      <vt:lpstr>Info_Diff</vt:lpstr>
      <vt:lpstr>Info_Diff1</vt:lpstr>
      <vt:lpstr>Info_FilFlag</vt:lpstr>
      <vt:lpstr>Info_ForMOInListMO</vt:lpstr>
      <vt:lpstr>Info_ForMRInListMO</vt:lpstr>
      <vt:lpstr>Info_ForSKIInListMO</vt:lpstr>
      <vt:lpstr>Info_ForSKINumberInListMO</vt:lpstr>
      <vt:lpstr>Info_NoteStandarts</vt:lpstr>
      <vt:lpstr>Info_NoUpdates</vt:lpstr>
      <vt:lpstr>Info_PeriodInTitle</vt:lpstr>
      <vt:lpstr>Info_PrDiff</vt:lpstr>
      <vt:lpstr>Info_PublicationNotDisclosed</vt:lpstr>
      <vt:lpstr>Info_PublicationPdf</vt:lpstr>
      <vt:lpstr>Info_PublicationWeb</vt:lpstr>
      <vt:lpstr>Info_T_Podkl</vt:lpstr>
      <vt:lpstr>Info_TarName</vt:lpstr>
      <vt:lpstr>Info_TerExcludeHelp_1</vt:lpstr>
      <vt:lpstr>Info_TerExcludeHelp_2</vt:lpstr>
      <vt:lpstr>Info_TitleFil</vt:lpstr>
      <vt:lpstr>Info_TitleFlagCrossSubsidization</vt:lpstr>
      <vt:lpstr>Info_TitleFlagIstPubl</vt:lpstr>
      <vt:lpstr>Info_TitleFlagTwoPartTariff</vt:lpstr>
      <vt:lpstr>Info_TitleGroupRates</vt:lpstr>
      <vt:lpstr>Info_TitleKindPublication</vt:lpstr>
      <vt:lpstr>Info_TitleKindsOfGoods</vt:lpstr>
      <vt:lpstr>Info_TitlePublication</vt:lpstr>
      <vt:lpstr>Info_TitleType</vt:lpstr>
      <vt:lpstr>inn</vt:lpstr>
      <vt:lpstr>IP_CLAIM_LIST</vt:lpstr>
      <vt:lpstr>IP_DETAILED_ADD_HL_EVENT_COLUMN_MARKER</vt:lpstr>
      <vt:lpstr>IP_DETAILED_ADD_HL_IST_FIN_COLUMN_MARKER</vt:lpstr>
      <vt:lpstr>IP_DETAILED_ADD_HL_OBJECT_COLUMN_MARKER</vt:lpstr>
      <vt:lpstr>IP_DETAILED_DATA_KS</vt:lpstr>
      <vt:lpstr>IP_DETAILED_EVENT_MARKER</vt:lpstr>
      <vt:lpstr>IP_DETAILED_EVENT_SUBGROUP_COLUMN_MARKER</vt:lpstr>
      <vt:lpstr>IP_DETAILED_EVENT_SUBGROUP_RANGE_COLUMN_MARKER</vt:lpstr>
      <vt:lpstr>IP_DETAILED_FLAG_KS</vt:lpstr>
      <vt:lpstr>IP_DETAILED_FLAG_OBJECT</vt:lpstr>
      <vt:lpstr>IP_DETAILED_GROUP_MARKER</vt:lpstr>
      <vt:lpstr>IP_DETAILED_IST_FIN_FACT_COLUMN_MARKER</vt:lpstr>
      <vt:lpstr>IP_DETAILED_LIST_IP_ID</vt:lpstr>
      <vt:lpstr>IP_DETAILED_MONTH_FACT_COLUMN_MARKER</vt:lpstr>
      <vt:lpstr>IP_DETAILED_MONTH_PLAN_COLUMN_MARKER</vt:lpstr>
      <vt:lpstr>IP_DETAILED_NAME_EVENT_COLUMN_MARKER</vt:lpstr>
      <vt:lpstr>IP_DETAILED_YEAR_FACT_COLUMN_MARKER</vt:lpstr>
      <vt:lpstr>IP_DETAILED_YEAR_PLAN_COLUMN_MARKER</vt:lpstr>
      <vt:lpstr>IP_FIN_PLAN_LIST_ID_MARKER_ROW</vt:lpstr>
      <vt:lpstr>IP_FIN_PLAN_NAME_IP_MARKER_ROW</vt:lpstr>
      <vt:lpstr>IP_FIN_PLAN_YEAR_MARKER_ROW</vt:lpstr>
      <vt:lpstr>IP_ID</vt:lpstr>
      <vt:lpstr>IP_MAIN_ADD_HL_PROPERTY_COLUMN_MARKER</vt:lpstr>
      <vt:lpstr>IP_MAIN_APPROVAL_DATE</vt:lpstr>
      <vt:lpstr>IP_MAIN_CHANGE_DATE</vt:lpstr>
      <vt:lpstr>IP_MAIN_CLAIM</vt:lpstr>
      <vt:lpstr>IP_MAIN_DATE_PARKING</vt:lpstr>
      <vt:lpstr>IP_MAIN_DELETE_HL_COLUMN_MARKER</vt:lpstr>
      <vt:lpstr>IP_MAIN_DIFFERENTIATION_EVENTS_FLAG</vt:lpstr>
      <vt:lpstr>IP_MAIN_END_DATE</vt:lpstr>
      <vt:lpstr>IP_MAIN_FLAG_KS</vt:lpstr>
      <vt:lpstr>IP_MAIN_FLAG_KS_COLUMN_MARKER</vt:lpstr>
      <vt:lpstr>IP_MAIN_IP_FIN_PLAN_VISIBLE_FLAG</vt:lpstr>
      <vt:lpstr>IP_MAIN_LIST_IP_ID</vt:lpstr>
      <vt:lpstr>IP_MAIN_LIST_NAME_IP</vt:lpstr>
      <vt:lpstr>IP_MAIN_PERIOD_REALIZ_DATE</vt:lpstr>
      <vt:lpstr>IP_MAIN_PR_IP_CHANGE_DATE</vt:lpstr>
      <vt:lpstr>IP_MAIN_PR_IP_DATE</vt:lpstr>
      <vt:lpstr>IP_MAIN_PR_IP_NAME</vt:lpstr>
      <vt:lpstr>IP_MAIN_PR_IP_NUMBER</vt:lpstr>
      <vt:lpstr>IP_MAIN_PR_IP_TYPE</vt:lpstr>
      <vt:lpstr>IP_MAIN_START_DATE</vt:lpstr>
      <vt:lpstr>IP_NAME_FORM</vt:lpstr>
      <vt:lpstr>IP_QRE_ADD_HL_CLAIM_COLUMN_MARKER</vt:lpstr>
      <vt:lpstr>IP_QRE_ADD_HL_COLUMN_MARKER</vt:lpstr>
      <vt:lpstr>IP_QRE_DELETE_HL_COLUMN_MARKER</vt:lpstr>
      <vt:lpstr>IP_QRE_LIST_IP_ID</vt:lpstr>
      <vt:lpstr>IP_QRE_NUM_COLUMN_MARKER</vt:lpstr>
      <vt:lpstr>IP_QRE_OTKO_FEATURES_BLOCK</vt:lpstr>
      <vt:lpstr>IP_QRE_VOTV_FEATURES_BLOCK</vt:lpstr>
      <vt:lpstr>IP_QRE_VSNA_FEATURES_BLOCK</vt:lpstr>
      <vt:lpstr>IP_QRE_WARM_FEATURES_BLOCK</vt:lpstr>
      <vt:lpstr>IST_TE_ID</vt:lpstr>
      <vt:lpstr>kind_group_rates</vt:lpstr>
      <vt:lpstr>kind_group_rates_load</vt:lpstr>
      <vt:lpstr>kind_group_rates_load_ETS</vt:lpstr>
      <vt:lpstr>kind_group_rates_load_filter</vt:lpstr>
      <vt:lpstr>kind_group_rates_load_filter_ETS</vt:lpstr>
      <vt:lpstr>kind_of_activity_WARM</vt:lpstr>
      <vt:lpstr>kind_of_cons</vt:lpstr>
      <vt:lpstr>kind_of_control_method</vt:lpstr>
      <vt:lpstr>kind_of_control_method_filter</vt:lpstr>
      <vt:lpstr>kind_of_data_type</vt:lpstr>
      <vt:lpstr>kind_of_diameters</vt:lpstr>
      <vt:lpstr>kind_of_diameters2</vt:lpstr>
      <vt:lpstr>kind_of_diff</vt:lpstr>
      <vt:lpstr>kind_of_fuel</vt:lpstr>
      <vt:lpstr>kind_of_fuels</vt:lpstr>
      <vt:lpstr>kind_of_heat_transfer</vt:lpstr>
      <vt:lpstr>kind_of_heat_transfer2</vt:lpstr>
      <vt:lpstr>kind_of_heat_transfer3</vt:lpstr>
      <vt:lpstr>kind_of_load</vt:lpstr>
      <vt:lpstr>kind_of_load2</vt:lpstr>
      <vt:lpstr>kind_of_load3</vt:lpstr>
      <vt:lpstr>kind_of_load4</vt:lpstr>
      <vt:lpstr>kind_of_NDS</vt:lpstr>
      <vt:lpstr>kind_of_NDS_tariff</vt:lpstr>
      <vt:lpstr>kind_of_NDS_tariff_people</vt:lpstr>
      <vt:lpstr>kind_of_nets</vt:lpstr>
      <vt:lpstr>kind_of_org_type</vt:lpstr>
      <vt:lpstr>kind_of_power_te_unit</vt:lpstr>
      <vt:lpstr>kind_of_publication</vt:lpstr>
      <vt:lpstr>kind_of_purchase_method</vt:lpstr>
      <vt:lpstr>kind_of_scheme_in</vt:lpstr>
      <vt:lpstr>kind_of_scheme_in2</vt:lpstr>
      <vt:lpstr>kind_of_tariff_RHEAT</vt:lpstr>
      <vt:lpstr>kind_of_tariff_unit</vt:lpstr>
      <vt:lpstr>kind_of_unit</vt:lpstr>
      <vt:lpstr>kind_of_volume_te_unit</vt:lpstr>
      <vt:lpstr>kind_of_zak</vt:lpstr>
      <vt:lpstr>KNE_NAME_FORM</vt:lpstr>
      <vt:lpstr>kpp</vt:lpstr>
      <vt:lpstr>LINK_RANGE</vt:lpstr>
      <vt:lpstr>List_H</vt:lpstr>
      <vt:lpstr>List_M</vt:lpstr>
      <vt:lpstr>LIST_MR_MO_OKTMO</vt:lpstr>
      <vt:lpstr>LIST_MR_MO_OKTMO_FILTER</vt:lpstr>
      <vt:lpstr>ListForms</vt:lpstr>
      <vt:lpstr>logical</vt:lpstr>
      <vt:lpstr>MONTH</vt:lpstr>
      <vt:lpstr>MONTH_IP_LIST</vt:lpstr>
      <vt:lpstr>nalog</vt:lpstr>
      <vt:lpstr>name_rates_4</vt:lpstr>
      <vt:lpstr>name_rates_4_filter</vt:lpstr>
      <vt:lpstr>name_rates_8</vt:lpstr>
      <vt:lpstr>name_rates_8_filter</vt:lpstr>
      <vt:lpstr>NameTemplatesInListMO</vt:lpstr>
      <vt:lpstr>NameTemplatesInTitle</vt:lpstr>
      <vt:lpstr>NameTemplatesInTitleList</vt:lpstr>
      <vt:lpstr>NTAR_ID</vt:lpstr>
      <vt:lpstr>OFFER_DPR</vt:lpstr>
      <vt:lpstr>OFFER_METHOD</vt:lpstr>
      <vt:lpstr>OFFER_METHOD_FLAG</vt:lpstr>
      <vt:lpstr>OFFER_TARIFF_A_1</vt:lpstr>
      <vt:lpstr>OFFER_TARIFF_A_2</vt:lpstr>
      <vt:lpstr>OFFER_TARIFF_A_3</vt:lpstr>
      <vt:lpstr>OFFER_TARIFF_A_4</vt:lpstr>
      <vt:lpstr>OFFER_TARIFF_A_5</vt:lpstr>
      <vt:lpstr>OFFER_TARIFF_A_COLDVSNA_1</vt:lpstr>
      <vt:lpstr>OFFER_TARIFF_A_COLDVSNA_2</vt:lpstr>
      <vt:lpstr>OFFER_TARIFF_A_COLDVSNA_3</vt:lpstr>
      <vt:lpstr>OFFER_TARIFF_A_COLDVSNA_4</vt:lpstr>
      <vt:lpstr>OFFER_TARIFF_A_COLDVSNA_5</vt:lpstr>
      <vt:lpstr>OFFER_TARIFF_A_HOTVSNA_1</vt:lpstr>
      <vt:lpstr>OFFER_TARIFF_A_HOTVSNA_2</vt:lpstr>
      <vt:lpstr>OFFER_TARIFF_A_HOTVSNA_3</vt:lpstr>
      <vt:lpstr>OFFER_TARIFF_A_HOTVSNA_4</vt:lpstr>
      <vt:lpstr>OFFER_TARIFF_A_HOTVSNA_5</vt:lpstr>
      <vt:lpstr>OFFER_TARIFF_A_VOTV_1</vt:lpstr>
      <vt:lpstr>OFFER_TARIFF_A_VOTV_2</vt:lpstr>
      <vt:lpstr>OFFER_TARIFF_A_VOTV_3</vt:lpstr>
      <vt:lpstr>OFFER_TARIFF_A_VOTV_4</vt:lpstr>
      <vt:lpstr>OFFER_TARIFF_A_VOTV_5</vt:lpstr>
      <vt:lpstr>OFFER_TARIFF_B_1</vt:lpstr>
      <vt:lpstr>OFFER_TARIFF_B_2</vt:lpstr>
      <vt:lpstr>OFFER_TARIFF_B_3</vt:lpstr>
      <vt:lpstr>OFFER_TARIFF_B_4</vt:lpstr>
      <vt:lpstr>OFFER_TARIFF_B_5</vt:lpstr>
      <vt:lpstr>OFFER_TARIFF_B_COLDVSNA_1</vt:lpstr>
      <vt:lpstr>OFFER_TARIFF_B_COLDVSNA_2</vt:lpstr>
      <vt:lpstr>OFFER_TARIFF_B_COLDVSNA_3</vt:lpstr>
      <vt:lpstr>OFFER_TARIFF_B_COLDVSNA_4</vt:lpstr>
      <vt:lpstr>OFFER_TARIFF_B_COLDVSNA_5</vt:lpstr>
      <vt:lpstr>OFFER_TARIFF_B_HOTVSNA_1</vt:lpstr>
      <vt:lpstr>OFFER_TARIFF_B_HOTVSNA_2</vt:lpstr>
      <vt:lpstr>OFFER_TARIFF_B_HOTVSNA_3</vt:lpstr>
      <vt:lpstr>OFFER_TARIFF_B_HOTVSNA_4</vt:lpstr>
      <vt:lpstr>OFFER_TARIFF_B_HOTVSNA_5</vt:lpstr>
      <vt:lpstr>OFFER_TARIFF_B_VOTV_1</vt:lpstr>
      <vt:lpstr>OFFER_TARIFF_B_VOTV_2</vt:lpstr>
      <vt:lpstr>OFFER_TARIFF_B_VOTV_3</vt:lpstr>
      <vt:lpstr>OFFER_TARIFF_B_VOTV_4</vt:lpstr>
      <vt:lpstr>OFFER_TARIFF_B_VOTV_5</vt:lpstr>
      <vt:lpstr>OFFER_TARIFF_C_1</vt:lpstr>
      <vt:lpstr>OFFER_TARIFF_C_2</vt:lpstr>
      <vt:lpstr>OFFER_TARIFF_C_3</vt:lpstr>
      <vt:lpstr>OFFER_TARIFF_C_4</vt:lpstr>
      <vt:lpstr>OFFER_TARIFF_C_5</vt:lpstr>
      <vt:lpstr>OFFER_TARIFF_C_COLDVSNA_1</vt:lpstr>
      <vt:lpstr>OFFER_TARIFF_C_COLDVSNA_2</vt:lpstr>
      <vt:lpstr>OFFER_TARIFF_C_COLDVSNA_3</vt:lpstr>
      <vt:lpstr>OFFER_TARIFF_C_COLDVSNA_4</vt:lpstr>
      <vt:lpstr>OFFER_TARIFF_C_COLDVSNA_5</vt:lpstr>
      <vt:lpstr>OFFER_TARIFF_C_HOTVSNA_1</vt:lpstr>
      <vt:lpstr>OFFER_TARIFF_C_HOTVSNA_2</vt:lpstr>
      <vt:lpstr>OFFER_TARIFF_C_HOTVSNA_3</vt:lpstr>
      <vt:lpstr>OFFER_TARIFF_C_HOTVSNA_4</vt:lpstr>
      <vt:lpstr>OFFER_TARIFF_C_HOTVSNA_5</vt:lpstr>
      <vt:lpstr>OFFER_TARIFF_C_VOTV_1</vt:lpstr>
      <vt:lpstr>OFFER_TARIFF_C_VOTV_2</vt:lpstr>
      <vt:lpstr>OFFER_TARIFF_C_VOTV_3</vt:lpstr>
      <vt:lpstr>OFFER_TARIFF_C_VOTV_4</vt:lpstr>
      <vt:lpstr>OFFER_TARIFF_C_VOTV_5</vt:lpstr>
      <vt:lpstr>OFFER_TARIFF_D_1</vt:lpstr>
      <vt:lpstr>OFFER_TARIFF_D_2</vt:lpstr>
      <vt:lpstr>OFFER_TARIFF_D_3</vt:lpstr>
      <vt:lpstr>OFFER_TARIFF_D_4</vt:lpstr>
      <vt:lpstr>OFFER_TARIFF_D_5</vt:lpstr>
      <vt:lpstr>OFFER_TARIFF_D_COLDVSNA_1</vt:lpstr>
      <vt:lpstr>OFFER_TARIFF_D_COLDVSNA_2</vt:lpstr>
      <vt:lpstr>OFFER_TARIFF_D_COLDVSNA_3</vt:lpstr>
      <vt:lpstr>OFFER_TARIFF_D_COLDVSNA_4</vt:lpstr>
      <vt:lpstr>OFFER_TARIFF_D_COLDVSNA_5</vt:lpstr>
      <vt:lpstr>OFFER_TARIFF_E_COLDVSNA_1</vt:lpstr>
      <vt:lpstr>OFFER_TARIFF_E_COLDVSNA_2</vt:lpstr>
      <vt:lpstr>OFFER_TARIFF_E_COLDVSNA_3</vt:lpstr>
      <vt:lpstr>OFFER_TARIFF_E_COLDVSNA_4</vt:lpstr>
      <vt:lpstr>OFFER_TARIFF_E_COLDVSNA_5</vt:lpstr>
      <vt:lpstr>OFFER_TARIFF_E1_1</vt:lpstr>
      <vt:lpstr>OFFER_TARIFF_E1_2</vt:lpstr>
      <vt:lpstr>OFFER_TARIFF_E1_3</vt:lpstr>
      <vt:lpstr>OFFER_TARIFF_E1_4</vt:lpstr>
      <vt:lpstr>OFFER_TARIFF_E1_5</vt:lpstr>
      <vt:lpstr>OFFER_TARIFF_E2_1</vt:lpstr>
      <vt:lpstr>OFFER_TARIFF_E2_2</vt:lpstr>
      <vt:lpstr>OFFER_TARIFF_E2_3</vt:lpstr>
      <vt:lpstr>OFFER_TARIFF_E2_4</vt:lpstr>
      <vt:lpstr>OFFER_TARIFF_E2_5</vt:lpstr>
      <vt:lpstr>OFFER_TARIFF_F_1</vt:lpstr>
      <vt:lpstr>OFFER_TARIFF_F_2</vt:lpstr>
      <vt:lpstr>OFFER_TARIFF_F_3</vt:lpstr>
      <vt:lpstr>OFFER_TARIFF_F_4</vt:lpstr>
      <vt:lpstr>OFFER_TARIFF_F_5</vt:lpstr>
      <vt:lpstr>OFFER_TARIFF_G_1</vt:lpstr>
      <vt:lpstr>OFFER_TARIFF_G_2</vt:lpstr>
      <vt:lpstr>OFFER_TARIFF_G_3</vt:lpstr>
      <vt:lpstr>OFFER_TARIFF_G_4</vt:lpstr>
      <vt:lpstr>OFFER_TARIFF_G_5</vt:lpstr>
      <vt:lpstr>OFFER_TARIFF_H_1</vt:lpstr>
      <vt:lpstr>org</vt:lpstr>
      <vt:lpstr>Org_Address</vt:lpstr>
      <vt:lpstr>ORG_END_DATE</vt:lpstr>
      <vt:lpstr>ORG_INFO_DATE_OGRN</vt:lpstr>
      <vt:lpstr>ORG_INFO_DATE_PARKING</vt:lpstr>
      <vt:lpstr>ORG_INFO_DATE_UNI_TS</vt:lpstr>
      <vt:lpstr>ORG_INFO_EMAIL</vt:lpstr>
      <vt:lpstr>ORG_INFO_ET</vt:lpstr>
      <vt:lpstr>ORG_INFO_ET_CYAN</vt:lpstr>
      <vt:lpstr>ORG_INFO_FLAG_INVEST</vt:lpstr>
      <vt:lpstr>ORG_INFO_NAME_FORM</vt:lpstr>
      <vt:lpstr>ORG_INFO_P_NOTE_MAIN</vt:lpstr>
      <vt:lpstr>ORG_INFO_RESP_EMAIL</vt:lpstr>
      <vt:lpstr>ORG_INFO_URL</vt:lpstr>
      <vt:lpstr>Org_main</vt:lpstr>
      <vt:lpstr>ORG_START_DATE</vt:lpstr>
      <vt:lpstr>ORG_TERRITORY_FIRST_MO</vt:lpstr>
      <vt:lpstr>ORG_TERRITORY_FLAG_INTERNET</vt:lpstr>
      <vt:lpstr>ORG_TERRITORY_LINK</vt:lpstr>
      <vt:lpstr>ORG_TERRITORY_NAME_COL</vt:lpstr>
      <vt:lpstr>ORG_TERRITORY_POINT_NUMBER_1</vt:lpstr>
      <vt:lpstr>ORG_VD_EM</vt:lpstr>
      <vt:lpstr>ORG_VD_FIRST_ROW</vt:lpstr>
      <vt:lpstr>ORG_VD_FIRST_SYSTEM</vt:lpstr>
      <vt:lpstr>ORG_VD_NAME_FORM</vt:lpstr>
      <vt:lpstr>ORG_VD_SYSTEM</vt:lpstr>
      <vt:lpstr>ORG_VD_TKO_ADD_HL_ACTIVITY_COLUMN_MARKER</vt:lpstr>
      <vt:lpstr>ORG_VD_TKO_ADD_HL_TYPE_OBJECT_COLUMN_MARKER</vt:lpstr>
      <vt:lpstr>ORG_VD_TKO_DEL_HL_ACTIVITY_COLUMN_MARKER</vt:lpstr>
      <vt:lpstr>ORG_VD_TKO_DEL_HL_TYPE_OBJECT_COLUMN_MARKER</vt:lpstr>
      <vt:lpstr>ORG_VD_TKO_VD</vt:lpstr>
      <vt:lpstr>ORG_VD_TKO_VD_ID</vt:lpstr>
      <vt:lpstr>ORG_VD_VD</vt:lpstr>
      <vt:lpstr>ORG_VD_VD_ID</vt:lpstr>
      <vt:lpstr>OTKO_FIN_SRC_LIST</vt:lpstr>
      <vt:lpstr>OTKO_FIN_SRC_VLD_LIST</vt:lpstr>
      <vt:lpstr>OTKO_IP_EVENT_CI_STAGE_LIST</vt:lpstr>
      <vt:lpstr>OTKO_IP_EVENT_GROUP_LIST</vt:lpstr>
      <vt:lpstr>OTKO_IP_EVENT_TYPE_LIST</vt:lpstr>
      <vt:lpstr>otv_lico_name</vt:lpstr>
      <vt:lpstr>P_T_TERMS_LINK</vt:lpstr>
      <vt:lpstr>pCng_P_T_TERMS_1</vt:lpstr>
      <vt:lpstr>pCng_P_T_TERMS_2</vt:lpstr>
      <vt:lpstr>pCng_P_T_TERMS_3</vt:lpstr>
      <vt:lpstr>pCng_P_T_TERMS_4</vt:lpstr>
      <vt:lpstr>pDel_B_STANDARTS</vt:lpstr>
      <vt:lpstr>pDel_CHANGE_INFO</vt:lpstr>
      <vt:lpstr>pDel_Comm</vt:lpstr>
      <vt:lpstr>pDel_DIFFERENTIATION_AREA</vt:lpstr>
      <vt:lpstr>pDel_DIFFERENTIATION_SYSTEM</vt:lpstr>
      <vt:lpstr>pDel_DIFFERENTIATION_VD</vt:lpstr>
      <vt:lpstr>pDel_ED</vt:lpstr>
      <vt:lpstr>pDel_IP_DETAILED_EVENT</vt:lpstr>
      <vt:lpstr>pDel_IP_DETAILED_IST_FIN</vt:lpstr>
      <vt:lpstr>pDel_IP_DETAILED_OBJECT</vt:lpstr>
      <vt:lpstr>pDel_IP_MAIN</vt:lpstr>
      <vt:lpstr>pDel_IP_MAIN_PROPERTY</vt:lpstr>
      <vt:lpstr>pDel_IP_QRE_CLAIM</vt:lpstr>
      <vt:lpstr>pDel_List07</vt:lpstr>
      <vt:lpstr>pDel_LT_AREA</vt:lpstr>
      <vt:lpstr>pDel_LT_MO</vt:lpstr>
      <vt:lpstr>pDel_ORG_INFO</vt:lpstr>
      <vt:lpstr>pDel_ORG_TERRITORY</vt:lpstr>
      <vt:lpstr>pDel_ORG_VD</vt:lpstr>
      <vt:lpstr>pDel_P_PROCEDURE_TC</vt:lpstr>
      <vt:lpstr>pDel_P_T_TERMS</vt:lpstr>
      <vt:lpstr>pDel_Q_LIMIT</vt:lpstr>
      <vt:lpstr>pDel_Q_TP</vt:lpstr>
      <vt:lpstr>pDel_R_B_Purch</vt:lpstr>
      <vt:lpstr>periodEnd</vt:lpstr>
      <vt:lpstr>PeriodIsEmpty</vt:lpstr>
      <vt:lpstr>PeriodIsEmptyList</vt:lpstr>
      <vt:lpstr>periodStart</vt:lpstr>
      <vt:lpstr>pHeader_B_FHD</vt:lpstr>
      <vt:lpstr>pHeader_B_FHD_TKO</vt:lpstr>
      <vt:lpstr>pHeader_B_FHD_TKO_TRANS</vt:lpstr>
      <vt:lpstr>pHeader_B_KNE</vt:lpstr>
      <vt:lpstr>pHeader_B_OTEP</vt:lpstr>
      <vt:lpstr>pHeader_Q_LIMIT</vt:lpstr>
      <vt:lpstr>pHeader_Q_PH</vt:lpstr>
      <vt:lpstr>pHeader_Q_TP</vt:lpstr>
      <vt:lpstr>pHeader_ver_B_FHD</vt:lpstr>
      <vt:lpstr>pHeader_ver_B_FHD_TKO</vt:lpstr>
      <vt:lpstr>pHeader_ver_B_FHD_TKO_TRANS</vt:lpstr>
      <vt:lpstr>pHeader_ver_B_KNE</vt:lpstr>
      <vt:lpstr>pHeader_ver_B_OTEP</vt:lpstr>
      <vt:lpstr>pHeader_ver_P_PROCEDURE_TC</vt:lpstr>
      <vt:lpstr>pHeader_ver_Q_LIMIT</vt:lpstr>
      <vt:lpstr>pIns_B_FHD_1</vt:lpstr>
      <vt:lpstr>pIns_B_FHD_2</vt:lpstr>
      <vt:lpstr>pIns_B_FHD_3</vt:lpstr>
      <vt:lpstr>pIns_B_FHD_4</vt:lpstr>
      <vt:lpstr>pIns_B_FHD_5</vt:lpstr>
      <vt:lpstr>pIns_B_FHD_6</vt:lpstr>
      <vt:lpstr>pIns_B_FHD_DIFFERENTIATION</vt:lpstr>
      <vt:lpstr>pIns_B_FHD_TKO_2</vt:lpstr>
      <vt:lpstr>pIns_B_FHD_TKO_DIFFERENTIATION</vt:lpstr>
      <vt:lpstr>pIns_B_FHD_TKO_TRANS_2</vt:lpstr>
      <vt:lpstr>pIns_B_FHD_TKO_TRANS_DIFFERENTIATION</vt:lpstr>
      <vt:lpstr>pIns_B_FHD20_DIFFERENTIATION</vt:lpstr>
      <vt:lpstr>pIns_B_KNE_DIFFERENTIATION</vt:lpstr>
      <vt:lpstr>pIns_B_OTEP_2</vt:lpstr>
      <vt:lpstr>pIns_B_OTEP_DIFFERENTIATION</vt:lpstr>
      <vt:lpstr>pIns_B_STANDARTS</vt:lpstr>
      <vt:lpstr>pIns_CHANGE_INFO</vt:lpstr>
      <vt:lpstr>pIns_Comm</vt:lpstr>
      <vt:lpstr>pIns_ED</vt:lpstr>
      <vt:lpstr>pIns_IP_DETAILED</vt:lpstr>
      <vt:lpstr>pIns_IP_FIN_PLAN</vt:lpstr>
      <vt:lpstr>pIns_IP_MAIN</vt:lpstr>
      <vt:lpstr>pIns_IP_QRE</vt:lpstr>
      <vt:lpstr>pIns_List07</vt:lpstr>
      <vt:lpstr>pIns_LT_AREA</vt:lpstr>
      <vt:lpstr>pIns_ORG_INFO_1</vt:lpstr>
      <vt:lpstr>pIns_ORG_INFO_2</vt:lpstr>
      <vt:lpstr>pIns_ORG_INFO_3</vt:lpstr>
      <vt:lpstr>pIns_ORG_TERRITORY</vt:lpstr>
      <vt:lpstr>pIns_ORG_VD_1</vt:lpstr>
      <vt:lpstr>pIns_ORG_VD_2</vt:lpstr>
      <vt:lpstr>pIns_ORG_VD_TKO_1</vt:lpstr>
      <vt:lpstr>pIns_P_PROCEDURE_TC_1</vt:lpstr>
      <vt:lpstr>pIns_P_PROCEDURE_TC_2</vt:lpstr>
      <vt:lpstr>pIns_P_PROCEDURE_TC_3</vt:lpstr>
      <vt:lpstr>pIns_P_PROCEDURE_TC_4</vt:lpstr>
      <vt:lpstr>pIns_P_PROCEDURE_TC_5</vt:lpstr>
      <vt:lpstr>pIns_P_T_TERMS_1</vt:lpstr>
      <vt:lpstr>pIns_P_T_TERMS_2</vt:lpstr>
      <vt:lpstr>pIns_P_T_TERMS_3</vt:lpstr>
      <vt:lpstr>pIns_P_T_TERMS_4</vt:lpstr>
      <vt:lpstr>pIns_PT_VTAR_A</vt:lpstr>
      <vt:lpstr>pIns_PT_VTAR_A_COLDVSNA</vt:lpstr>
      <vt:lpstr>pIns_PT_VTAR_A_COLDVSNA_OFFER_1</vt:lpstr>
      <vt:lpstr>pIns_PT_VTAR_A_COLDVSNA_OFFER_2</vt:lpstr>
      <vt:lpstr>pIns_PT_VTAR_A_COLDVSNA_OFFER_3</vt:lpstr>
      <vt:lpstr>pIns_PT_VTAR_A_COLDVSNA_OFFER_4</vt:lpstr>
      <vt:lpstr>pIns_PT_VTAR_A_COLDVSNA_OFFER_5</vt:lpstr>
      <vt:lpstr>pIns_PT_VTAR_A_COLDVSNA_OFFER5</vt:lpstr>
      <vt:lpstr>pIns_PT_VTAR_A_HOTVSNA</vt:lpstr>
      <vt:lpstr>pIns_PT_VTAR_A_HOTVSNA_OFFER_1</vt:lpstr>
      <vt:lpstr>pIns_PT_VTAR_A_HOTVSNA_OFFER_2</vt:lpstr>
      <vt:lpstr>pIns_PT_VTAR_A_HOTVSNA_OFFER_3</vt:lpstr>
      <vt:lpstr>pIns_PT_VTAR_A_HOTVSNA_OFFER_4</vt:lpstr>
      <vt:lpstr>pIns_PT_VTAR_A_HOTVSNA_OFFER_5</vt:lpstr>
      <vt:lpstr>pIns_PT_VTAR_A_OFFER_1</vt:lpstr>
      <vt:lpstr>pIns_PT_VTAR_A_OFFER_2</vt:lpstr>
      <vt:lpstr>pIns_PT_VTAR_A_OFFER_3</vt:lpstr>
      <vt:lpstr>pIns_PT_VTAR_A_OFFER_4</vt:lpstr>
      <vt:lpstr>pIns_PT_VTAR_A_OFFER_5</vt:lpstr>
      <vt:lpstr>pIns_PT_VTAR_A_VOTV</vt:lpstr>
      <vt:lpstr>pIns_PT_VTAR_A_VOTV_OFFER_1</vt:lpstr>
      <vt:lpstr>pIns_PT_VTAR_A_VOTV_OFFER_2</vt:lpstr>
      <vt:lpstr>pIns_PT_VTAR_A_VOTV_OFFER_3</vt:lpstr>
      <vt:lpstr>pIns_PT_VTAR_A_VOTV_OFFER_4</vt:lpstr>
      <vt:lpstr>pIns_PT_VTAR_A_VOTV_OFFER_5</vt:lpstr>
      <vt:lpstr>pIns_PT_VTAR_B</vt:lpstr>
      <vt:lpstr>pIns_PT_VTAR_B_COLDVSNA</vt:lpstr>
      <vt:lpstr>pIns_PT_VTAR_B_COLDVSNA_OFFER_1</vt:lpstr>
      <vt:lpstr>pIns_PT_VTAR_B_COLDVSNA_OFFER_2</vt:lpstr>
      <vt:lpstr>pIns_PT_VTAR_B_COLDVSNA_OFFER_3</vt:lpstr>
      <vt:lpstr>pIns_PT_VTAR_B_COLDVSNA_OFFER_4</vt:lpstr>
      <vt:lpstr>pIns_PT_VTAR_B_COLDVSNA_OFFER_5</vt:lpstr>
      <vt:lpstr>pIns_PT_VTAR_B_HOTVSNA</vt:lpstr>
      <vt:lpstr>pIns_PT_VTAR_B_HOTVSNA_OFFER_1</vt:lpstr>
      <vt:lpstr>pIns_PT_VTAR_B_HOTVSNA_OFFER_2</vt:lpstr>
      <vt:lpstr>pIns_PT_VTAR_B_HOTVSNA_OFFER_3</vt:lpstr>
      <vt:lpstr>pIns_PT_VTAR_B_HOTVSNA_OFFER_4</vt:lpstr>
      <vt:lpstr>pIns_PT_VTAR_B_HOTVSNA_OFFER_5</vt:lpstr>
      <vt:lpstr>pIns_PT_VTAR_B_OFFER_1</vt:lpstr>
      <vt:lpstr>pIns_PT_VTAR_B_OFFER_2</vt:lpstr>
      <vt:lpstr>pIns_PT_VTAR_B_OFFER_3</vt:lpstr>
      <vt:lpstr>pIns_PT_VTAR_B_OFFER_4</vt:lpstr>
      <vt:lpstr>pIns_PT_VTAR_B_OFFER_5</vt:lpstr>
      <vt:lpstr>pIns_PT_VTAR_B_VOTV</vt:lpstr>
      <vt:lpstr>pIns_PT_VTAR_B_VOTV_OFFER_1</vt:lpstr>
      <vt:lpstr>pIns_PT_VTAR_B_VOTV_OFFER_2</vt:lpstr>
      <vt:lpstr>pIns_PT_VTAR_B_VOTV_OFFER_3</vt:lpstr>
      <vt:lpstr>pIns_PT_VTAR_B_VOTV_OFFER_4</vt:lpstr>
      <vt:lpstr>pIns_PT_VTAR_B_VOTV_OFFER_5</vt:lpstr>
      <vt:lpstr>pIns_PT_VTAR_C</vt:lpstr>
      <vt:lpstr>pIns_PT_VTAR_C_COLDVSNA</vt:lpstr>
      <vt:lpstr>pIns_PT_VTAR_C_COLDVSNA_OFFER_1</vt:lpstr>
      <vt:lpstr>pIns_PT_VTAR_C_COLDVSNA_OFFER_2</vt:lpstr>
      <vt:lpstr>pIns_PT_VTAR_C_COLDVSNA_OFFER_3</vt:lpstr>
      <vt:lpstr>pIns_PT_VTAR_C_COLDVSNA_OFFER_4</vt:lpstr>
      <vt:lpstr>pIns_PT_VTAR_C_COLDVSNA_OFFER_5</vt:lpstr>
      <vt:lpstr>pIns_PT_VTAR_C_HOTVSNA</vt:lpstr>
      <vt:lpstr>pIns_PT_VTAR_C_HOTVSNA_OFFER_1</vt:lpstr>
      <vt:lpstr>pIns_PT_VTAR_C_HOTVSNA_OFFER_2</vt:lpstr>
      <vt:lpstr>pIns_PT_VTAR_C_HOTVSNA_OFFER_3</vt:lpstr>
      <vt:lpstr>pIns_PT_VTAR_C_HOTVSNA_OFFER_4</vt:lpstr>
      <vt:lpstr>pIns_PT_VTAR_C_HOTVSNA_OFFER_5</vt:lpstr>
      <vt:lpstr>pIns_PT_VTAR_C_OFFER_1</vt:lpstr>
      <vt:lpstr>pIns_PT_VTAR_C_OFFER_2</vt:lpstr>
      <vt:lpstr>pIns_PT_VTAR_C_OFFER_3</vt:lpstr>
      <vt:lpstr>pIns_PT_VTAR_C_OFFER_4</vt:lpstr>
      <vt:lpstr>pIns_PT_VTAR_C_OFFER_5</vt:lpstr>
      <vt:lpstr>pIns_PT_VTAR_C_VOTV</vt:lpstr>
      <vt:lpstr>pIns_PT_VTAR_C_VOTV_OFFER_1</vt:lpstr>
      <vt:lpstr>pIns_PT_VTAR_C_VOTV_OFFER_2</vt:lpstr>
      <vt:lpstr>pIns_PT_VTAR_C_VOTV_OFFER_3</vt:lpstr>
      <vt:lpstr>pIns_PT_VTAR_C_VOTV_OFFER_4</vt:lpstr>
      <vt:lpstr>pIns_PT_VTAR_C_VOTV_OFFER_5</vt:lpstr>
      <vt:lpstr>pIns_PT_VTAR_D</vt:lpstr>
      <vt:lpstr>pIns_PT_VTAR_D_COLDVSNA</vt:lpstr>
      <vt:lpstr>pIns_PT_VTAR_D_COLDVSNA_OFFER_1</vt:lpstr>
      <vt:lpstr>pIns_PT_VTAR_D_COLDVSNA_OFFER_2</vt:lpstr>
      <vt:lpstr>pIns_PT_VTAR_D_COLDVSNA_OFFER_3</vt:lpstr>
      <vt:lpstr>pIns_PT_VTAR_D_COLDVSNA_OFFER_4</vt:lpstr>
      <vt:lpstr>pIns_PT_VTAR_D_COLDVSNA_OFFER_5</vt:lpstr>
      <vt:lpstr>pIns_PT_VTAR_D_OFFER_1</vt:lpstr>
      <vt:lpstr>pIns_PT_VTAR_D_OFFER_2</vt:lpstr>
      <vt:lpstr>pIns_PT_VTAR_D_OFFER_3</vt:lpstr>
      <vt:lpstr>pIns_PT_VTAR_D_OFFER_4</vt:lpstr>
      <vt:lpstr>pIns_PT_VTAR_D_OFFER_5</vt:lpstr>
      <vt:lpstr>pIns_PT_VTAR_E_COLDVSNA</vt:lpstr>
      <vt:lpstr>pIns_PT_VTAR_E_COLDVSNA_OFFER_1</vt:lpstr>
      <vt:lpstr>pIns_PT_VTAR_E_COLDVSNA_OFFER_2</vt:lpstr>
      <vt:lpstr>pIns_PT_VTAR_E_COLDVSNA_OFFER_3</vt:lpstr>
      <vt:lpstr>pIns_PT_VTAR_E_COLDVSNA_OFFER_4</vt:lpstr>
      <vt:lpstr>pIns_PT_VTAR_E_COLDVSNA_OFFER_5</vt:lpstr>
      <vt:lpstr>pIns_PT_VTAR_E1</vt:lpstr>
      <vt:lpstr>pIns_PT_VTAR_E1_OFFER_1</vt:lpstr>
      <vt:lpstr>pIns_PT_VTAR_E1_OFFER_2</vt:lpstr>
      <vt:lpstr>pIns_PT_VTAR_E1_OFFER_3</vt:lpstr>
      <vt:lpstr>pIns_PT_VTAR_E1_OFFER_4</vt:lpstr>
      <vt:lpstr>pIns_PT_VTAR_E1_OFFER_5</vt:lpstr>
      <vt:lpstr>pIns_PT_VTAR_E2</vt:lpstr>
      <vt:lpstr>pIns_PT_VTAR_E2_OFFER_1</vt:lpstr>
      <vt:lpstr>pIns_PT_VTAR_E2_OFFER_2</vt:lpstr>
      <vt:lpstr>pIns_PT_VTAR_E2_OFFER_3</vt:lpstr>
      <vt:lpstr>pIns_PT_VTAR_E2_OFFER_4</vt:lpstr>
      <vt:lpstr>pIns_PT_VTAR_E2_OFFER_5</vt:lpstr>
      <vt:lpstr>pIns_PT_VTAR_F</vt:lpstr>
      <vt:lpstr>pIns_PT_VTAR_F_OFFER_1</vt:lpstr>
      <vt:lpstr>pIns_PT_VTAR_F_OFFER_2</vt:lpstr>
      <vt:lpstr>pIns_PT_VTAR_F_OFFER_3</vt:lpstr>
      <vt:lpstr>pIns_PT_VTAR_F_OFFER_4</vt:lpstr>
      <vt:lpstr>pIns_PT_VTAR_F_OFFER_5</vt:lpstr>
      <vt:lpstr>pIns_PT_VTAR_G</vt:lpstr>
      <vt:lpstr>pIns_PT_VTAR_G_OFFER_1</vt:lpstr>
      <vt:lpstr>pIns_PT_VTAR_G_OFFER_2</vt:lpstr>
      <vt:lpstr>pIns_PT_VTAR_G_OFFER_3</vt:lpstr>
      <vt:lpstr>pIns_PT_VTAR_G_OFFER_4</vt:lpstr>
      <vt:lpstr>pIns_PT_VTAR_G_OFFER_5</vt:lpstr>
      <vt:lpstr>pIns_PT_VTAR_H</vt:lpstr>
      <vt:lpstr>pIns_PT_VTAR_H_OFFER_1</vt:lpstr>
      <vt:lpstr>pIns_PT_VTAR_H_OFFER_2</vt:lpstr>
      <vt:lpstr>pIns_PT_VTAR_H_OFFER_3</vt:lpstr>
      <vt:lpstr>pIns_PT_VTAR_H_OFFER_4</vt:lpstr>
      <vt:lpstr>pIns_PT_VTAR_H_OFFER_5</vt:lpstr>
      <vt:lpstr>pIns_PT_VTAR_I</vt:lpstr>
      <vt:lpstr>pIns_PT_VTAR_I_1</vt:lpstr>
      <vt:lpstr>pIns_Q_LIMIT_1</vt:lpstr>
      <vt:lpstr>pIns_Q_LIMIT_2</vt:lpstr>
      <vt:lpstr>pIns_Q_LIMIT_3</vt:lpstr>
      <vt:lpstr>pIns_Q_LIMIT_4</vt:lpstr>
      <vt:lpstr>pIns_Q_LIMIT_DIFFERENTIATION</vt:lpstr>
      <vt:lpstr>pIns_Q_PH_DIFFERENTIATION</vt:lpstr>
      <vt:lpstr>pIns_Q_TP_1</vt:lpstr>
      <vt:lpstr>pIns_Q_TP_DIFFERENTIATION</vt:lpstr>
      <vt:lpstr>pIns_R_B_Purch_1</vt:lpstr>
      <vt:lpstr>pIns_ROIV_CASE_case</vt:lpstr>
      <vt:lpstr>pIns_ROIV_CASE_PUC_case</vt:lpstr>
      <vt:lpstr>pIns_ROIV_INFO_phone</vt:lpstr>
      <vt:lpstr>pIns_ROIV_ORG_org</vt:lpstr>
      <vt:lpstr>pIns_ROIV_OTV_org</vt:lpstr>
      <vt:lpstr>pIns_ver_COLDVSNA_TARIFF_A_COLDVSNA</vt:lpstr>
      <vt:lpstr>pIns_ver_COLDVSNA_TARIFF_B_COLDVSNA</vt:lpstr>
      <vt:lpstr>pIns_ver_COLDVSNA_TARIFF_C_COLDVSNA</vt:lpstr>
      <vt:lpstr>pIns_ver_COLDVSNA_TARIFF_D_COLDVSNA</vt:lpstr>
      <vt:lpstr>pIns_ver_COLDVSNA_TARIFF_E_COLDVSNA</vt:lpstr>
      <vt:lpstr>pIns_ver_HEAT_TARIFF_A</vt:lpstr>
      <vt:lpstr>pIns_ver_HEAT_TARIFF_B</vt:lpstr>
      <vt:lpstr>pIns_ver_HEAT_TARIFF_C</vt:lpstr>
      <vt:lpstr>pIns_ver_HEAT_TARIFF_D</vt:lpstr>
      <vt:lpstr>pIns_ver_HEAT_TARIFF_E1</vt:lpstr>
      <vt:lpstr>pIns_ver_HEAT_TARIFF_E2</vt:lpstr>
      <vt:lpstr>pIns_ver_HEAT_TARIFF_F</vt:lpstr>
      <vt:lpstr>pIns_ver_HEAT_TARIFF_G</vt:lpstr>
      <vt:lpstr>pIns_ver_HEAT_TARIFF_H</vt:lpstr>
      <vt:lpstr>pIns_ver_HEAT_TARIFF_I</vt:lpstr>
      <vt:lpstr>pIns_ver_HEAT_TARIFF_I_1</vt:lpstr>
      <vt:lpstr>pIns_ver_HOTVSNA_TARIFF_A_HOTVSNA</vt:lpstr>
      <vt:lpstr>pIns_ver_HOTVSNA_TARIFF_B_HOTVSNA</vt:lpstr>
      <vt:lpstr>pIns_ver_HOTVSNA_TARIFF_C_HOTVSNA</vt:lpstr>
      <vt:lpstr>pIns_ver_VOTV_TARIFF_A_VOTV</vt:lpstr>
      <vt:lpstr>pIns_ver_VOTV_TARIFF_B_VOTV</vt:lpstr>
      <vt:lpstr>pIns_ver_VOTV_TARIFF_C_VOTV</vt:lpstr>
      <vt:lpstr>pNote_LIMIT</vt:lpstr>
      <vt:lpstr>pNote_Q_PH</vt:lpstr>
      <vt:lpstr>pNum_Q_LIMIT</vt:lpstr>
      <vt:lpstr>PROCEDURE_TC_NAME_FORM</vt:lpstr>
      <vt:lpstr>PT_ADD_HL_CS_COLUMN_MARKER</vt:lpstr>
      <vt:lpstr>PT_ADD_HL_IST_TE_COLUMN_MARKER</vt:lpstr>
      <vt:lpstr>PT_ADD_HL_NTAR_COLUMN_MARKER</vt:lpstr>
      <vt:lpstr>PT_ADD_HL_TER_COLUMN_MARKER</vt:lpstr>
      <vt:lpstr>PT_ADD_HL_VTAR_COLUMN_MARKER</vt:lpstr>
      <vt:lpstr>pt_cs_1</vt:lpstr>
      <vt:lpstr>pt_cs_10</vt:lpstr>
      <vt:lpstr>pt_cs_11</vt:lpstr>
      <vt:lpstr>pt_cs_12</vt:lpstr>
      <vt:lpstr>pt_cs_13</vt:lpstr>
      <vt:lpstr>pt_cs_14</vt:lpstr>
      <vt:lpstr>pt_cs_15</vt:lpstr>
      <vt:lpstr>pt_cs_16</vt:lpstr>
      <vt:lpstr>pt_cs_17</vt:lpstr>
      <vt:lpstr>pt_cs_18</vt:lpstr>
      <vt:lpstr>pt_cs_19</vt:lpstr>
      <vt:lpstr>pt_cs_2</vt:lpstr>
      <vt:lpstr>pt_cs_20</vt:lpstr>
      <vt:lpstr>pt_cs_21</vt:lpstr>
      <vt:lpstr>pt_cs_21_1</vt:lpstr>
      <vt:lpstr>pt_cs_3</vt:lpstr>
      <vt:lpstr>pt_cs_4</vt:lpstr>
      <vt:lpstr>pt_cs_5</vt:lpstr>
      <vt:lpstr>pt_cs_6</vt:lpstr>
      <vt:lpstr>pt_cs_7</vt:lpstr>
      <vt:lpstr>pt_cs_8</vt:lpstr>
      <vt:lpstr>pt_cs_9</vt:lpstr>
      <vt:lpstr>PT_DEL_HL_CS_COLUMN_MARKER</vt:lpstr>
      <vt:lpstr>PT_DEL_HL_IST_TE_COLUMN_MARKER</vt:lpstr>
      <vt:lpstr>PT_DEL_HL_NTAR_COLUMN_MARKER</vt:lpstr>
      <vt:lpstr>PT_DEL_HL_TER_COLUMN_MARKER</vt:lpstr>
      <vt:lpstr>PT_DEL_HL_VTAR_COLUMN_MARKER</vt:lpstr>
      <vt:lpstr>PT_DIAMETERS_2_LIST</vt:lpstr>
      <vt:lpstr>PT_DIAMETERS_LIST</vt:lpstr>
      <vt:lpstr>PT_DIFFERENTIATION_CS</vt:lpstr>
      <vt:lpstr>PT_DIFFERENTIATION_CS_ID</vt:lpstr>
      <vt:lpstr>PT_DIFFERENTIATION_IST_TE</vt:lpstr>
      <vt:lpstr>PT_DIFFERENTIATION_IST_TE_ID</vt:lpstr>
      <vt:lpstr>PT_DIFFERENTIATION_NTAR</vt:lpstr>
      <vt:lpstr>PT_DIFFERENTIATION_NTAR_ID</vt:lpstr>
      <vt:lpstr>PT_DIFFERENTIATION_NUM_CS</vt:lpstr>
      <vt:lpstr>PT_DIFFERENTIATION_NUM_IST_TE</vt:lpstr>
      <vt:lpstr>PT_DIFFERENTIATION_NUM_NTAR</vt:lpstr>
      <vt:lpstr>PT_DIFFERENTIATION_NUM_TER</vt:lpstr>
      <vt:lpstr>PT_DIFFERENTIATION_TER</vt:lpstr>
      <vt:lpstr>PT_DIFFERENTIATION_TER_ID</vt:lpstr>
      <vt:lpstr>PT_DIFFERENTIATION_VDET</vt:lpstr>
      <vt:lpstr>PT_DIFFERENTIATION_VTAR</vt:lpstr>
      <vt:lpstr>PT_DIFFERENTIATION_VTAR_ID</vt:lpstr>
      <vt:lpstr>PT_FLAG_CS_COLUMN_MARKER</vt:lpstr>
      <vt:lpstr>PT_FLAG_IST_TE_COLUMN_MARKER</vt:lpstr>
      <vt:lpstr>PT_FLAG_TER_COLUMN_MARKER</vt:lpstr>
      <vt:lpstr>PT_FLAG_VTAR_COLUMN_MARKER</vt:lpstr>
      <vt:lpstr>PT_GROUP_CONSUMER_LIST</vt:lpstr>
      <vt:lpstr>PT_HEAT_PRICE_INDICATORS_LEVEL</vt:lpstr>
      <vt:lpstr>pt_ist_te_1</vt:lpstr>
      <vt:lpstr>pt_ist_te_2</vt:lpstr>
      <vt:lpstr>pt_ist_te_20</vt:lpstr>
      <vt:lpstr>pt_ist_te_21</vt:lpstr>
      <vt:lpstr>pt_ist_te_21_1</vt:lpstr>
      <vt:lpstr>pt_ist_te_3</vt:lpstr>
      <vt:lpstr>pt_ist_te_4</vt:lpstr>
      <vt:lpstr>pt_ist_te_5</vt:lpstr>
      <vt:lpstr>pt_ist_te_6</vt:lpstr>
      <vt:lpstr>pt_ist_te_7</vt:lpstr>
      <vt:lpstr>pt_ist_te_8</vt:lpstr>
      <vt:lpstr>PT_LOAD_LIST</vt:lpstr>
      <vt:lpstr>PT_NETS_LIST</vt:lpstr>
      <vt:lpstr>pt_ntar_1</vt:lpstr>
      <vt:lpstr>pt_ntar_10</vt:lpstr>
      <vt:lpstr>pt_ntar_11</vt:lpstr>
      <vt:lpstr>pt_ntar_12</vt:lpstr>
      <vt:lpstr>pt_ntar_13</vt:lpstr>
      <vt:lpstr>pt_ntar_14</vt:lpstr>
      <vt:lpstr>pt_ntar_15</vt:lpstr>
      <vt:lpstr>pt_ntar_16</vt:lpstr>
      <vt:lpstr>pt_ntar_17</vt:lpstr>
      <vt:lpstr>pt_ntar_18</vt:lpstr>
      <vt:lpstr>pt_ntar_19</vt:lpstr>
      <vt:lpstr>pt_ntar_2</vt:lpstr>
      <vt:lpstr>pt_ntar_20</vt:lpstr>
      <vt:lpstr>pt_ntar_21</vt:lpstr>
      <vt:lpstr>pt_ntar_21_1</vt:lpstr>
      <vt:lpstr>pt_ntar_3</vt:lpstr>
      <vt:lpstr>pt_ntar_4</vt:lpstr>
      <vt:lpstr>pt_ntar_5</vt:lpstr>
      <vt:lpstr>pt_ntar_6</vt:lpstr>
      <vt:lpstr>pt_ntar_7</vt:lpstr>
      <vt:lpstr>pt_ntar_8</vt:lpstr>
      <vt:lpstr>pt_ntar_9</vt:lpstr>
      <vt:lpstr>PT_P_FORM_COLDVSNA_4_NAME_FORM</vt:lpstr>
      <vt:lpstr>PT_P_FORM_COLDVSNA_5_NAME_FORM</vt:lpstr>
      <vt:lpstr>PT_P_FORM_HEAT_21_NAME_FORM</vt:lpstr>
      <vt:lpstr>PT_P_FORM_HEAT_22_NAME_FORM</vt:lpstr>
      <vt:lpstr>PT_P_FORM_HEAT_4_NAME_FORM</vt:lpstr>
      <vt:lpstr>PT_P_FORM_HEAT_5_NAME_FORM</vt:lpstr>
      <vt:lpstr>PT_P_FORM_HEAT_6_NAME_FORM</vt:lpstr>
      <vt:lpstr>PT_P_FORM_HEAT_7_NAME_FORM</vt:lpstr>
      <vt:lpstr>PT_P_FORM_HOTVSNA_4_NAME_FORM</vt:lpstr>
      <vt:lpstr>PT_P_FORM_HOTVSNA_5_NAME_FORM</vt:lpstr>
      <vt:lpstr>PT_P_FORM_VOTV_4_NAME_FORM</vt:lpstr>
      <vt:lpstr>PT_P_FORM_VOTV_5_NAME_FORM</vt:lpstr>
      <vt:lpstr>PT_R_FORM_COLDVSNA_16_NAME_FORM</vt:lpstr>
      <vt:lpstr>PT_R_FORM_COLDVSNA_17_NAME_FORM</vt:lpstr>
      <vt:lpstr>PT_R_FORM_HEAT_21_NAME_FORM</vt:lpstr>
      <vt:lpstr>PT_R_FORM_HEAT_22_NAME_FORM</vt:lpstr>
      <vt:lpstr>PT_R_FORM_HEAT_23_NAME_FORM</vt:lpstr>
      <vt:lpstr>PT_R_FORM_HEAT_24_NAME_FORM</vt:lpstr>
      <vt:lpstr>PT_R_FORM_HOTVSNA_16_NAME_FORM</vt:lpstr>
      <vt:lpstr>PT_R_FORM_HOTVSNA_17_NAME_FORM</vt:lpstr>
      <vt:lpstr>PT_R_FORM_VOTV_16_NAME_FORM</vt:lpstr>
      <vt:lpstr>PT_R_FORM_VOTV_17_NAME_FORM</vt:lpstr>
      <vt:lpstr>PT_SCHEME_LIST</vt:lpstr>
      <vt:lpstr>pt_ter_1</vt:lpstr>
      <vt:lpstr>pt_ter_10</vt:lpstr>
      <vt:lpstr>pt_ter_11</vt:lpstr>
      <vt:lpstr>pt_ter_12</vt:lpstr>
      <vt:lpstr>pt_ter_13</vt:lpstr>
      <vt:lpstr>pt_ter_14</vt:lpstr>
      <vt:lpstr>pt_ter_15</vt:lpstr>
      <vt:lpstr>pt_ter_16</vt:lpstr>
      <vt:lpstr>pt_ter_17</vt:lpstr>
      <vt:lpstr>pt_ter_18</vt:lpstr>
      <vt:lpstr>pt_ter_19</vt:lpstr>
      <vt:lpstr>pt_ter_2</vt:lpstr>
      <vt:lpstr>pt_ter_20</vt:lpstr>
      <vt:lpstr>pt_ter_21</vt:lpstr>
      <vt:lpstr>pt_ter_21_1</vt:lpstr>
      <vt:lpstr>pt_ter_3</vt:lpstr>
      <vt:lpstr>pt_ter_4</vt:lpstr>
      <vt:lpstr>pt_ter_5</vt:lpstr>
      <vt:lpstr>pt_ter_6</vt:lpstr>
      <vt:lpstr>pt_ter_7</vt:lpstr>
      <vt:lpstr>pt_ter_8</vt:lpstr>
      <vt:lpstr>pt_ter_9</vt:lpstr>
      <vt:lpstr>PT_TN_LIST</vt:lpstr>
      <vt:lpstr>PT_VDET_COLUMN_MARKER</vt:lpstr>
      <vt:lpstr>PURCH_NAME_FORM</vt:lpstr>
      <vt:lpstr>Q_LIMIT_CheckC</vt:lpstr>
      <vt:lpstr>Q_LIMIT_diff_1</vt:lpstr>
      <vt:lpstr>Q_LIMIT_p3</vt:lpstr>
      <vt:lpstr>Q_LIMIT_p4</vt:lpstr>
      <vt:lpstr>Q_PH_diff_1</vt:lpstr>
      <vt:lpstr>Q_TP_COUNT_REFUSAL</vt:lpstr>
      <vt:lpstr>Q_TP_diff_1</vt:lpstr>
      <vt:lpstr>QRE_METHOD_LIST</vt:lpstr>
      <vt:lpstr>QUARTER</vt:lpstr>
      <vt:lpstr>R_OFFER_ADD_PERIOD_HL_COLUMN_MARKER</vt:lpstr>
      <vt:lpstr>R_OFFER_CHANGE_HL_COLUMN_MARKER</vt:lpstr>
      <vt:lpstr>R_OFFER_DEL_HL_COLUMN_MARKER</vt:lpstr>
      <vt:lpstr>R_OFFER_FLAG_HL_COLUMN_MARKER</vt:lpstr>
      <vt:lpstr>REESTR_LINK_RANGE</vt:lpstr>
      <vt:lpstr>REESTR_VT_RANGE</vt:lpstr>
      <vt:lpstr>REGION</vt:lpstr>
      <vt:lpstr>region_name</vt:lpstr>
      <vt:lpstr>RegulatoryPeriod</vt:lpstr>
      <vt:lpstr>ReportPeriod</vt:lpstr>
      <vt:lpstr>ROIV_CASE_ADD_HL_CASE_COLUMN_MARKER</vt:lpstr>
      <vt:lpstr>ROIV_CASE_DATE</vt:lpstr>
      <vt:lpstr>ROIV_CASE_DEL_HL_CASE_COLUMN_MARKER</vt:lpstr>
      <vt:lpstr>ROIV_CASE_NUM_CASE_COLUMN_MARKER</vt:lpstr>
      <vt:lpstr>ROIV_CASE_PROTOKOL</vt:lpstr>
      <vt:lpstr>ROIV_CASE_PROTOKOL_ET</vt:lpstr>
      <vt:lpstr>ROIV_CASE_PUC_ADD_HL_CASE_COLUMN_MARKER</vt:lpstr>
      <vt:lpstr>ROIV_CASE_PUC_DATE</vt:lpstr>
      <vt:lpstr>ROIV_CASE_PUC_DEL_HL_CASE_COLUMN_MARKER</vt:lpstr>
      <vt:lpstr>ROIV_CASE_PUC_NUM_CASE_COLUMN_MARKER</vt:lpstr>
      <vt:lpstr>ROIV_CASE_PUC_PROTOKOL</vt:lpstr>
      <vt:lpstr>ROIV_CASE_PUC_PROTOKOL_ET</vt:lpstr>
      <vt:lpstr>ROIV_CASE_PUC_RESH</vt:lpstr>
      <vt:lpstr>ROIV_CASE_PUC_RESH_ET</vt:lpstr>
      <vt:lpstr>ROIV_CASE_RESH</vt:lpstr>
      <vt:lpstr>ROIV_CASE_RESH_ET</vt:lpstr>
      <vt:lpstr>ROIV_INFO_COMMENT</vt:lpstr>
      <vt:lpstr>ROIV_INFO_COMMENT_HEAT</vt:lpstr>
      <vt:lpstr>ROIV_INFO_COMMENT_NO_HEAT</vt:lpstr>
      <vt:lpstr>ROIV_INFO_DEL_HL_PHONE_COLUMN_MARKER</vt:lpstr>
      <vt:lpstr>ROIV_INFO_DOKLAD</vt:lpstr>
      <vt:lpstr>ROIV_INFO_LIST</vt:lpstr>
      <vt:lpstr>ROIV_INFO_LIST_HEAT</vt:lpstr>
      <vt:lpstr>ROIV_INFO_LIST_NO_HEAT</vt:lpstr>
      <vt:lpstr>ROIV_INFO_NAME</vt:lpstr>
      <vt:lpstr>ROIV_INFO_NUM_PHONE_COLUMN_MARKER</vt:lpstr>
      <vt:lpstr>ROIV_ORG_DEL_HL_ORG_COLUMN_MARKER</vt:lpstr>
      <vt:lpstr>ROIV_ORG_INN_COLUMN_MARKER</vt:lpstr>
      <vt:lpstr>ROIV_ORG_KPP_COLUMN_MARKER</vt:lpstr>
      <vt:lpstr>ROIV_ORG_NAME_ORG_COLUMN_MARKER</vt:lpstr>
      <vt:lpstr>ROIV_ORG_NUM_ORG_COLUMN_MARKER</vt:lpstr>
      <vt:lpstr>ROIV_ORG_TECH_ORG_ID</vt:lpstr>
      <vt:lpstr>ROIV_ORG_TECH_ORG_ID_COLUMN_MARKER</vt:lpstr>
      <vt:lpstr>ROIV_OTV_ADD_HL_DL_COLUMN_MARKER</vt:lpstr>
      <vt:lpstr>ROIV_OTV_DEL_HL_DL_COLUMN_MARKER</vt:lpstr>
      <vt:lpstr>ROIV_OTV_DEL_HL_ORG_COLUMN_MARKER</vt:lpstr>
      <vt:lpstr>ROIV_OTV_INN_COLUMN_MARKER</vt:lpstr>
      <vt:lpstr>ROIV_OTV_NAME_ORG_COLUMN_MARKER</vt:lpstr>
      <vt:lpstr>ROIV_OTV_NUM_DL_COLUMN_MARKER</vt:lpstr>
      <vt:lpstr>ROIV_OTV_NUM_ORG_COLUMN_MARKER</vt:lpstr>
      <vt:lpstr>ROIV_OTV_TECH_ORG_ID_COLUMN_MARKER</vt:lpstr>
      <vt:lpstr>RST_ORG_ID</vt:lpstr>
      <vt:lpstr>SKI_number</vt:lpstr>
      <vt:lpstr>StartDateList</vt:lpstr>
      <vt:lpstr>tblEnd_1_B_FHD</vt:lpstr>
      <vt:lpstr>tblEnd_1_B_FHD_TKO</vt:lpstr>
      <vt:lpstr>tblEnd_1_B_FHD_TKO_TRANS</vt:lpstr>
      <vt:lpstr>tblEnd_1_B_KNE</vt:lpstr>
      <vt:lpstr>tblEnd_1_B_OTEP</vt:lpstr>
      <vt:lpstr>tblEnd_1_B_STANDARTS</vt:lpstr>
      <vt:lpstr>tblEnd_1_CHANGE_INFO</vt:lpstr>
      <vt:lpstr>tblEnd_1_DIFFERENTIATION</vt:lpstr>
      <vt:lpstr>tblEnd_1_DIFFERENTIATION_TARIFF</vt:lpstr>
      <vt:lpstr>tblEnd_1_DIFFERENTIATION_TKO</vt:lpstr>
      <vt:lpstr>tblEnd_1_ED</vt:lpstr>
      <vt:lpstr>tblEnd_1_IP_DETAILED</vt:lpstr>
      <vt:lpstr>tblEnd_1_IP_FIN_PLAN</vt:lpstr>
      <vt:lpstr>tblEnd_1_IP_MAIN</vt:lpstr>
      <vt:lpstr>tblEnd_1_IP_QRE</vt:lpstr>
      <vt:lpstr>tblEnd_1_OFFER</vt:lpstr>
      <vt:lpstr>tblEnd_1_ORG_INFO</vt:lpstr>
      <vt:lpstr>tblEnd_1_ORG_TERRITORY</vt:lpstr>
      <vt:lpstr>tblEnd_1_ORG_VD</vt:lpstr>
      <vt:lpstr>tblEnd_1_ORG_VD_TKO</vt:lpstr>
      <vt:lpstr>tblEnd_1_P_PROCEDURE_TC</vt:lpstr>
      <vt:lpstr>tblEnd_1_P_T_TERMS</vt:lpstr>
      <vt:lpstr>tblEnd_1_Q_LIMIT</vt:lpstr>
      <vt:lpstr>tblEnd_1_Q_PH</vt:lpstr>
      <vt:lpstr>tblEnd_1_Q_TP</vt:lpstr>
      <vt:lpstr>tblEnd_1_R_B_Purch</vt:lpstr>
      <vt:lpstr>tblEnd_1_R_Offer</vt:lpstr>
      <vt:lpstr>tblEnd_1_ROIV_CASE</vt:lpstr>
      <vt:lpstr>tblEnd_1_ROIV_CASE_PUC</vt:lpstr>
      <vt:lpstr>tblEnd_1_ROIV_INFO</vt:lpstr>
      <vt:lpstr>tblEnd_1_ROIV_ORG</vt:lpstr>
      <vt:lpstr>tblEnd_1_ROIV_OTV</vt:lpstr>
      <vt:lpstr>tblEnd_1_TARIFF_A</vt:lpstr>
      <vt:lpstr>tblEnd_1_TARIFF_A_COLDVSNA</vt:lpstr>
      <vt:lpstr>tblEnd_1_TARIFF_A_HOTVSNA</vt:lpstr>
      <vt:lpstr>tblEnd_1_TARIFF_A_VOTV</vt:lpstr>
      <vt:lpstr>tblEnd_1_TARIFF_B</vt:lpstr>
      <vt:lpstr>tblEnd_1_TARIFF_B_COLDVSNA</vt:lpstr>
      <vt:lpstr>tblEnd_1_TARIFF_B_HOTVSNA</vt:lpstr>
      <vt:lpstr>tblEnd_1_TARIFF_B_VOTV</vt:lpstr>
      <vt:lpstr>tblEnd_1_TARIFF_C</vt:lpstr>
      <vt:lpstr>tblEnd_1_TARIFF_C_COLDVSNA</vt:lpstr>
      <vt:lpstr>tblEnd_1_TARIFF_C_HOTVSNA</vt:lpstr>
      <vt:lpstr>tblEnd_1_TARIFF_C_VOTV</vt:lpstr>
      <vt:lpstr>tblEnd_1_TARIFF_D</vt:lpstr>
      <vt:lpstr>tblEnd_1_TARIFF_D_COLDVSNA</vt:lpstr>
      <vt:lpstr>tblEnd_1_TARIFF_E_COLDVSNA</vt:lpstr>
      <vt:lpstr>tblEnd_1_TARIFF_E1</vt:lpstr>
      <vt:lpstr>tblEnd_1_TARIFF_E2</vt:lpstr>
      <vt:lpstr>tblEnd_1_TARIFF_F</vt:lpstr>
      <vt:lpstr>tblEnd_1_TARIFF_G</vt:lpstr>
      <vt:lpstr>tblEnd_1_TARIFF_H</vt:lpstr>
      <vt:lpstr>tblEnd_1_TARIFF_I</vt:lpstr>
      <vt:lpstr>tblEnd_1_TARIFF_I_1</vt:lpstr>
      <vt:lpstr>tblEnd_1_TERRITORY</vt:lpstr>
      <vt:lpstr>tblStart_1_B_FHD</vt:lpstr>
      <vt:lpstr>tblStart_1_B_FHD_TKO</vt:lpstr>
      <vt:lpstr>tblStart_1_B_FHD_TKO_TRANS</vt:lpstr>
      <vt:lpstr>tblStart_1_B_KNE</vt:lpstr>
      <vt:lpstr>tblStart_1_B_OTEP</vt:lpstr>
      <vt:lpstr>tblStart_1_B_STANDARTS</vt:lpstr>
      <vt:lpstr>tblStart_1_CHANGE_INFO</vt:lpstr>
      <vt:lpstr>tblStart_1_DIFFERENTIATION</vt:lpstr>
      <vt:lpstr>tblStart_1_DIFFERENTIATION_TARIFF</vt:lpstr>
      <vt:lpstr>tblStart_1_DIFFERENTIATION_TKO</vt:lpstr>
      <vt:lpstr>tblStart_1_ED</vt:lpstr>
      <vt:lpstr>tblStart_1_IP_DETAILED</vt:lpstr>
      <vt:lpstr>tblStart_1_IP_FIN_PLAN</vt:lpstr>
      <vt:lpstr>tblStart_1_IP_MAIN</vt:lpstr>
      <vt:lpstr>tblStart_1_IP_QRE</vt:lpstr>
      <vt:lpstr>tblStart_1_OFFER</vt:lpstr>
      <vt:lpstr>tblStart_1_ORG_INFO</vt:lpstr>
      <vt:lpstr>tblStart_1_ORG_TERRITORY</vt:lpstr>
      <vt:lpstr>tblStart_1_ORG_VD</vt:lpstr>
      <vt:lpstr>tblStart_1_ORG_VD_TKO</vt:lpstr>
      <vt:lpstr>tblStart_1_P_PROCEDURE_TC</vt:lpstr>
      <vt:lpstr>tblStart_1_P_T_TERMS</vt:lpstr>
      <vt:lpstr>tblStart_1_Q_LIMIT</vt:lpstr>
      <vt:lpstr>tblStart_1_Q_PH</vt:lpstr>
      <vt:lpstr>tblStart_1_Q_TP</vt:lpstr>
      <vt:lpstr>tblStart_1_R_B_Purch</vt:lpstr>
      <vt:lpstr>tblStart_1_R_Offer</vt:lpstr>
      <vt:lpstr>tblStart_1_ROIV_CASE</vt:lpstr>
      <vt:lpstr>tblStart_1_ROIV_CASE_PUC</vt:lpstr>
      <vt:lpstr>tblStart_1_ROIV_INFO</vt:lpstr>
      <vt:lpstr>tblStart_1_ROIV_ORG</vt:lpstr>
      <vt:lpstr>tblStart_1_ROIV_OTV</vt:lpstr>
      <vt:lpstr>tblStart_1_TARIFF_A</vt:lpstr>
      <vt:lpstr>tblStart_1_TARIFF_A_COLDVSNA</vt:lpstr>
      <vt:lpstr>tblStart_1_TARIFF_A_HOTVSNA</vt:lpstr>
      <vt:lpstr>tblStart_1_TARIFF_A_VOTV</vt:lpstr>
      <vt:lpstr>tblStart_1_TARIFF_B</vt:lpstr>
      <vt:lpstr>tblStart_1_TARIFF_B_COLDVSNA</vt:lpstr>
      <vt:lpstr>tblStart_1_TARIFF_B_HOTVSNA</vt:lpstr>
      <vt:lpstr>tblStart_1_TARIFF_B_VOTV</vt:lpstr>
      <vt:lpstr>tblStart_1_TARIFF_C</vt:lpstr>
      <vt:lpstr>tblStart_1_TARIFF_C_COLDVSNA</vt:lpstr>
      <vt:lpstr>tblStart_1_TARIFF_C_HOTVSNA</vt:lpstr>
      <vt:lpstr>tblStart_1_TARIFF_C_VOTV</vt:lpstr>
      <vt:lpstr>tblStart_1_TARIFF_D</vt:lpstr>
      <vt:lpstr>tblStart_1_TARIFF_D_COLDVSNA</vt:lpstr>
      <vt:lpstr>tblStart_1_TARIFF_E_COLDVSNA</vt:lpstr>
      <vt:lpstr>tblStart_1_TARIFF_E1</vt:lpstr>
      <vt:lpstr>tblStart_1_TARIFF_E2</vt:lpstr>
      <vt:lpstr>tblStart_1_TARIFF_F</vt:lpstr>
      <vt:lpstr>tblStart_1_TARIFF_G</vt:lpstr>
      <vt:lpstr>tblStart_1_TARIFF_H</vt:lpstr>
      <vt:lpstr>tblStart_1_TARIFF_I</vt:lpstr>
      <vt:lpstr>tblStart_1_TARIFF_I_1</vt:lpstr>
      <vt:lpstr>tblStart_1_TERRITORY</vt:lpstr>
      <vt:lpstr>TECH_ORG_ID</vt:lpstr>
      <vt:lpstr>TEMPLATE_DATA_POINT</vt:lpstr>
      <vt:lpstr>TEMPLATE_DATA_POINT_FHD</vt:lpstr>
      <vt:lpstr>TEMPLATE_GROUP</vt:lpstr>
      <vt:lpstr>TEMPLATE_NAME_FORM_LIST</vt:lpstr>
      <vt:lpstr>TEMPLATE_NOTE_POINT</vt:lpstr>
      <vt:lpstr>TEMPLATE_NOTE_POINT_FHD</vt:lpstr>
      <vt:lpstr>TEMPLATE_NUMBER_FORM_LIST</vt:lpstr>
      <vt:lpstr>TEMPLATE_NUMBER_POINT_FHD</vt:lpstr>
      <vt:lpstr>TEMPLATE_ORG_DATA_POINT</vt:lpstr>
      <vt:lpstr>TEMPLATE_SPHERE</vt:lpstr>
      <vt:lpstr>TEMPLATE_SPHERE_LIST</vt:lpstr>
      <vt:lpstr>TEMPLATE_SPHERE_LIST_FOR_NOTE</vt:lpstr>
      <vt:lpstr>TEMPLATE_SPHERE_LIST_FOR_NPA</vt:lpstr>
      <vt:lpstr>TEMPLATE_SPHERE_RUS</vt:lpstr>
      <vt:lpstr>TEMPLATE_SPHERE_RUS_2</vt:lpstr>
      <vt:lpstr>TemplateState</vt:lpstr>
      <vt:lpstr>ter_1</vt:lpstr>
      <vt:lpstr>TER_ID</vt:lpstr>
      <vt:lpstr>TERMS_LINK</vt:lpstr>
      <vt:lpstr>TERMS_NAME_FORM</vt:lpstr>
      <vt:lpstr>TERMS_NUM_CONTRACT_COLUMN_MARKER</vt:lpstr>
      <vt:lpstr>TERMS_P_1</vt:lpstr>
      <vt:lpstr>TERMS_TKO_TRANS_DATA</vt:lpstr>
      <vt:lpstr>TERRITORY_CheckC</vt:lpstr>
      <vt:lpstr>TERRITORY_ID</vt:lpstr>
      <vt:lpstr>TERRITORY_LIST_ID</vt:lpstr>
      <vt:lpstr>TERRITORY_MO_LIST</vt:lpstr>
      <vt:lpstr>TERRITORY_MR_LIST</vt:lpstr>
      <vt:lpstr>TERRITORY_NAME_COL</vt:lpstr>
      <vt:lpstr>TERRITORY_POINT_NUMBER_1</vt:lpstr>
      <vt:lpstr>TITLE_BUHG_FLAG</vt:lpstr>
      <vt:lpstr>TITLE_CONNECTION_FLAG</vt:lpstr>
      <vt:lpstr>TITLE_DATA_TYPE</vt:lpstr>
      <vt:lpstr>TITLE_DATE_BUHG</vt:lpstr>
      <vt:lpstr>TITLE_DATE_CHANGE</vt:lpstr>
      <vt:lpstr>TITLE_DATE_CHANGE_PERIOD</vt:lpstr>
      <vt:lpstr>TITLE_DATE_FIL</vt:lpstr>
      <vt:lpstr>TITLE_DATE_PARKING</vt:lpstr>
      <vt:lpstr>TITLE_DATE_PR</vt:lpstr>
      <vt:lpstr>TITLE_DATE_PR_CHANGE</vt:lpstr>
      <vt:lpstr>TITLE_DIFFERENTIATION_TYPE</vt:lpstr>
      <vt:lpstr>TITLE_FIL_YEAR</vt:lpstr>
      <vt:lpstr>TITLE_FLAG_DIFF_SELLER</vt:lpstr>
      <vt:lpstr>TITLE_FLAG_INTERNET</vt:lpstr>
      <vt:lpstr>TITLE_FLAG_IP</vt:lpstr>
      <vt:lpstr>TITLE_FLAG_IP_DETAILED</vt:lpstr>
      <vt:lpstr>TITLE_FLAG_NO_DIFF_COMPONENT</vt:lpstr>
      <vt:lpstr>TITLE_FLAG_NOT_REG_PRICE</vt:lpstr>
      <vt:lpstr>TITLE_FLAG_OTV_ROIV</vt:lpstr>
      <vt:lpstr>TITLE_FLAG_REG_PRICE_IP</vt:lpstr>
      <vt:lpstr>TITLE_FLAG_TKO_TRANS</vt:lpstr>
      <vt:lpstr>TITLE_FLAG_TOP80_ACTIVITY</vt:lpstr>
      <vt:lpstr>TITLE_HEADER_PR_CHANGE</vt:lpstr>
      <vt:lpstr>TITLE_IP_DETAILED_METHOD_LIST</vt:lpstr>
      <vt:lpstr>TITLE_IST_PUB</vt:lpstr>
      <vt:lpstr>TITLE_IST_PUB_CHANGE</vt:lpstr>
      <vt:lpstr>TITLE_NAME_OR_PR</vt:lpstr>
      <vt:lpstr>TITLE_NAME_OR_PR_CHANGE</vt:lpstr>
      <vt:lpstr>TITLE_NUMBER_PR</vt:lpstr>
      <vt:lpstr>TITLE_NUMBER_PR_CHANGE</vt:lpstr>
      <vt:lpstr>TITLE_PERIOD_END</vt:lpstr>
      <vt:lpstr>TITLE_PERIOD_START</vt:lpstr>
      <vt:lpstr>TITLE_PRICE_INDICATORS_GRAPH</vt:lpstr>
      <vt:lpstr>TITLE_PRICE_INDICATORS_LEVEL</vt:lpstr>
      <vt:lpstr>TITLE_STRUCTURE_INFO_ROIV</vt:lpstr>
      <vt:lpstr>TITLE_TYPE_ORG</vt:lpstr>
      <vt:lpstr>TKO_PT_VED_ID</vt:lpstr>
      <vt:lpstr>TKO_PT_VED_NAME</vt:lpstr>
      <vt:lpstr>TKO_PT_VED_NAME_LIST</vt:lpstr>
      <vt:lpstr>TP_NAME_FORM</vt:lpstr>
      <vt:lpstr>TP_NUMBER_FORM</vt:lpstr>
      <vt:lpstr>TP_P_A</vt:lpstr>
      <vt:lpstr>TP_P_B</vt:lpstr>
      <vt:lpstr>TP_P_G</vt:lpstr>
      <vt:lpstr>TP_P_NOTE_A</vt:lpstr>
      <vt:lpstr>TP_P_NOTE_B</vt:lpstr>
      <vt:lpstr>TP_P_NOTE_G</vt:lpstr>
      <vt:lpstr>TP_P_NOTE_G_1</vt:lpstr>
      <vt:lpstr>TP_P_NOTE_V</vt:lpstr>
      <vt:lpstr>TP_P_NOTE_V_1</vt:lpstr>
      <vt:lpstr>TP_P_V</vt:lpstr>
      <vt:lpstr>TP_P_V_1</vt:lpstr>
      <vt:lpstr>TYPE_TKO_LIST</vt:lpstr>
      <vt:lpstr>UNIT_CONNECT_LIST</vt:lpstr>
      <vt:lpstr>VD_ID_LIST</vt:lpstr>
      <vt:lpstr>VD_LIST</vt:lpstr>
      <vt:lpstr>VD_NAME_LIST</vt:lpstr>
      <vt:lpstr>VDET_END_DATE</vt:lpstr>
      <vt:lpstr>VDET_START_DATE</vt:lpstr>
      <vt:lpstr>version</vt:lpstr>
      <vt:lpstr>VOTV_FIN_SRC_LIST</vt:lpstr>
      <vt:lpstr>VOTV_FIN_SRC_VLD_LIST</vt:lpstr>
      <vt:lpstr>VOTV_IP_EVENT_CI_STAGE_LIST</vt:lpstr>
      <vt:lpstr>VOTV_IP_EVENT_GROUP_LIST</vt:lpstr>
      <vt:lpstr>VOTV_IP_EVENT_SUBGROUP_1_LIST</vt:lpstr>
      <vt:lpstr>VOTV_IP_EVENT_SUBGROUP_3_LIST</vt:lpstr>
      <vt:lpstr>VOTV_IP_EVENT_SUBGROUP_5_LIST</vt:lpstr>
      <vt:lpstr>VOTV_IP_EVENT_TYPE_LIST</vt:lpstr>
      <vt:lpstr>VOTV_PT_VED_ID</vt:lpstr>
      <vt:lpstr>VOTV_PT_VED_NAME</vt:lpstr>
      <vt:lpstr>VOTV_PT_VED_NAME_LIST</vt:lpstr>
      <vt:lpstr>VOTV_TARIFF_A_VOTV_ADD_HL_COLUMN_MARKER</vt:lpstr>
      <vt:lpstr>VOTV_TARIFF_A_VOTV_DEL_HL_DATA_DIFF_COLUMN_MARKER</vt:lpstr>
      <vt:lpstr>VOTV_TARIFF_A_VOTV_DEL_HL_FLAG_DIFF_COLUMN_MARKER</vt:lpstr>
      <vt:lpstr>VOTV_TARIFF_A_VOTV_DEL_HL_GC_COLUMN_MARKER</vt:lpstr>
      <vt:lpstr>VOTV_TARIFF_A_VOTV_DELETE_PERIOD_ROW_MARKER</vt:lpstr>
      <vt:lpstr>VOTV_TARIFF_A_VOTV_FLAG_BLOCK_COLUMN_MARKER</vt:lpstr>
      <vt:lpstr>VOTV_TARIFF_A_VOTV_FLAG_BLOCK_ROW_MARKER</vt:lpstr>
      <vt:lpstr>VOTV_TARIFF_A_VOTV_NUM_CS_COLUMN_MARKER</vt:lpstr>
      <vt:lpstr>VOTV_TARIFF_A_VOTV_NUM_DATA_DIFF_COLUMN_MARKER</vt:lpstr>
      <vt:lpstr>VOTV_TARIFF_A_VOTV_NUM_FLAG_DIFF_COLUMN_MARKER</vt:lpstr>
      <vt:lpstr>VOTV_TARIFF_A_VOTV_NUM_GC_COLUMN_MARKER</vt:lpstr>
      <vt:lpstr>VOTV_TARIFF_A_VOTV_NUM_NTAR_COLUMN_MARKER</vt:lpstr>
      <vt:lpstr>VOTV_TARIFF_A_VOTV_NUM_TER_COLUMN_MARKER</vt:lpstr>
      <vt:lpstr>VOTV_TARIFF_B_VOTV_ADD_HL_COLUMN_MARKER</vt:lpstr>
      <vt:lpstr>VOTV_TARIFF_B_VOTV_DEL_HL_DATA_DIFF_COLUMN_MARKER</vt:lpstr>
      <vt:lpstr>VOTV_TARIFF_B_VOTV_DEL_HL_FLAG_DIFF_COLUMN_MARKER</vt:lpstr>
      <vt:lpstr>VOTV_TARIFF_B_VOTV_DEL_HL_GC_COLUMN_MARKER</vt:lpstr>
      <vt:lpstr>VOTV_TARIFF_B_VOTV_DELETE_PERIOD_ROW_MARKER</vt:lpstr>
      <vt:lpstr>VOTV_TARIFF_B_VOTV_FLAG_BLOCK_COLUMN_MARKER</vt:lpstr>
      <vt:lpstr>VOTV_TARIFF_B_VOTV_FLAG_BLOCK_ROW_MARKER</vt:lpstr>
      <vt:lpstr>VOTV_TARIFF_B_VOTV_NUM_CS_COLUMN_MARKER</vt:lpstr>
      <vt:lpstr>VOTV_TARIFF_B_VOTV_NUM_DATA_DIFF_COLUMN_MARKER</vt:lpstr>
      <vt:lpstr>VOTV_TARIFF_B_VOTV_NUM_FLAG_DIFF_COLUMN_MARKER</vt:lpstr>
      <vt:lpstr>VOTV_TARIFF_B_VOTV_NUM_GC_COLUMN_MARKER</vt:lpstr>
      <vt:lpstr>VOTV_TARIFF_B_VOTV_NUM_NTAR_COLUMN_MARKER</vt:lpstr>
      <vt:lpstr>VOTV_TARIFF_B_VOTV_NUM_TER_COLUMN_MARKER</vt:lpstr>
      <vt:lpstr>VOTV_TARIFF_C_VOTV_ADD_HL_COLUMN_MARKER</vt:lpstr>
      <vt:lpstr>VOTV_TARIFF_C_VOTV_ADD_HL_DIAMETERS_COLUMN_MARKER</vt:lpstr>
      <vt:lpstr>VOTV_TARIFF_C_VOTV_ADD_HL_LEN_COLUMN_MARKER</vt:lpstr>
      <vt:lpstr>VOTV_TARIFF_C_VOTV_ADD_HL_LOAD_COLUMN_MARKER</vt:lpstr>
      <vt:lpstr>VOTV_TARIFF_C_VOTV_ADD_HL_NETS_COLUMN_MARKER</vt:lpstr>
      <vt:lpstr>VOTV_TARIFF_C_VOTV_DEL_HL_DATA_DIFF_COLUMN_MARKER</vt:lpstr>
      <vt:lpstr>VOTV_TARIFF_C_VOTV_DEL_HL_DIAMETERS_COLUMN_MARKER</vt:lpstr>
      <vt:lpstr>VOTV_TARIFF_C_VOTV_DEL_HL_FLAG_DIFF_COLUMN_MARKER</vt:lpstr>
      <vt:lpstr>VOTV_TARIFF_C_VOTV_DEL_HL_GC_COLUMN_MARKER</vt:lpstr>
      <vt:lpstr>VOTV_TARIFF_C_VOTV_DEL_HL_LEN_COLUMN_MARKER</vt:lpstr>
      <vt:lpstr>VOTV_TARIFF_C_VOTV_DEL_HL_LOAD_COLUMN_MARKER</vt:lpstr>
      <vt:lpstr>VOTV_TARIFF_C_VOTV_DEL_HL_NETS_COLUMN_MARKER</vt:lpstr>
      <vt:lpstr>VOTV_TARIFF_C_VOTV_DELETE_PERIOD_ROW_MARKER</vt:lpstr>
      <vt:lpstr>VOTV_TARIFF_C_VOTV_FLAG_BLOCK_COLUMN_MARKER</vt:lpstr>
      <vt:lpstr>VOTV_TARIFF_C_VOTV_FLAG_BLOCK_ROW_MARKER</vt:lpstr>
      <vt:lpstr>VOTV_TARIFF_C_VOTV_NUM_CS_COLUMN_MARKER</vt:lpstr>
      <vt:lpstr>VOTV_TARIFF_C_VOTV_NUM_DATA_DIFF_COLUMN_MARKER</vt:lpstr>
      <vt:lpstr>VOTV_TARIFF_C_VOTV_NUM_DIAMETERS_COLUMN_MARKER</vt:lpstr>
      <vt:lpstr>VOTV_TARIFF_C_VOTV_NUM_FLAG_DIFF_COLUMN_MARKER</vt:lpstr>
      <vt:lpstr>VOTV_TARIFF_C_VOTV_NUM_GC_COLUMN_MARKER</vt:lpstr>
      <vt:lpstr>VOTV_TARIFF_C_VOTV_NUM_LEN_COLUMN_MARKER</vt:lpstr>
      <vt:lpstr>VOTV_TARIFF_C_VOTV_NUM_LOAD_COLUMN_MARKER</vt:lpstr>
      <vt:lpstr>VOTV_TARIFF_C_VOTV_NUM_NETS_COLUMN_MARKER</vt:lpstr>
      <vt:lpstr>VOTV_TARIFF_C_VOTV_NUM_NTAR_COLUMN_MARKER</vt:lpstr>
      <vt:lpstr>VOTV_TARIFF_C_VOTV_NUM_TER_COLUMN_MARKER</vt:lpstr>
      <vt:lpstr>VSNA_FIN_SRC_LIST</vt:lpstr>
      <vt:lpstr>VSNA_FIN_SRC_VLD_LIST</vt:lpstr>
      <vt:lpstr>VSNA_IP_EVENT_CI_STAGE_LIST</vt:lpstr>
      <vt:lpstr>VSNA_IP_EVENT_GROUP_LIST</vt:lpstr>
      <vt:lpstr>VSNA_IP_EVENT_SUBGROUP_1_LIST</vt:lpstr>
      <vt:lpstr>VSNA_IP_EVENT_SUBGROUP_3_LIST</vt:lpstr>
      <vt:lpstr>VSNA_IP_EVENT_SUBGROUP_5_LIST</vt:lpstr>
      <vt:lpstr>VSNA_IP_EVENT_TYPE_LIST</vt:lpstr>
      <vt:lpstr>VTAR_ID</vt:lpstr>
      <vt:lpstr>Y_N_DIFFERENTIATION_AREA</vt:lpstr>
      <vt:lpstr>Y_N_DIFFERENTIATION_SYSTEM</vt:lpstr>
      <vt:lpstr>YEAR_IP_LIST</vt:lpstr>
      <vt:lpstr>year_list</vt:lpstr>
      <vt:lpstr>year_list1</vt:lpstr>
    </vt:vector>
  </TitlesOfParts>
  <Company>ФАС России</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Информация, подлежащая раскрытию организациями сферы теплоснабжения (цены и тарифы)</dc:title>
  <dc:subject>Информация, подлежащая раскрытию организациями сферы теплоснабжения (цены и тарифы)</dc:subject>
  <dc:creator>--</dc:creator>
  <dc:description/>
  <cp:lastModifiedBy>-</cp:lastModifiedBy>
  <cp:lastPrinted>2013-08-29T08:11:20Z</cp:lastPrinted>
  <dcterms:created xsi:type="dcterms:W3CDTF">2004-05-21T07:18:45Z</dcterms:created>
  <dcterms:modified xsi:type="dcterms:W3CDTF">2024-03-31T15:42:24Z</dcterms:modified>
</cp:coreProperties>
</file>

<file path=docProps/custom.xml><?xml version="1.0" encoding="utf-8"?>
<Properties xmlns="http://schemas.openxmlformats.org/officeDocument/2006/custom-properties" xmlns:vt="http://schemas.openxmlformats.org/officeDocument/2006/docPropsVTypes"/>
</file>