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ef\DE\Общая\диск R\ТГК\Тарифы 2015\ФСТ\Вынужденный\Тарифная заявка_ТЭЦ-5,7,14,21,22,ПТЭЦ\"/>
    </mc:Choice>
  </mc:AlternateContent>
  <bookViews>
    <workbookView xWindow="360" yWindow="75" windowWidth="18195" windowHeight="7230" firstSheet="3" activeTab="6"/>
  </bookViews>
  <sheets>
    <sheet name="титул" sheetId="29" r:id="rId1"/>
    <sheet name="тарифы" sheetId="33" r:id="rId2"/>
    <sheet name="ТЭЦ-5 без ДПМ" sheetId="34" r:id="rId3"/>
    <sheet name="ТЭЦ-7 без ДПМ" sheetId="4" r:id="rId4"/>
    <sheet name="ТЭЦ-14 без ДПМ" sheetId="7" r:id="rId5"/>
    <sheet name="ТЭЦ-21" sheetId="12" r:id="rId6"/>
    <sheet name="ТЭЦ-22 без ДПМ" sheetId="35" r:id="rId7"/>
    <sheet name="ПТЭЦ" sheetId="31" r:id="rId8"/>
  </sheets>
  <externalReferences>
    <externalReference r:id="rId9"/>
    <externalReference r:id="rId10"/>
    <externalReference r:id="rId11"/>
    <externalReference r:id="rId12"/>
  </externalReferences>
  <definedNames>
    <definedName name="_xlnm.Print_Titles" localSheetId="7">ПТЭЦ!$8:$8</definedName>
    <definedName name="_xlnm.Print_Titles" localSheetId="4">'ТЭЦ-14 без ДПМ'!$8:$8</definedName>
    <definedName name="_xlnm.Print_Titles" localSheetId="5">'ТЭЦ-21'!$8:$8</definedName>
    <definedName name="_xlnm.Print_Titles" localSheetId="6">'ТЭЦ-22 без ДПМ'!$8:$8</definedName>
    <definedName name="_xlnm.Print_Titles" localSheetId="2">'ТЭЦ-5 без ДПМ'!$8:$8</definedName>
    <definedName name="_xlnm.Print_Titles" localSheetId="3">'ТЭЦ-7 без ДПМ'!$8:$8</definedName>
    <definedName name="_xlnm.Print_Area" localSheetId="2">'ТЭЦ-5 без ДПМ'!$A$1:$F$52</definedName>
    <definedName name="_xlnm.Print_Area" localSheetId="3">'ТЭЦ-7 без ДПМ'!$A$1:$F$51</definedName>
  </definedNames>
  <calcPr calcId="152511"/>
</workbook>
</file>

<file path=xl/calcChain.xml><?xml version="1.0" encoding="utf-8"?>
<calcChain xmlns="http://schemas.openxmlformats.org/spreadsheetml/2006/main">
  <c r="D17" i="34" l="1"/>
  <c r="D18" i="34"/>
  <c r="F21" i="12"/>
  <c r="F18" i="12"/>
  <c r="F17" i="12"/>
  <c r="F18" i="31"/>
  <c r="F17" i="31"/>
  <c r="F16" i="31"/>
  <c r="F21" i="31"/>
  <c r="F19" i="31"/>
  <c r="F18" i="7" l="1"/>
  <c r="F17" i="7"/>
  <c r="F16" i="7"/>
  <c r="F32" i="34" l="1"/>
  <c r="D32" i="34"/>
  <c r="F18" i="34"/>
  <c r="F17" i="34" l="1"/>
  <c r="F18" i="35"/>
  <c r="F17" i="35"/>
  <c r="F21" i="35"/>
  <c r="D21" i="12" l="1"/>
  <c r="D18" i="12"/>
  <c r="D17" i="12"/>
  <c r="F32" i="35"/>
  <c r="D32" i="35"/>
  <c r="D18" i="35"/>
  <c r="D17" i="35"/>
  <c r="F24" i="35" l="1"/>
  <c r="F31" i="35"/>
  <c r="F30" i="35"/>
  <c r="F16" i="35"/>
  <c r="D16" i="35"/>
  <c r="D31" i="34"/>
  <c r="D29" i="34" s="1"/>
  <c r="D30" i="34"/>
  <c r="D16" i="34"/>
  <c r="F16" i="34"/>
  <c r="F31" i="34"/>
  <c r="F30" i="34"/>
  <c r="F24" i="34"/>
  <c r="D24" i="34"/>
  <c r="D31" i="35"/>
  <c r="D30" i="35"/>
  <c r="D24" i="35"/>
  <c r="F29" i="34" l="1"/>
  <c r="F21" i="34"/>
  <c r="F19" i="34"/>
  <c r="D21" i="34"/>
  <c r="D19" i="34"/>
  <c r="F19" i="35"/>
  <c r="D21" i="35"/>
  <c r="D19" i="35"/>
  <c r="F29" i="35" l="1"/>
  <c r="D29" i="35"/>
  <c r="F15" i="35"/>
  <c r="D15" i="35"/>
  <c r="F15" i="34"/>
  <c r="D15" i="34"/>
  <c r="F19" i="12" l="1"/>
  <c r="F16" i="12"/>
  <c r="F31" i="31" l="1"/>
  <c r="F32" i="31"/>
  <c r="F30" i="31"/>
  <c r="D31" i="31"/>
  <c r="D32" i="31"/>
  <c r="D30" i="31"/>
  <c r="F24" i="31"/>
  <c r="D21" i="31"/>
  <c r="D19" i="31"/>
  <c r="D17" i="31"/>
  <c r="D16" i="31"/>
  <c r="F31" i="12" l="1"/>
  <c r="F32" i="12"/>
  <c r="F30" i="12"/>
  <c r="D31" i="12"/>
  <c r="D32" i="12"/>
  <c r="D30" i="12"/>
  <c r="F24" i="12"/>
  <c r="D19" i="12" l="1"/>
  <c r="D16" i="12"/>
  <c r="F29" i="31" l="1"/>
  <c r="F15" i="31"/>
  <c r="D15" i="31"/>
  <c r="F31" i="7" l="1"/>
  <c r="F32" i="7"/>
  <c r="F30" i="7"/>
  <c r="D31" i="7"/>
  <c r="D32" i="7"/>
  <c r="D30" i="7"/>
  <c r="F27" i="7"/>
  <c r="D27" i="7"/>
  <c r="F24" i="7"/>
  <c r="F21" i="7"/>
  <c r="D21" i="7"/>
  <c r="F19" i="7"/>
  <c r="D19" i="7"/>
  <c r="D18" i="7"/>
  <c r="D17" i="7"/>
  <c r="D16" i="7"/>
  <c r="F32" i="4"/>
  <c r="D32" i="4"/>
  <c r="F18" i="4"/>
  <c r="D18" i="4"/>
  <c r="F31" i="4"/>
  <c r="D31" i="4"/>
  <c r="F30" i="4"/>
  <c r="D30" i="4"/>
  <c r="F27" i="4"/>
  <c r="D27" i="4"/>
  <c r="F24" i="4"/>
  <c r="F21" i="4"/>
  <c r="D21" i="4"/>
  <c r="F19" i="4"/>
  <c r="D19" i="4"/>
  <c r="D29" i="31" l="1"/>
  <c r="F11" i="12" l="1"/>
  <c r="F10" i="12"/>
  <c r="F9" i="12"/>
  <c r="F10" i="7"/>
  <c r="F9" i="7"/>
  <c r="F9" i="4"/>
  <c r="D24" i="12"/>
  <c r="D24" i="7"/>
  <c r="D24" i="4"/>
  <c r="F29" i="12" l="1"/>
  <c r="F29" i="4"/>
  <c r="F15" i="4"/>
  <c r="F15" i="12" l="1"/>
  <c r="F15" i="7" l="1"/>
  <c r="F29" i="7"/>
  <c r="D15" i="12" l="1"/>
  <c r="D15" i="7"/>
  <c r="D15" i="4"/>
  <c r="D29" i="12" l="1"/>
  <c r="D29" i="4"/>
  <c r="D29" i="7" l="1"/>
</calcChain>
</file>

<file path=xl/sharedStrings.xml><?xml version="1.0" encoding="utf-8"?>
<sst xmlns="http://schemas.openxmlformats.org/spreadsheetml/2006/main" count="1172" uniqueCount="150">
  <si>
    <t>Реквизиты инвестиционной программы (кем утверждена, дата утверждения, номер приказа/решения, Интернет-адрес размещения)</t>
  </si>
  <si>
    <t>15.</t>
  </si>
  <si>
    <t>%</t>
  </si>
  <si>
    <t>Рентабельность продаж (величина прибыли от продажи в каждом рубле выручки).</t>
  </si>
  <si>
    <t>14.</t>
  </si>
  <si>
    <t>млн.руб.</t>
  </si>
  <si>
    <t>Чистая прибыль (убыток)</t>
  </si>
  <si>
    <t>13.</t>
  </si>
  <si>
    <t>12.</t>
  </si>
  <si>
    <t>Объем перекрестного субсидирования всего, в том числе:</t>
  </si>
  <si>
    <t>11.</t>
  </si>
  <si>
    <t>10.</t>
  </si>
  <si>
    <t>тыс. руб./чел.</t>
  </si>
  <si>
    <t xml:space="preserve">Среднемесячная заработная плата на одного работника </t>
  </si>
  <si>
    <t>чел.</t>
  </si>
  <si>
    <t>Среднесписочная численность персонала</t>
  </si>
  <si>
    <t>Показатели численности персонала и фонда оплаты труда по регулируемым видам деятельности</t>
  </si>
  <si>
    <t>9.</t>
  </si>
  <si>
    <t>Амортизация</t>
  </si>
  <si>
    <t>8.2.</t>
  </si>
  <si>
    <t>кг/Гкал</t>
  </si>
  <si>
    <t>топливо на т/э</t>
  </si>
  <si>
    <t>г/кВтч</t>
  </si>
  <si>
    <t>топливо на э/э</t>
  </si>
  <si>
    <t>8.1.</t>
  </si>
  <si>
    <t>7.</t>
  </si>
  <si>
    <t>тыс.Гкал</t>
  </si>
  <si>
    <t>Отпуск тепловой энергии в сеть</t>
  </si>
  <si>
    <t>6.</t>
  </si>
  <si>
    <t>Отпуск тепловой энергии с коллекторов</t>
  </si>
  <si>
    <t>5.</t>
  </si>
  <si>
    <t>млн.кВтч</t>
  </si>
  <si>
    <t>Полезный отпуск электрической энергии</t>
  </si>
  <si>
    <t>4.</t>
  </si>
  <si>
    <t>Производство электрической энергии</t>
  </si>
  <si>
    <t>3.</t>
  </si>
  <si>
    <t>МВт</t>
  </si>
  <si>
    <t>Среднегодовое значение положительных разниц объемов располагаемой мощности и объемов потребления  мощности на собственные и (или) хозяйственные нужды</t>
  </si>
  <si>
    <t>2.</t>
  </si>
  <si>
    <t>Установленная мощность</t>
  </si>
  <si>
    <t>1.</t>
  </si>
  <si>
    <t>Ед.изм.</t>
  </si>
  <si>
    <t>Наименование показателей</t>
  </si>
  <si>
    <t>№ п/п</t>
  </si>
  <si>
    <t>Предложение ОАО "ТГК-1" на 2015 г.</t>
  </si>
  <si>
    <t>УРУТ (удельный расход условного топлива) на э/э</t>
  </si>
  <si>
    <t>УРУТ (удельный расход условного топлива) на т/э</t>
  </si>
  <si>
    <t>Реквизиты решения по УРУТ на отпуск электрической и тепловой энергии</t>
  </si>
  <si>
    <t>Необходимая валовая выручка  всего: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</si>
  <si>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</si>
  <si>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</si>
  <si>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</si>
  <si>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</si>
  <si>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</si>
  <si>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 отпускаемую с коллекторов источников</t>
  </si>
  <si>
    <t>10.1.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</si>
  <si>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</si>
  <si>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</si>
  <si>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</si>
  <si>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в т.ч.:</t>
  </si>
  <si>
    <t>11.1.</t>
  </si>
  <si>
    <t>относимые на электрическую энергию</t>
  </si>
  <si>
    <t>относимые на электрическую мощность</t>
  </si>
  <si>
    <t>относимые на тепловую энергию отпускаемую с коллекторов источников</t>
  </si>
  <si>
    <t>11.2.</t>
  </si>
  <si>
    <t>11.3.</t>
  </si>
  <si>
    <t>- от производства тепловой энергии</t>
  </si>
  <si>
    <t>- от производства электрической энергии</t>
  </si>
  <si>
    <t>12.1.</t>
  </si>
  <si>
    <t>12.2.</t>
  </si>
  <si>
    <t>Необходимые расходы из прибыли, в т.ч.</t>
  </si>
  <si>
    <t>13.1.</t>
  </si>
  <si>
    <t>13.2.</t>
  </si>
  <si>
    <t>13.3.</t>
  </si>
  <si>
    <t>Капитальные вложения из прибыли (с учетом налога на прибыль), в т.ч.</t>
  </si>
  <si>
    <t>14.1.</t>
  </si>
  <si>
    <t>14.2.</t>
  </si>
  <si>
    <t>14.3.</t>
  </si>
  <si>
    <t>16.</t>
  </si>
  <si>
    <t>17.</t>
  </si>
  <si>
    <t>Примечание:</t>
  </si>
  <si>
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</si>
  <si>
    <t>Василеостровская ТЭЦ-7 без ДПМ</t>
  </si>
  <si>
    <t>Первомайская ТЭЦ-14 без ДПМ</t>
  </si>
  <si>
    <t>Северная ТЭЦ-21</t>
  </si>
  <si>
    <t>-</t>
  </si>
  <si>
    <t>Приказ Минэнерго РФ №857 от 26.11.13</t>
  </si>
  <si>
    <t>http://www.tgc1.ru/clients/tgk-1-v-sankt-peterburge-i-leningradskoi-oblasti/rezultaty-reguliruemoi-dejatelnosti/</t>
  </si>
  <si>
    <t>Примечания:</t>
  </si>
  <si>
    <t>Инвестиционная программа ОАО "ТГК-1" по Санкт-Петербургу на 2012-2014гг. (в части производства тепловой энергии) согласована Комитетом по энергетике и инженерному обеспечению Правительства СПб (письмо от 13.05.2013 №15-6658/13-0-1)</t>
  </si>
  <si>
    <t>*</t>
  </si>
  <si>
    <t>(г.Санкт-Петербург)</t>
  </si>
  <si>
    <t>Инвестиционная программа ОАО "ТГК-1" по Ленинградской области на 2014-2016 гг. (в части производства тепловой энергии) согласована Комитетом по энергетическому комплексу и жилищно-коммунальному хозяйству Правительства Ленинградской области (письмо от 13.05.2013 №ТЭК-03-1740/13-0-2)</t>
  </si>
  <si>
    <t>(г.Санкт-Петербург и Ленинградская область)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</si>
  <si>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</si>
  <si>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</si>
  <si>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</si>
  <si>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</si>
  <si>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</si>
  <si>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</si>
  <si>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</si>
  <si>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</si>
  <si>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</si>
  <si>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</si>
  <si>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Предложение о размере цен (тарифов)</t>
  </si>
  <si>
    <t>на 2015 год</t>
  </si>
  <si>
    <t>Открытое акционерное общество "Территориальная генерирующая компания №1"</t>
  </si>
  <si>
    <t>ОАО "ТГК-1"</t>
  </si>
  <si>
    <t>198188, Российская Федерация, Санкт-Петербург, ул. Броневая, д. 6, литера Б</t>
  </si>
  <si>
    <t>197198, Санкт-Петербург, БЦ «Арена Холл», пр. Добролюбова, 16, корп.2, литера А</t>
  </si>
  <si>
    <t>Филиппов Андрей Николаевич - генеральный директор ОАО "ТГК-1"</t>
  </si>
  <si>
    <t xml:space="preserve">office@tgc1.ru </t>
  </si>
  <si>
    <t>+7 (812) 901-36-06</t>
  </si>
  <si>
    <t>+7 (812) 901-34-77</t>
  </si>
  <si>
    <t>Коллективный договор ОАО "ТГК-1" на 2012-2014гг., от 08.02.2012</t>
  </si>
  <si>
    <t>Раздел 1. Информация об организации</t>
  </si>
  <si>
    <t>Коллективный договор ОАО "ТГК-1" на 2014-2016гг., от 01.02.2014</t>
  </si>
  <si>
    <t>на электрическую энергию (мощность), производимую с использованием</t>
  </si>
  <si>
    <t>генерирующих объектов, мощность которых поставляется в вынужденном режиме</t>
  </si>
  <si>
    <t>к предложению ОАО "ТГК-1"                             о размере цен (тарифов) на электрическую энергию (мощность), производимую в вынужденном режиме на 2015 год</t>
  </si>
  <si>
    <t>Основные показатели деятельности генерирующих объектов ОАО "ТГК-1"*</t>
  </si>
  <si>
    <t>Петрозаводская ТЭЦ филиала "Карельский"</t>
  </si>
  <si>
    <t>(Республика Карелия)</t>
  </si>
  <si>
    <t>Приказ Минэнерго РФ № 501 от 27.08.2013</t>
  </si>
  <si>
    <t>Приказ Государственного комитета по жилищно-коммунальному хозяйству и энергетике правительства Республики Карелия от 03.06.2011 №54 "Об утверждении инвестиционной программы филиала "Карельский" ОАО "ТГК-1" по реконструкции, модернизации и развитию систем и объектов теплоснабжения Петрозаводского городского округа на 2012-2015 годы"</t>
  </si>
  <si>
    <t>http://www.tgc1.ru/clients/tgk-1-v-respublike-karelija/rezultaty-reguliruemoi-dejatelnosti/</t>
  </si>
  <si>
    <t>Субъект ОРЭ</t>
  </si>
  <si>
    <t>Наименование генерирующих объектов</t>
  </si>
  <si>
    <t>Цена на электрическую энергию, руб./МВт.ч (без НДС)</t>
  </si>
  <si>
    <t>Цена на мощность, руб./МВт. в месяц (без НДС)</t>
  </si>
  <si>
    <t>ОАО «Территориальная генерирующая компания № 1" (ОАО «ТГК-1»)</t>
  </si>
  <si>
    <t>Василеостровская ТЭЦ-7 без ТГ-3</t>
  </si>
  <si>
    <t>Петрозаводская ТЭЦ</t>
  </si>
  <si>
    <t xml:space="preserve">Приложение </t>
  </si>
  <si>
    <t>Приложение</t>
  </si>
  <si>
    <t>**</t>
  </si>
  <si>
    <t>к предложению ОАО "ТГК-1" о размере цен (тарифов) на электрическую энергию (мощность), производимую в вынужденном режиме на 2015 год</t>
  </si>
  <si>
    <t>На 2014 год утверждены следующие показатели:</t>
  </si>
  <si>
    <t>балансовые показатели (разделы 1-6)  - приказом ФСТ России от 28.11.2013 №220-э/1</t>
  </si>
  <si>
    <t>показатели УРУТ - приказом Минэнерго РФ от 26.11.2013 №857.</t>
  </si>
  <si>
    <t>Стоимостные показатели (разделы 7-11), утвержденные на 2014 год, отсутствуют в связи с тем, что тариф на мощность, поставляемой в 2014 году в вынужденном режиме по данной станции, не утвержден.</t>
  </si>
  <si>
    <t>Южная ТЭЦ-22</t>
  </si>
  <si>
    <t>Правобережная ТЭЦ-5 без ДПМ</t>
  </si>
  <si>
    <t>***</t>
  </si>
  <si>
    <t>Утверждено                     на 2014 г.***</t>
  </si>
  <si>
    <t>Факт 2013 г.**</t>
  </si>
  <si>
    <t>Разделы 7, 11 по факту 2013г. заполнены в соответствии с шаблоном ЕИАС по вынужденному режиму GRES.DV.2015</t>
  </si>
  <si>
    <t>Приказ Минэнерго РФ №624 от 18.09.14</t>
  </si>
  <si>
    <t>Южная ТЭЦ-22 без ДПМ</t>
  </si>
  <si>
    <t>Предложение о размере цен (тарифов) на 2015 год для следующих электростанций ОАО "ТГК-1", осуществляющих поставку  электрической энергии и мощности в вынужденном режиме: Правобережная ТЭЦ-5 без ДПМ, Василеостровская ТЭЦ-7 без ТГ-3, Первомайская ТЭЦ-14 без ДПМ, Северная ТЭЦ-21, Южная ТЭЦ-22 без ДПМ, Петрозаводская ТЭЦ.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</si>
</sst>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"/>
    <numFmt numFmtId="166" formatCode="#,##0.000000"/>
    <numFmt numFmtId="167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1" fillId="0" borderId="0"/>
    <xf numFmtId="4" fontId="14" fillId="3" borderId="0" applyBorder="0">
      <alignment horizontal="right"/>
    </xf>
  </cellStyleXfs>
  <cellXfs count="1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/>
    <xf numFmtId="49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0" fillId="0" borderId="0" xfId="0" applyNumberFormat="1"/>
    <xf numFmtId="0" fontId="9" fillId="0" borderId="0" xfId="0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left" vertical="center" wrapText="1"/>
    </xf>
    <xf numFmtId="4" fontId="13" fillId="0" borderId="1" xfId="2" applyNumberFormat="1" applyFont="1" applyFill="1" applyBorder="1" applyAlignment="1">
      <alignment horizontal="center" vertical="center" wrapText="1"/>
    </xf>
    <xf numFmtId="4" fontId="13" fillId="0" borderId="6" xfId="2" applyNumberFormat="1" applyFont="1" applyFill="1" applyBorder="1" applyAlignment="1">
      <alignment horizontal="center" vertical="center" wrapText="1"/>
    </xf>
    <xf numFmtId="4" fontId="13" fillId="0" borderId="2" xfId="2" applyNumberFormat="1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 applyProtection="1">
      <alignment horizontal="left" vertical="center" wrapText="1"/>
    </xf>
    <xf numFmtId="0" fontId="13" fillId="2" borderId="1" xfId="2" applyFont="1" applyFill="1" applyBorder="1" applyAlignment="1">
      <alignment horizontal="left" vertical="top" wrapText="1"/>
    </xf>
    <xf numFmtId="4" fontId="13" fillId="2" borderId="6" xfId="2" applyNumberFormat="1" applyFont="1" applyFill="1" applyBorder="1" applyAlignment="1" applyProtection="1">
      <alignment horizontal="center" vertical="center" wrapText="1"/>
    </xf>
    <xf numFmtId="4" fontId="13" fillId="2" borderId="6" xfId="2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4" xfId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3" fontId="13" fillId="0" borderId="7" xfId="2" applyNumberFormat="1" applyFont="1" applyFill="1" applyBorder="1" applyAlignment="1">
      <alignment horizontal="center" vertical="top"/>
    </xf>
    <xf numFmtId="3" fontId="13" fillId="0" borderId="8" xfId="2" applyNumberFormat="1" applyFont="1" applyFill="1" applyBorder="1" applyAlignment="1">
      <alignment horizontal="center" vertical="top"/>
    </xf>
    <xf numFmtId="3" fontId="13" fillId="0" borderId="2" xfId="2" applyNumberFormat="1" applyFont="1" applyFill="1" applyBorder="1" applyAlignment="1">
      <alignment horizontal="center" vertical="top"/>
    </xf>
    <xf numFmtId="0" fontId="13" fillId="0" borderId="7" xfId="2" applyFont="1" applyFill="1" applyBorder="1" applyAlignment="1">
      <alignment horizontal="center" vertical="top" wrapText="1"/>
    </xf>
    <xf numFmtId="0" fontId="13" fillId="0" borderId="8" xfId="2" applyFont="1" applyFill="1" applyBorder="1" applyAlignment="1">
      <alignment horizontal="center" vertical="top" wrapText="1"/>
    </xf>
    <xf numFmtId="0" fontId="13" fillId="0" borderId="2" xfId="2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7" fontId="1" fillId="0" borderId="4" xfId="0" applyNumberFormat="1" applyFont="1" applyFill="1" applyBorder="1" applyAlignment="1">
      <alignment horizontal="center" vertical="center" wrapText="1"/>
    </xf>
    <xf numFmtId="167" fontId="1" fillId="0" borderId="5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 wrapText="1"/>
    </xf>
    <xf numFmtId="167" fontId="6" fillId="0" borderId="4" xfId="1" applyNumberForma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ормула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5/&#1060;&#1057;&#1058;/&#1042;&#1099;&#1085;&#1091;&#1078;&#1076;&#1077;&#1085;&#1085;&#1099;&#1081;/&#1058;&#1072;&#1088;&#1080;&#1092;&#1085;&#1072;&#1103;%20&#1079;&#1072;&#1103;&#1074;&#1082;&#1072;%20&#1082;%2001.09.14/&#1055;&#1091;&#1073;&#1083;&#1080;&#1082;&#1072;&#1094;&#1080;&#1103;/&#1053;&#1072;%20&#1096;&#1072;&#1073;&#1083;&#1086;&#1085;&#1072;&#1093;%20&#1045;&#1048;&#1040;&#1057;/&#1053;&#1077;&#1074;&#1089;&#1082;&#1080;&#1081;/&#1058;&#1069;&#1057;/&#1058;&#1043;&#1050;-1_&#1058;&#1069;&#1062;-7%20&#1051;&#1069;%20&#1073;&#1077;&#1079;%20&#1044;&#1055;&#1052;_&#1053;&#1042;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5/&#1060;&#1057;&#1058;/&#1048;&#1085;&#1076;&#1077;&#1082;&#1089;&#1072;&#1094;&#1080;&#1103;/&#1074;&#1089;&#1087;&#1086;&#1084;&#1086;&#1075;&#1072;&#1090;&#1077;&#1083;&#1100;&#1085;&#1086;/&#1060;&#1072;&#1082;&#1090;.&#1079;&#1072;&#1090;&#1088;&#1072;&#1090;&#1099;_2013_&#1053;&#10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5/&#1060;&#1057;&#1058;/&#1042;&#1099;&#1085;&#1091;&#1078;&#1076;&#1077;&#1085;&#1085;&#1099;&#1081;/&#1058;&#1072;&#1088;&#1080;&#1092;&#1085;&#1072;&#1103;%20&#1079;&#1072;&#1103;&#1074;&#1082;&#1072;%20&#1082;%2001.09.14/&#1055;&#1091;&#1073;&#1083;&#1080;&#1082;&#1072;&#1094;&#1080;&#1103;/&#1053;&#1072;%20&#1096;&#1072;&#1073;&#1083;&#1086;&#1085;&#1072;&#1093;%20&#1045;&#1048;&#1040;&#1057;/&#1053;&#1077;&#1074;&#1089;&#1082;&#1080;&#1081;/&#1058;&#1069;&#1057;/&#1058;&#1043;&#1050;-1_&#1058;&#1069;&#1062;-14%20&#1051;&#1069;%20&#1073;&#1077;&#1079;%20&#1044;&#1055;&#1052;_&#1053;&#1042;_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5/&#1060;&#1057;&#1058;/&#1042;&#1099;&#1085;&#1091;&#1078;&#1076;&#1077;&#1085;&#1085;&#1099;&#1081;/&#1058;&#1072;&#1088;&#1080;&#1092;&#1085;&#1072;&#1103;%20&#1079;&#1072;&#1103;&#1074;&#1082;&#1072;%20&#1082;%2001.09.14/&#1055;&#1091;&#1073;&#1083;&#1080;&#1082;&#1072;&#1094;&#1080;&#1103;/&#1053;&#1072;%20&#1096;&#1072;&#1073;&#1083;&#1086;&#1085;&#1072;&#1093;%20&#1045;&#1048;&#1040;&#1057;/&#1053;&#1077;&#1074;&#1089;&#1082;&#1080;&#1081;/&#1058;&#1069;&#1057;/&#1058;&#1043;&#1050;-1_&#1058;&#1069;&#1062;-21%20&#1051;&#1069;(&#1089;&#1077;&#1074;&#1077;&#1088;)_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1"/>
      <sheetName val="modListSopr"/>
      <sheetName val="modfrmReestr"/>
      <sheetName val="modProv"/>
      <sheetName val="Инструкция"/>
      <sheetName val="Обновление"/>
      <sheetName val="Лог обновления"/>
      <sheetName val="Титульный"/>
      <sheetName val="REESTR_STATION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List00"/>
      <sheetName val="modUpdTemplMain"/>
      <sheetName val="AllSheetsInThisWorkbook"/>
      <sheetName val="Ставки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L11">
            <v>85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4">
          <cell r="L24">
            <v>225.98199884224005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амортизация"/>
      <sheetName val="Лист2"/>
      <sheetName val="Лист3"/>
    </sheetNames>
    <sheetDataSet>
      <sheetData sheetId="0"/>
      <sheetData sheetId="1">
        <row r="10">
          <cell r="C10">
            <v>59324</v>
          </cell>
        </row>
        <row r="12">
          <cell r="C12">
            <v>87407</v>
          </cell>
        </row>
        <row r="17">
          <cell r="C17">
            <v>108206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1"/>
      <sheetName val="modListSopr"/>
      <sheetName val="modfrmReestr"/>
      <sheetName val="modProv"/>
      <sheetName val="Инструкция"/>
      <sheetName val="Обновление"/>
      <sheetName val="Лог обновления"/>
      <sheetName val="Титульный"/>
      <sheetName val="REESTR_STATION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List00"/>
      <sheetName val="modUpdTemplMain"/>
      <sheetName val="AllSheetsInThisWorkbook"/>
      <sheetName val="Ставки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L11">
            <v>164</v>
          </cell>
        </row>
        <row r="12">
          <cell r="L12">
            <v>73.618750000000006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4">
          <cell r="L24">
            <v>241.46886459325222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1"/>
      <sheetName val="modListSopr"/>
      <sheetName val="modfrmReestr"/>
      <sheetName val="modProv"/>
      <sheetName val="Инструкция"/>
      <sheetName val="Обновление"/>
      <sheetName val="Лог обновления"/>
      <sheetName val="Титульный"/>
      <sheetName val="REESTR_STATION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List00"/>
      <sheetName val="modUpdTemplMain"/>
      <sheetName val="AllSheetsInThisWorkbook"/>
      <sheetName val="Ставки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L11">
            <v>500</v>
          </cell>
        </row>
        <row r="12">
          <cell r="L12">
            <v>353.67458333333337</v>
          </cell>
        </row>
        <row r="13">
          <cell r="L13">
            <v>2157.6143999999999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4">
          <cell r="L24">
            <v>214.036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gc1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gc1.ru/clients/tgk-1-v-sankt-peterburge-i-leningradskoi-oblasti/rezultaty-reguliruemoi-dejatelnosti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gc1.ru/clients/tgk-1-v-sankt-peterburge-i-leningradskoi-oblasti/rezultaty-reguliruemoi-dejatelnosti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gc1.ru/clients/tgk-1-v-sankt-peterburge-i-leningradskoi-oblasti/rezultaty-reguliruemoi-dejatelnosti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gc1.ru/clients/tgk-1-v-sankt-peterburge-i-leningradskoi-oblasti/rezultaty-reguliruemoi-dejatelnosti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tgc1.ru/clients/tgk-1-v-sankt-peterburge-i-leningradskoi-oblasti/rezultaty-reguliruemoi-dejatelnosti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gc1.ru/clients/tgk-1-v-respublike-karelija/rezultaty-reguliruemoi-dejatelnos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F11" sqref="F11"/>
    </sheetView>
  </sheetViews>
  <sheetFormatPr defaultRowHeight="15" x14ac:dyDescent="0.25"/>
  <cols>
    <col min="1" max="1" width="36.85546875" customWidth="1"/>
    <col min="2" max="2" width="29" customWidth="1"/>
    <col min="3" max="3" width="27.5703125" customWidth="1"/>
  </cols>
  <sheetData>
    <row r="1" spans="1:5" ht="16.5" customHeight="1" x14ac:dyDescent="0.25">
      <c r="A1" s="35"/>
      <c r="C1" s="42"/>
      <c r="D1" s="42"/>
      <c r="E1" s="42"/>
    </row>
    <row r="2" spans="1:5" x14ac:dyDescent="0.25">
      <c r="A2" s="35"/>
      <c r="B2" s="35"/>
      <c r="C2" s="39"/>
    </row>
    <row r="3" spans="1:5" x14ac:dyDescent="0.25">
      <c r="A3" s="80" t="s">
        <v>104</v>
      </c>
      <c r="B3" s="80"/>
      <c r="C3" s="80"/>
    </row>
    <row r="4" spans="1:5" x14ac:dyDescent="0.25">
      <c r="A4" s="80" t="s">
        <v>117</v>
      </c>
      <c r="B4" s="80"/>
      <c r="C4" s="80"/>
    </row>
    <row r="5" spans="1:5" x14ac:dyDescent="0.25">
      <c r="A5" s="80" t="s">
        <v>118</v>
      </c>
      <c r="B5" s="80"/>
      <c r="C5" s="80"/>
    </row>
    <row r="6" spans="1:5" x14ac:dyDescent="0.25">
      <c r="A6" s="37"/>
      <c r="B6" s="37"/>
      <c r="C6" s="37"/>
    </row>
    <row r="7" spans="1:5" x14ac:dyDescent="0.25">
      <c r="A7" s="80" t="s">
        <v>105</v>
      </c>
      <c r="B7" s="80"/>
      <c r="C7" s="80"/>
    </row>
    <row r="8" spans="1:5" x14ac:dyDescent="0.25">
      <c r="A8" s="37"/>
      <c r="B8" s="37"/>
      <c r="C8" s="37"/>
    </row>
    <row r="9" spans="1:5" ht="27" customHeight="1" x14ac:dyDescent="0.25">
      <c r="A9" s="79" t="s">
        <v>106</v>
      </c>
      <c r="B9" s="79"/>
      <c r="C9" s="79"/>
    </row>
    <row r="10" spans="1:5" x14ac:dyDescent="0.25">
      <c r="A10" s="34"/>
      <c r="B10" s="37"/>
      <c r="C10" s="37"/>
    </row>
    <row r="11" spans="1:5" x14ac:dyDescent="0.25">
      <c r="A11" s="34"/>
      <c r="B11" s="37"/>
      <c r="C11" s="37"/>
    </row>
    <row r="12" spans="1:5" x14ac:dyDescent="0.25">
      <c r="A12" s="36" t="s">
        <v>115</v>
      </c>
      <c r="B12" s="35"/>
    </row>
    <row r="13" spans="1:5" x14ac:dyDescent="0.25">
      <c r="A13" s="35"/>
      <c r="B13" s="35"/>
    </row>
    <row r="14" spans="1:5" ht="31.5" customHeight="1" x14ac:dyDescent="0.25">
      <c r="A14" s="38" t="s">
        <v>94</v>
      </c>
      <c r="B14" s="77" t="s">
        <v>106</v>
      </c>
      <c r="C14" s="78"/>
    </row>
    <row r="15" spans="1:5" ht="20.25" customHeight="1" x14ac:dyDescent="0.25">
      <c r="A15" s="38" t="s">
        <v>95</v>
      </c>
      <c r="B15" s="77" t="s">
        <v>107</v>
      </c>
      <c r="C15" s="78"/>
    </row>
    <row r="16" spans="1:5" ht="33" customHeight="1" x14ac:dyDescent="0.25">
      <c r="A16" s="38" t="s">
        <v>96</v>
      </c>
      <c r="B16" s="77" t="s">
        <v>108</v>
      </c>
      <c r="C16" s="78"/>
    </row>
    <row r="17" spans="1:3" ht="33.75" customHeight="1" x14ac:dyDescent="0.25">
      <c r="A17" s="38" t="s">
        <v>97</v>
      </c>
      <c r="B17" s="77" t="s">
        <v>109</v>
      </c>
      <c r="C17" s="78"/>
    </row>
    <row r="18" spans="1:3" x14ac:dyDescent="0.25">
      <c r="A18" s="38" t="s">
        <v>98</v>
      </c>
      <c r="B18" s="77">
        <v>7841312071</v>
      </c>
      <c r="C18" s="78"/>
    </row>
    <row r="19" spans="1:3" x14ac:dyDescent="0.25">
      <c r="A19" s="38" t="s">
        <v>99</v>
      </c>
      <c r="B19" s="77">
        <v>780501001</v>
      </c>
      <c r="C19" s="78"/>
    </row>
    <row r="20" spans="1:3" ht="30.75" customHeight="1" x14ac:dyDescent="0.25">
      <c r="A20" s="38" t="s">
        <v>100</v>
      </c>
      <c r="B20" s="77" t="s">
        <v>110</v>
      </c>
      <c r="C20" s="78"/>
    </row>
    <row r="21" spans="1:3" x14ac:dyDescent="0.25">
      <c r="A21" s="38" t="s">
        <v>101</v>
      </c>
      <c r="B21" s="81" t="s">
        <v>111</v>
      </c>
      <c r="C21" s="78"/>
    </row>
    <row r="22" spans="1:3" x14ac:dyDescent="0.25">
      <c r="A22" s="38" t="s">
        <v>102</v>
      </c>
      <c r="B22" s="82" t="s">
        <v>112</v>
      </c>
      <c r="C22" s="83"/>
    </row>
    <row r="23" spans="1:3" x14ac:dyDescent="0.25">
      <c r="A23" s="38" t="s">
        <v>103</v>
      </c>
      <c r="B23" s="82" t="s">
        <v>113</v>
      </c>
      <c r="C23" s="83"/>
    </row>
  </sheetData>
  <mergeCells count="15">
    <mergeCell ref="B20:C20"/>
    <mergeCell ref="B21:C21"/>
    <mergeCell ref="B22:C22"/>
    <mergeCell ref="B23:C23"/>
    <mergeCell ref="B18:C18"/>
    <mergeCell ref="B19:C19"/>
    <mergeCell ref="B16:C16"/>
    <mergeCell ref="B17:C17"/>
    <mergeCell ref="A9:C9"/>
    <mergeCell ref="A7:C7"/>
    <mergeCell ref="A3:C3"/>
    <mergeCell ref="A4:C4"/>
    <mergeCell ref="A5:C5"/>
    <mergeCell ref="B14:C14"/>
    <mergeCell ref="B15:C15"/>
  </mergeCells>
  <hyperlinks>
    <hyperlink ref="B21" r:id="rId1"/>
  </hyperlinks>
  <pageMargins left="0.7" right="0.7" top="0.75" bottom="0.75" header="0.3" footer="0.3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2"/>
  <sheetViews>
    <sheetView workbookViewId="0">
      <selection activeCell="E12" sqref="E12"/>
    </sheetView>
  </sheetViews>
  <sheetFormatPr defaultRowHeight="15" x14ac:dyDescent="0.25"/>
  <cols>
    <col min="1" max="1" width="5.5703125" customWidth="1"/>
    <col min="2" max="2" width="27.42578125" customWidth="1"/>
    <col min="3" max="3" width="31.140625" customWidth="1"/>
    <col min="4" max="4" width="23.42578125" customWidth="1"/>
    <col min="5" max="5" width="22.28515625" customWidth="1"/>
    <col min="257" max="257" width="5.5703125" customWidth="1"/>
    <col min="258" max="258" width="27.42578125" customWidth="1"/>
    <col min="259" max="259" width="31.140625" customWidth="1"/>
    <col min="260" max="260" width="23.42578125" customWidth="1"/>
    <col min="261" max="261" width="22.28515625" customWidth="1"/>
    <col min="513" max="513" width="5.5703125" customWidth="1"/>
    <col min="514" max="514" width="27.42578125" customWidth="1"/>
    <col min="515" max="515" width="31.140625" customWidth="1"/>
    <col min="516" max="516" width="23.42578125" customWidth="1"/>
    <col min="517" max="517" width="22.28515625" customWidth="1"/>
    <col min="769" max="769" width="5.5703125" customWidth="1"/>
    <col min="770" max="770" width="27.42578125" customWidth="1"/>
    <col min="771" max="771" width="31.140625" customWidth="1"/>
    <col min="772" max="772" width="23.42578125" customWidth="1"/>
    <col min="773" max="773" width="22.28515625" customWidth="1"/>
    <col min="1025" max="1025" width="5.5703125" customWidth="1"/>
    <col min="1026" max="1026" width="27.42578125" customWidth="1"/>
    <col min="1027" max="1027" width="31.140625" customWidth="1"/>
    <col min="1028" max="1028" width="23.42578125" customWidth="1"/>
    <col min="1029" max="1029" width="22.28515625" customWidth="1"/>
    <col min="1281" max="1281" width="5.5703125" customWidth="1"/>
    <col min="1282" max="1282" width="27.42578125" customWidth="1"/>
    <col min="1283" max="1283" width="31.140625" customWidth="1"/>
    <col min="1284" max="1284" width="23.42578125" customWidth="1"/>
    <col min="1285" max="1285" width="22.28515625" customWidth="1"/>
    <col min="1537" max="1537" width="5.5703125" customWidth="1"/>
    <col min="1538" max="1538" width="27.42578125" customWidth="1"/>
    <col min="1539" max="1539" width="31.140625" customWidth="1"/>
    <col min="1540" max="1540" width="23.42578125" customWidth="1"/>
    <col min="1541" max="1541" width="22.28515625" customWidth="1"/>
    <col min="1793" max="1793" width="5.5703125" customWidth="1"/>
    <col min="1794" max="1794" width="27.42578125" customWidth="1"/>
    <col min="1795" max="1795" width="31.140625" customWidth="1"/>
    <col min="1796" max="1796" width="23.42578125" customWidth="1"/>
    <col min="1797" max="1797" width="22.28515625" customWidth="1"/>
    <col min="2049" max="2049" width="5.5703125" customWidth="1"/>
    <col min="2050" max="2050" width="27.42578125" customWidth="1"/>
    <col min="2051" max="2051" width="31.140625" customWidth="1"/>
    <col min="2052" max="2052" width="23.42578125" customWidth="1"/>
    <col min="2053" max="2053" width="22.28515625" customWidth="1"/>
    <col min="2305" max="2305" width="5.5703125" customWidth="1"/>
    <col min="2306" max="2306" width="27.42578125" customWidth="1"/>
    <col min="2307" max="2307" width="31.140625" customWidth="1"/>
    <col min="2308" max="2308" width="23.42578125" customWidth="1"/>
    <col min="2309" max="2309" width="22.28515625" customWidth="1"/>
    <col min="2561" max="2561" width="5.5703125" customWidth="1"/>
    <col min="2562" max="2562" width="27.42578125" customWidth="1"/>
    <col min="2563" max="2563" width="31.140625" customWidth="1"/>
    <col min="2564" max="2564" width="23.42578125" customWidth="1"/>
    <col min="2565" max="2565" width="22.28515625" customWidth="1"/>
    <col min="2817" max="2817" width="5.5703125" customWidth="1"/>
    <col min="2818" max="2818" width="27.42578125" customWidth="1"/>
    <col min="2819" max="2819" width="31.140625" customWidth="1"/>
    <col min="2820" max="2820" width="23.42578125" customWidth="1"/>
    <col min="2821" max="2821" width="22.28515625" customWidth="1"/>
    <col min="3073" max="3073" width="5.5703125" customWidth="1"/>
    <col min="3074" max="3074" width="27.42578125" customWidth="1"/>
    <col min="3075" max="3075" width="31.140625" customWidth="1"/>
    <col min="3076" max="3076" width="23.42578125" customWidth="1"/>
    <col min="3077" max="3077" width="22.28515625" customWidth="1"/>
    <col min="3329" max="3329" width="5.5703125" customWidth="1"/>
    <col min="3330" max="3330" width="27.42578125" customWidth="1"/>
    <col min="3331" max="3331" width="31.140625" customWidth="1"/>
    <col min="3332" max="3332" width="23.42578125" customWidth="1"/>
    <col min="3333" max="3333" width="22.28515625" customWidth="1"/>
    <col min="3585" max="3585" width="5.5703125" customWidth="1"/>
    <col min="3586" max="3586" width="27.42578125" customWidth="1"/>
    <col min="3587" max="3587" width="31.140625" customWidth="1"/>
    <col min="3588" max="3588" width="23.42578125" customWidth="1"/>
    <col min="3589" max="3589" width="22.28515625" customWidth="1"/>
    <col min="3841" max="3841" width="5.5703125" customWidth="1"/>
    <col min="3842" max="3842" width="27.42578125" customWidth="1"/>
    <col min="3843" max="3843" width="31.140625" customWidth="1"/>
    <col min="3844" max="3844" width="23.42578125" customWidth="1"/>
    <col min="3845" max="3845" width="22.28515625" customWidth="1"/>
    <col min="4097" max="4097" width="5.5703125" customWidth="1"/>
    <col min="4098" max="4098" width="27.42578125" customWidth="1"/>
    <col min="4099" max="4099" width="31.140625" customWidth="1"/>
    <col min="4100" max="4100" width="23.42578125" customWidth="1"/>
    <col min="4101" max="4101" width="22.28515625" customWidth="1"/>
    <col min="4353" max="4353" width="5.5703125" customWidth="1"/>
    <col min="4354" max="4354" width="27.42578125" customWidth="1"/>
    <col min="4355" max="4355" width="31.140625" customWidth="1"/>
    <col min="4356" max="4356" width="23.42578125" customWidth="1"/>
    <col min="4357" max="4357" width="22.28515625" customWidth="1"/>
    <col min="4609" max="4609" width="5.5703125" customWidth="1"/>
    <col min="4610" max="4610" width="27.42578125" customWidth="1"/>
    <col min="4611" max="4611" width="31.140625" customWidth="1"/>
    <col min="4612" max="4612" width="23.42578125" customWidth="1"/>
    <col min="4613" max="4613" width="22.28515625" customWidth="1"/>
    <col min="4865" max="4865" width="5.5703125" customWidth="1"/>
    <col min="4866" max="4866" width="27.42578125" customWidth="1"/>
    <col min="4867" max="4867" width="31.140625" customWidth="1"/>
    <col min="4868" max="4868" width="23.42578125" customWidth="1"/>
    <col min="4869" max="4869" width="22.28515625" customWidth="1"/>
    <col min="5121" max="5121" width="5.5703125" customWidth="1"/>
    <col min="5122" max="5122" width="27.42578125" customWidth="1"/>
    <col min="5123" max="5123" width="31.140625" customWidth="1"/>
    <col min="5124" max="5124" width="23.42578125" customWidth="1"/>
    <col min="5125" max="5125" width="22.28515625" customWidth="1"/>
    <col min="5377" max="5377" width="5.5703125" customWidth="1"/>
    <col min="5378" max="5378" width="27.42578125" customWidth="1"/>
    <col min="5379" max="5379" width="31.140625" customWidth="1"/>
    <col min="5380" max="5380" width="23.42578125" customWidth="1"/>
    <col min="5381" max="5381" width="22.28515625" customWidth="1"/>
    <col min="5633" max="5633" width="5.5703125" customWidth="1"/>
    <col min="5634" max="5634" width="27.42578125" customWidth="1"/>
    <col min="5635" max="5635" width="31.140625" customWidth="1"/>
    <col min="5636" max="5636" width="23.42578125" customWidth="1"/>
    <col min="5637" max="5637" width="22.28515625" customWidth="1"/>
    <col min="5889" max="5889" width="5.5703125" customWidth="1"/>
    <col min="5890" max="5890" width="27.42578125" customWidth="1"/>
    <col min="5891" max="5891" width="31.140625" customWidth="1"/>
    <col min="5892" max="5892" width="23.42578125" customWidth="1"/>
    <col min="5893" max="5893" width="22.28515625" customWidth="1"/>
    <col min="6145" max="6145" width="5.5703125" customWidth="1"/>
    <col min="6146" max="6146" width="27.42578125" customWidth="1"/>
    <col min="6147" max="6147" width="31.140625" customWidth="1"/>
    <col min="6148" max="6148" width="23.42578125" customWidth="1"/>
    <col min="6149" max="6149" width="22.28515625" customWidth="1"/>
    <col min="6401" max="6401" width="5.5703125" customWidth="1"/>
    <col min="6402" max="6402" width="27.42578125" customWidth="1"/>
    <col min="6403" max="6403" width="31.140625" customWidth="1"/>
    <col min="6404" max="6404" width="23.42578125" customWidth="1"/>
    <col min="6405" max="6405" width="22.28515625" customWidth="1"/>
    <col min="6657" max="6657" width="5.5703125" customWidth="1"/>
    <col min="6658" max="6658" width="27.42578125" customWidth="1"/>
    <col min="6659" max="6659" width="31.140625" customWidth="1"/>
    <col min="6660" max="6660" width="23.42578125" customWidth="1"/>
    <col min="6661" max="6661" width="22.28515625" customWidth="1"/>
    <col min="6913" max="6913" width="5.5703125" customWidth="1"/>
    <col min="6914" max="6914" width="27.42578125" customWidth="1"/>
    <col min="6915" max="6915" width="31.140625" customWidth="1"/>
    <col min="6916" max="6916" width="23.42578125" customWidth="1"/>
    <col min="6917" max="6917" width="22.28515625" customWidth="1"/>
    <col min="7169" max="7169" width="5.5703125" customWidth="1"/>
    <col min="7170" max="7170" width="27.42578125" customWidth="1"/>
    <col min="7171" max="7171" width="31.140625" customWidth="1"/>
    <col min="7172" max="7172" width="23.42578125" customWidth="1"/>
    <col min="7173" max="7173" width="22.28515625" customWidth="1"/>
    <col min="7425" max="7425" width="5.5703125" customWidth="1"/>
    <col min="7426" max="7426" width="27.42578125" customWidth="1"/>
    <col min="7427" max="7427" width="31.140625" customWidth="1"/>
    <col min="7428" max="7428" width="23.42578125" customWidth="1"/>
    <col min="7429" max="7429" width="22.28515625" customWidth="1"/>
    <col min="7681" max="7681" width="5.5703125" customWidth="1"/>
    <col min="7682" max="7682" width="27.42578125" customWidth="1"/>
    <col min="7683" max="7683" width="31.140625" customWidth="1"/>
    <col min="7684" max="7684" width="23.42578125" customWidth="1"/>
    <col min="7685" max="7685" width="22.28515625" customWidth="1"/>
    <col min="7937" max="7937" width="5.5703125" customWidth="1"/>
    <col min="7938" max="7938" width="27.42578125" customWidth="1"/>
    <col min="7939" max="7939" width="31.140625" customWidth="1"/>
    <col min="7940" max="7940" width="23.42578125" customWidth="1"/>
    <col min="7941" max="7941" width="22.28515625" customWidth="1"/>
    <col min="8193" max="8193" width="5.5703125" customWidth="1"/>
    <col min="8194" max="8194" width="27.42578125" customWidth="1"/>
    <col min="8195" max="8195" width="31.140625" customWidth="1"/>
    <col min="8196" max="8196" width="23.42578125" customWidth="1"/>
    <col min="8197" max="8197" width="22.28515625" customWidth="1"/>
    <col min="8449" max="8449" width="5.5703125" customWidth="1"/>
    <col min="8450" max="8450" width="27.42578125" customWidth="1"/>
    <col min="8451" max="8451" width="31.140625" customWidth="1"/>
    <col min="8452" max="8452" width="23.42578125" customWidth="1"/>
    <col min="8453" max="8453" width="22.28515625" customWidth="1"/>
    <col min="8705" max="8705" width="5.5703125" customWidth="1"/>
    <col min="8706" max="8706" width="27.42578125" customWidth="1"/>
    <col min="8707" max="8707" width="31.140625" customWidth="1"/>
    <col min="8708" max="8708" width="23.42578125" customWidth="1"/>
    <col min="8709" max="8709" width="22.28515625" customWidth="1"/>
    <col min="8961" max="8961" width="5.5703125" customWidth="1"/>
    <col min="8962" max="8962" width="27.42578125" customWidth="1"/>
    <col min="8963" max="8963" width="31.140625" customWidth="1"/>
    <col min="8964" max="8964" width="23.42578125" customWidth="1"/>
    <col min="8965" max="8965" width="22.28515625" customWidth="1"/>
    <col min="9217" max="9217" width="5.5703125" customWidth="1"/>
    <col min="9218" max="9218" width="27.42578125" customWidth="1"/>
    <col min="9219" max="9219" width="31.140625" customWidth="1"/>
    <col min="9220" max="9220" width="23.42578125" customWidth="1"/>
    <col min="9221" max="9221" width="22.28515625" customWidth="1"/>
    <col min="9473" max="9473" width="5.5703125" customWidth="1"/>
    <col min="9474" max="9474" width="27.42578125" customWidth="1"/>
    <col min="9475" max="9475" width="31.140625" customWidth="1"/>
    <col min="9476" max="9476" width="23.42578125" customWidth="1"/>
    <col min="9477" max="9477" width="22.28515625" customWidth="1"/>
    <col min="9729" max="9729" width="5.5703125" customWidth="1"/>
    <col min="9730" max="9730" width="27.42578125" customWidth="1"/>
    <col min="9731" max="9731" width="31.140625" customWidth="1"/>
    <col min="9732" max="9732" width="23.42578125" customWidth="1"/>
    <col min="9733" max="9733" width="22.28515625" customWidth="1"/>
    <col min="9985" max="9985" width="5.5703125" customWidth="1"/>
    <col min="9986" max="9986" width="27.42578125" customWidth="1"/>
    <col min="9987" max="9987" width="31.140625" customWidth="1"/>
    <col min="9988" max="9988" width="23.42578125" customWidth="1"/>
    <col min="9989" max="9989" width="22.28515625" customWidth="1"/>
    <col min="10241" max="10241" width="5.5703125" customWidth="1"/>
    <col min="10242" max="10242" width="27.42578125" customWidth="1"/>
    <col min="10243" max="10243" width="31.140625" customWidth="1"/>
    <col min="10244" max="10244" width="23.42578125" customWidth="1"/>
    <col min="10245" max="10245" width="22.28515625" customWidth="1"/>
    <col min="10497" max="10497" width="5.5703125" customWidth="1"/>
    <col min="10498" max="10498" width="27.42578125" customWidth="1"/>
    <col min="10499" max="10499" width="31.140625" customWidth="1"/>
    <col min="10500" max="10500" width="23.42578125" customWidth="1"/>
    <col min="10501" max="10501" width="22.28515625" customWidth="1"/>
    <col min="10753" max="10753" width="5.5703125" customWidth="1"/>
    <col min="10754" max="10754" width="27.42578125" customWidth="1"/>
    <col min="10755" max="10755" width="31.140625" customWidth="1"/>
    <col min="10756" max="10756" width="23.42578125" customWidth="1"/>
    <col min="10757" max="10757" width="22.28515625" customWidth="1"/>
    <col min="11009" max="11009" width="5.5703125" customWidth="1"/>
    <col min="11010" max="11010" width="27.42578125" customWidth="1"/>
    <col min="11011" max="11011" width="31.140625" customWidth="1"/>
    <col min="11012" max="11012" width="23.42578125" customWidth="1"/>
    <col min="11013" max="11013" width="22.28515625" customWidth="1"/>
    <col min="11265" max="11265" width="5.5703125" customWidth="1"/>
    <col min="11266" max="11266" width="27.42578125" customWidth="1"/>
    <col min="11267" max="11267" width="31.140625" customWidth="1"/>
    <col min="11268" max="11268" width="23.42578125" customWidth="1"/>
    <col min="11269" max="11269" width="22.28515625" customWidth="1"/>
    <col min="11521" max="11521" width="5.5703125" customWidth="1"/>
    <col min="11522" max="11522" width="27.42578125" customWidth="1"/>
    <col min="11523" max="11523" width="31.140625" customWidth="1"/>
    <col min="11524" max="11524" width="23.42578125" customWidth="1"/>
    <col min="11525" max="11525" width="22.28515625" customWidth="1"/>
    <col min="11777" max="11777" width="5.5703125" customWidth="1"/>
    <col min="11778" max="11778" width="27.42578125" customWidth="1"/>
    <col min="11779" max="11779" width="31.140625" customWidth="1"/>
    <col min="11780" max="11780" width="23.42578125" customWidth="1"/>
    <col min="11781" max="11781" width="22.28515625" customWidth="1"/>
    <col min="12033" max="12033" width="5.5703125" customWidth="1"/>
    <col min="12034" max="12034" width="27.42578125" customWidth="1"/>
    <col min="12035" max="12035" width="31.140625" customWidth="1"/>
    <col min="12036" max="12036" width="23.42578125" customWidth="1"/>
    <col min="12037" max="12037" width="22.28515625" customWidth="1"/>
    <col min="12289" max="12289" width="5.5703125" customWidth="1"/>
    <col min="12290" max="12290" width="27.42578125" customWidth="1"/>
    <col min="12291" max="12291" width="31.140625" customWidth="1"/>
    <col min="12292" max="12292" width="23.42578125" customWidth="1"/>
    <col min="12293" max="12293" width="22.28515625" customWidth="1"/>
    <col min="12545" max="12545" width="5.5703125" customWidth="1"/>
    <col min="12546" max="12546" width="27.42578125" customWidth="1"/>
    <col min="12547" max="12547" width="31.140625" customWidth="1"/>
    <col min="12548" max="12548" width="23.42578125" customWidth="1"/>
    <col min="12549" max="12549" width="22.28515625" customWidth="1"/>
    <col min="12801" max="12801" width="5.5703125" customWidth="1"/>
    <col min="12802" max="12802" width="27.42578125" customWidth="1"/>
    <col min="12803" max="12803" width="31.140625" customWidth="1"/>
    <col min="12804" max="12804" width="23.42578125" customWidth="1"/>
    <col min="12805" max="12805" width="22.28515625" customWidth="1"/>
    <col min="13057" max="13057" width="5.5703125" customWidth="1"/>
    <col min="13058" max="13058" width="27.42578125" customWidth="1"/>
    <col min="13059" max="13059" width="31.140625" customWidth="1"/>
    <col min="13060" max="13060" width="23.42578125" customWidth="1"/>
    <col min="13061" max="13061" width="22.28515625" customWidth="1"/>
    <col min="13313" max="13313" width="5.5703125" customWidth="1"/>
    <col min="13314" max="13314" width="27.42578125" customWidth="1"/>
    <col min="13315" max="13315" width="31.140625" customWidth="1"/>
    <col min="13316" max="13316" width="23.42578125" customWidth="1"/>
    <col min="13317" max="13317" width="22.28515625" customWidth="1"/>
    <col min="13569" max="13569" width="5.5703125" customWidth="1"/>
    <col min="13570" max="13570" width="27.42578125" customWidth="1"/>
    <col min="13571" max="13571" width="31.140625" customWidth="1"/>
    <col min="13572" max="13572" width="23.42578125" customWidth="1"/>
    <col min="13573" max="13573" width="22.28515625" customWidth="1"/>
    <col min="13825" max="13825" width="5.5703125" customWidth="1"/>
    <col min="13826" max="13826" width="27.42578125" customWidth="1"/>
    <col min="13827" max="13827" width="31.140625" customWidth="1"/>
    <col min="13828" max="13828" width="23.42578125" customWidth="1"/>
    <col min="13829" max="13829" width="22.28515625" customWidth="1"/>
    <col min="14081" max="14081" width="5.5703125" customWidth="1"/>
    <col min="14082" max="14082" width="27.42578125" customWidth="1"/>
    <col min="14083" max="14083" width="31.140625" customWidth="1"/>
    <col min="14084" max="14084" width="23.42578125" customWidth="1"/>
    <col min="14085" max="14085" width="22.28515625" customWidth="1"/>
    <col min="14337" max="14337" width="5.5703125" customWidth="1"/>
    <col min="14338" max="14338" width="27.42578125" customWidth="1"/>
    <col min="14339" max="14339" width="31.140625" customWidth="1"/>
    <col min="14340" max="14340" width="23.42578125" customWidth="1"/>
    <col min="14341" max="14341" width="22.28515625" customWidth="1"/>
    <col min="14593" max="14593" width="5.5703125" customWidth="1"/>
    <col min="14594" max="14594" width="27.42578125" customWidth="1"/>
    <col min="14595" max="14595" width="31.140625" customWidth="1"/>
    <col min="14596" max="14596" width="23.42578125" customWidth="1"/>
    <col min="14597" max="14597" width="22.28515625" customWidth="1"/>
    <col min="14849" max="14849" width="5.5703125" customWidth="1"/>
    <col min="14850" max="14850" width="27.42578125" customWidth="1"/>
    <col min="14851" max="14851" width="31.140625" customWidth="1"/>
    <col min="14852" max="14852" width="23.42578125" customWidth="1"/>
    <col min="14853" max="14853" width="22.28515625" customWidth="1"/>
    <col min="15105" max="15105" width="5.5703125" customWidth="1"/>
    <col min="15106" max="15106" width="27.42578125" customWidth="1"/>
    <col min="15107" max="15107" width="31.140625" customWidth="1"/>
    <col min="15108" max="15108" width="23.42578125" customWidth="1"/>
    <col min="15109" max="15109" width="22.28515625" customWidth="1"/>
    <col min="15361" max="15361" width="5.5703125" customWidth="1"/>
    <col min="15362" max="15362" width="27.42578125" customWidth="1"/>
    <col min="15363" max="15363" width="31.140625" customWidth="1"/>
    <col min="15364" max="15364" width="23.42578125" customWidth="1"/>
    <col min="15365" max="15365" width="22.28515625" customWidth="1"/>
    <col min="15617" max="15617" width="5.5703125" customWidth="1"/>
    <col min="15618" max="15618" width="27.42578125" customWidth="1"/>
    <col min="15619" max="15619" width="31.140625" customWidth="1"/>
    <col min="15620" max="15620" width="23.42578125" customWidth="1"/>
    <col min="15621" max="15621" width="22.28515625" customWidth="1"/>
    <col min="15873" max="15873" width="5.5703125" customWidth="1"/>
    <col min="15874" max="15874" width="27.42578125" customWidth="1"/>
    <col min="15875" max="15875" width="31.140625" customWidth="1"/>
    <col min="15876" max="15876" width="23.42578125" customWidth="1"/>
    <col min="15877" max="15877" width="22.28515625" customWidth="1"/>
    <col min="16129" max="16129" width="5.5703125" customWidth="1"/>
    <col min="16130" max="16130" width="27.42578125" customWidth="1"/>
    <col min="16131" max="16131" width="31.140625" customWidth="1"/>
    <col min="16132" max="16132" width="23.42578125" customWidth="1"/>
    <col min="16133" max="16133" width="22.28515625" customWidth="1"/>
  </cols>
  <sheetData>
    <row r="2" spans="1:5" ht="69" customHeight="1" x14ac:dyDescent="0.25">
      <c r="A2" s="90" t="s">
        <v>149</v>
      </c>
      <c r="B2" s="90"/>
      <c r="C2" s="90"/>
      <c r="D2" s="90"/>
      <c r="E2" s="90"/>
    </row>
    <row r="3" spans="1:5" ht="18.75" customHeight="1" x14ac:dyDescent="0.25">
      <c r="A3" s="61"/>
      <c r="B3" s="61"/>
      <c r="C3" s="61"/>
      <c r="D3" s="61"/>
      <c r="E3" s="61"/>
    </row>
    <row r="4" spans="1:5" ht="18.75" customHeight="1" x14ac:dyDescent="0.25">
      <c r="A4" s="91"/>
      <c r="B4" s="91"/>
      <c r="C4" s="91"/>
      <c r="D4" s="91"/>
      <c r="E4" s="91"/>
    </row>
    <row r="5" spans="1:5" ht="15" customHeight="1" x14ac:dyDescent="0.25">
      <c r="A5" s="92" t="s">
        <v>43</v>
      </c>
      <c r="B5" s="94" t="s">
        <v>126</v>
      </c>
      <c r="C5" s="94" t="s">
        <v>127</v>
      </c>
      <c r="D5" s="96" t="s">
        <v>128</v>
      </c>
      <c r="E5" s="94" t="s">
        <v>129</v>
      </c>
    </row>
    <row r="6" spans="1:5" ht="63.75" customHeight="1" x14ac:dyDescent="0.25">
      <c r="A6" s="93"/>
      <c r="B6" s="95"/>
      <c r="C6" s="95"/>
      <c r="D6" s="97"/>
      <c r="E6" s="95"/>
    </row>
    <row r="7" spans="1:5" ht="15.75" customHeight="1" x14ac:dyDescent="0.25">
      <c r="A7" s="84">
        <v>1</v>
      </c>
      <c r="B7" s="87" t="s">
        <v>130</v>
      </c>
      <c r="C7" s="62" t="s">
        <v>142</v>
      </c>
      <c r="D7" s="63">
        <v>1144.7261150991098</v>
      </c>
      <c r="E7" s="75">
        <v>135351.08727160946</v>
      </c>
    </row>
    <row r="8" spans="1:5" ht="15.75" customHeight="1" x14ac:dyDescent="0.25">
      <c r="A8" s="85"/>
      <c r="B8" s="88"/>
      <c r="C8" s="62" t="s">
        <v>131</v>
      </c>
      <c r="D8" s="63">
        <v>1306.1199999999999</v>
      </c>
      <c r="E8" s="64">
        <v>375551.27</v>
      </c>
    </row>
    <row r="9" spans="1:5" ht="15.75" customHeight="1" x14ac:dyDescent="0.25">
      <c r="A9" s="85"/>
      <c r="B9" s="88"/>
      <c r="C9" s="62" t="s">
        <v>83</v>
      </c>
      <c r="D9" s="65">
        <v>1383.2062867881416</v>
      </c>
      <c r="E9" s="64">
        <v>315874.3</v>
      </c>
    </row>
    <row r="10" spans="1:5" x14ac:dyDescent="0.25">
      <c r="A10" s="85"/>
      <c r="B10" s="88"/>
      <c r="C10" s="66" t="s">
        <v>84</v>
      </c>
      <c r="D10" s="68">
        <v>1118.52</v>
      </c>
      <c r="E10" s="68">
        <v>228039.96636091152</v>
      </c>
    </row>
    <row r="11" spans="1:5" x14ac:dyDescent="0.25">
      <c r="A11" s="85"/>
      <c r="B11" s="88"/>
      <c r="C11" s="66" t="s">
        <v>148</v>
      </c>
      <c r="D11" s="68">
        <v>1244.9944280816414</v>
      </c>
      <c r="E11" s="68">
        <v>140986.6295979234</v>
      </c>
    </row>
    <row r="12" spans="1:5" x14ac:dyDescent="0.25">
      <c r="A12" s="86"/>
      <c r="B12" s="89"/>
      <c r="C12" s="67" t="s">
        <v>132</v>
      </c>
      <c r="D12" s="69">
        <v>1091.424851908429</v>
      </c>
      <c r="E12" s="69">
        <v>251760.38201007983</v>
      </c>
    </row>
  </sheetData>
  <mergeCells count="9">
    <mergeCell ref="A7:A12"/>
    <mergeCell ref="B7:B12"/>
    <mergeCell ref="A2:E2"/>
    <mergeCell ref="A4:E4"/>
    <mergeCell ref="A5:A6"/>
    <mergeCell ref="B5:B6"/>
    <mergeCell ref="C5:C6"/>
    <mergeCell ref="D5:D6"/>
    <mergeCell ref="E5:E6"/>
  </mergeCells>
  <printOptions horizontalCentered="1"/>
  <pageMargins left="0.70866141732283472" right="0.59055118110236227" top="0.74803149606299213" bottom="0.35433070866141736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0" workbookViewId="0">
      <selection activeCell="F28" sqref="F28"/>
    </sheetView>
  </sheetViews>
  <sheetFormatPr defaultRowHeight="15" x14ac:dyDescent="0.25"/>
  <cols>
    <col min="1" max="1" width="5.85546875" customWidth="1"/>
    <col min="2" max="2" width="38.85546875" customWidth="1"/>
    <col min="4" max="4" width="13.42578125" customWidth="1"/>
    <col min="5" max="5" width="14" customWidth="1"/>
    <col min="6" max="6" width="15.42578125" customWidth="1"/>
    <col min="9" max="9" width="21" customWidth="1"/>
    <col min="10" max="10" width="12.140625" customWidth="1"/>
    <col min="11" max="11" width="11.85546875" customWidth="1"/>
    <col min="12" max="12" width="11.7109375" customWidth="1"/>
  </cols>
  <sheetData>
    <row r="1" spans="1:12" x14ac:dyDescent="0.25">
      <c r="D1" s="108" t="s">
        <v>133</v>
      </c>
      <c r="E1" s="108"/>
      <c r="F1" s="108"/>
    </row>
    <row r="2" spans="1:12" ht="49.5" customHeight="1" x14ac:dyDescent="0.25">
      <c r="D2" s="109" t="s">
        <v>119</v>
      </c>
      <c r="E2" s="109"/>
      <c r="F2" s="109"/>
    </row>
    <row r="3" spans="1:12" ht="13.5" customHeight="1" x14ac:dyDescent="0.25">
      <c r="A3" s="15"/>
      <c r="B3" s="15"/>
      <c r="C3" s="15"/>
      <c r="D3" s="15"/>
      <c r="E3" s="70"/>
      <c r="F3" s="70"/>
    </row>
    <row r="4" spans="1:12" ht="16.5" customHeight="1" x14ac:dyDescent="0.25">
      <c r="A4" s="79" t="s">
        <v>120</v>
      </c>
      <c r="B4" s="79"/>
      <c r="C4" s="79"/>
      <c r="D4" s="79"/>
      <c r="E4" s="79"/>
      <c r="F4" s="79"/>
    </row>
    <row r="5" spans="1:12" ht="17.25" customHeight="1" x14ac:dyDescent="0.25">
      <c r="A5" s="79" t="s">
        <v>142</v>
      </c>
      <c r="B5" s="79"/>
      <c r="C5" s="79"/>
      <c r="D5" s="79"/>
      <c r="E5" s="79"/>
      <c r="F5" s="79"/>
    </row>
    <row r="6" spans="1:12" ht="17.25" customHeight="1" x14ac:dyDescent="0.25">
      <c r="A6" s="110" t="s">
        <v>91</v>
      </c>
      <c r="B6" s="110"/>
      <c r="C6" s="110"/>
      <c r="D6" s="110"/>
      <c r="E6" s="110"/>
      <c r="F6" s="110"/>
    </row>
    <row r="8" spans="1:12" ht="39" thickBot="1" x14ac:dyDescent="0.3">
      <c r="A8" s="13" t="s">
        <v>43</v>
      </c>
      <c r="B8" s="13" t="s">
        <v>42</v>
      </c>
      <c r="C8" s="13" t="s">
        <v>41</v>
      </c>
      <c r="D8" s="13" t="s">
        <v>145</v>
      </c>
      <c r="E8" s="13" t="s">
        <v>144</v>
      </c>
      <c r="F8" s="13" t="s">
        <v>44</v>
      </c>
    </row>
    <row r="9" spans="1:12" x14ac:dyDescent="0.25">
      <c r="A9" s="11" t="s">
        <v>40</v>
      </c>
      <c r="B9" s="12" t="s">
        <v>39</v>
      </c>
      <c r="C9" s="11" t="s">
        <v>36</v>
      </c>
      <c r="D9" s="22">
        <v>180</v>
      </c>
      <c r="E9" s="22">
        <v>180</v>
      </c>
      <c r="F9" s="22">
        <v>180</v>
      </c>
    </row>
    <row r="10" spans="1:12" ht="63.75" x14ac:dyDescent="0.25">
      <c r="A10" s="3" t="s">
        <v>38</v>
      </c>
      <c r="B10" s="1" t="s">
        <v>37</v>
      </c>
      <c r="C10" s="3" t="s">
        <v>36</v>
      </c>
      <c r="D10" s="21">
        <v>160.02358333333333</v>
      </c>
      <c r="E10" s="21">
        <v>162.9770833333333</v>
      </c>
      <c r="F10" s="21">
        <v>174.8965</v>
      </c>
    </row>
    <row r="11" spans="1:12" x14ac:dyDescent="0.25">
      <c r="A11" s="3" t="s">
        <v>35</v>
      </c>
      <c r="B11" s="1" t="s">
        <v>34</v>
      </c>
      <c r="C11" s="3" t="s">
        <v>31</v>
      </c>
      <c r="D11" s="21">
        <v>1069.771152</v>
      </c>
      <c r="E11" s="21">
        <v>1343.258</v>
      </c>
      <c r="F11" s="21">
        <v>324.56000000000006</v>
      </c>
    </row>
    <row r="12" spans="1:12" ht="16.5" customHeight="1" x14ac:dyDescent="0.25">
      <c r="A12" s="3" t="s">
        <v>33</v>
      </c>
      <c r="B12" s="1" t="s">
        <v>32</v>
      </c>
      <c r="C12" s="3" t="s">
        <v>31</v>
      </c>
      <c r="D12" s="21">
        <v>925.80038900000011</v>
      </c>
      <c r="E12" s="21">
        <v>1201.2367999999999</v>
      </c>
      <c r="F12" s="21">
        <v>225.08144100000007</v>
      </c>
      <c r="J12" s="32"/>
      <c r="K12" s="32"/>
      <c r="L12" s="33"/>
    </row>
    <row r="13" spans="1:12" x14ac:dyDescent="0.25">
      <c r="A13" s="3" t="s">
        <v>30</v>
      </c>
      <c r="B13" s="1" t="s">
        <v>29</v>
      </c>
      <c r="C13" s="3" t="s">
        <v>26</v>
      </c>
      <c r="D13" s="21">
        <v>1734.1879999999996</v>
      </c>
      <c r="E13" s="21">
        <v>1648.0900000000001</v>
      </c>
      <c r="F13" s="21">
        <v>2076.5559990000002</v>
      </c>
      <c r="J13" s="25"/>
      <c r="K13" s="25"/>
      <c r="L13" s="25"/>
    </row>
    <row r="14" spans="1:12" x14ac:dyDescent="0.25">
      <c r="A14" s="3" t="s">
        <v>28</v>
      </c>
      <c r="B14" s="1" t="s">
        <v>27</v>
      </c>
      <c r="C14" s="3" t="s">
        <v>26</v>
      </c>
      <c r="D14" s="21">
        <v>1729.2929999999997</v>
      </c>
      <c r="E14" s="21">
        <v>1648.0900000000001</v>
      </c>
      <c r="F14" s="21">
        <v>2071.7079990000002</v>
      </c>
      <c r="J14" s="25"/>
      <c r="K14" s="25"/>
      <c r="L14" s="25"/>
    </row>
    <row r="15" spans="1:12" ht="16.5" customHeight="1" x14ac:dyDescent="0.25">
      <c r="A15" s="5" t="s">
        <v>25</v>
      </c>
      <c r="B15" s="6" t="s">
        <v>48</v>
      </c>
      <c r="C15" s="5" t="s">
        <v>5</v>
      </c>
      <c r="D15" s="40">
        <f>D16+D17+D18</f>
        <v>3057.9073391234188</v>
      </c>
      <c r="E15" s="40" t="s">
        <v>85</v>
      </c>
      <c r="F15" s="40">
        <f>F16+F17+F18</f>
        <v>2474.8907081569591</v>
      </c>
      <c r="J15" s="25"/>
      <c r="K15" s="25"/>
      <c r="L15" s="25"/>
    </row>
    <row r="16" spans="1:12" x14ac:dyDescent="0.25">
      <c r="A16" s="3" t="s">
        <v>49</v>
      </c>
      <c r="B16" s="1" t="s">
        <v>50</v>
      </c>
      <c r="C16" s="3" t="s">
        <v>5</v>
      </c>
      <c r="D16" s="21">
        <f>945346.281700242/1000</f>
        <v>945.346281700242</v>
      </c>
      <c r="E16" s="40" t="s">
        <v>85</v>
      </c>
      <c r="F16" s="21">
        <f>257656.60353684/1000</f>
        <v>257.65660353684001</v>
      </c>
    </row>
    <row r="17" spans="1:6" ht="16.5" customHeight="1" x14ac:dyDescent="0.25">
      <c r="A17" s="3" t="s">
        <v>51</v>
      </c>
      <c r="B17" s="1" t="s">
        <v>52</v>
      </c>
      <c r="C17" s="3" t="s">
        <v>5</v>
      </c>
      <c r="D17" s="21">
        <f>705653.168644767/1000</f>
        <v>705.65316864476699</v>
      </c>
      <c r="E17" s="40" t="s">
        <v>85</v>
      </c>
      <c r="F17" s="21">
        <f>284069.177219989/1000</f>
        <v>284.069177219989</v>
      </c>
    </row>
    <row r="18" spans="1:6" ht="25.5" x14ac:dyDescent="0.25">
      <c r="A18" s="3" t="s">
        <v>53</v>
      </c>
      <c r="B18" s="1" t="s">
        <v>54</v>
      </c>
      <c r="C18" s="3" t="s">
        <v>5</v>
      </c>
      <c r="D18" s="21">
        <f>1406907.88877841/1000</f>
        <v>1406.9078887784099</v>
      </c>
      <c r="E18" s="40" t="s">
        <v>85</v>
      </c>
      <c r="F18" s="21">
        <f>1933164.92740013/1000</f>
        <v>1933.1649274001302</v>
      </c>
    </row>
    <row r="19" spans="1:6" x14ac:dyDescent="0.25">
      <c r="A19" s="3" t="s">
        <v>24</v>
      </c>
      <c r="B19" s="1" t="s">
        <v>23</v>
      </c>
      <c r="C19" s="3" t="s">
        <v>5</v>
      </c>
      <c r="D19" s="21">
        <f>944568.56839065/1000</f>
        <v>944.56856839064994</v>
      </c>
      <c r="E19" s="40" t="s">
        <v>85</v>
      </c>
      <c r="F19" s="21">
        <f>257416.224210621/1000</f>
        <v>257.41622421062101</v>
      </c>
    </row>
    <row r="20" spans="1:6" ht="25.5" x14ac:dyDescent="0.25">
      <c r="A20" s="3"/>
      <c r="B20" s="1" t="s">
        <v>45</v>
      </c>
      <c r="C20" s="10" t="s">
        <v>22</v>
      </c>
      <c r="D20" s="23">
        <v>278.88404609863562</v>
      </c>
      <c r="E20" s="23">
        <v>271.69999999999993</v>
      </c>
      <c r="F20" s="23">
        <v>257.90447439827653</v>
      </c>
    </row>
    <row r="21" spans="1:6" x14ac:dyDescent="0.25">
      <c r="A21" s="3" t="s">
        <v>19</v>
      </c>
      <c r="B21" s="1" t="s">
        <v>21</v>
      </c>
      <c r="C21" s="3" t="s">
        <v>5</v>
      </c>
      <c r="D21" s="21">
        <f>900713.686612472/1000</f>
        <v>900.71368661247209</v>
      </c>
      <c r="E21" s="21" t="s">
        <v>85</v>
      </c>
      <c r="F21" s="21">
        <f>1307352.85879147/1000</f>
        <v>1307.35285879147</v>
      </c>
    </row>
    <row r="22" spans="1:6" ht="25.5" x14ac:dyDescent="0.25">
      <c r="A22" s="3"/>
      <c r="B22" s="1" t="s">
        <v>46</v>
      </c>
      <c r="C22" s="10" t="s">
        <v>20</v>
      </c>
      <c r="D22" s="23">
        <v>145.974369560855</v>
      </c>
      <c r="E22" s="23">
        <v>139.69999999999999</v>
      </c>
      <c r="F22" s="23">
        <v>150.4</v>
      </c>
    </row>
    <row r="23" spans="1:6" ht="51" x14ac:dyDescent="0.25">
      <c r="A23" s="3"/>
      <c r="B23" s="1" t="s">
        <v>47</v>
      </c>
      <c r="C23" s="10"/>
      <c r="D23" s="2" t="s">
        <v>85</v>
      </c>
      <c r="E23" s="24" t="s">
        <v>86</v>
      </c>
      <c r="F23" s="24" t="s">
        <v>147</v>
      </c>
    </row>
    <row r="24" spans="1:6" x14ac:dyDescent="0.25">
      <c r="A24" s="5" t="s">
        <v>17</v>
      </c>
      <c r="B24" s="6" t="s">
        <v>18</v>
      </c>
      <c r="C24" s="5" t="s">
        <v>5</v>
      </c>
      <c r="D24" s="40">
        <f>650072/1000</f>
        <v>650.072</v>
      </c>
      <c r="E24" s="2" t="s">
        <v>85</v>
      </c>
      <c r="F24" s="40">
        <f>343681/1000</f>
        <v>343.68099999999998</v>
      </c>
    </row>
    <row r="25" spans="1:6" ht="38.25" x14ac:dyDescent="0.25">
      <c r="A25" s="5" t="s">
        <v>11</v>
      </c>
      <c r="B25" s="6" t="s">
        <v>16</v>
      </c>
      <c r="C25" s="3"/>
      <c r="D25" s="2"/>
      <c r="E25" s="2"/>
      <c r="F25" s="2"/>
    </row>
    <row r="26" spans="1:6" x14ac:dyDescent="0.25">
      <c r="A26" s="3" t="s">
        <v>55</v>
      </c>
      <c r="B26" s="1" t="s">
        <v>15</v>
      </c>
      <c r="C26" s="3" t="s">
        <v>14</v>
      </c>
      <c r="D26" s="21">
        <v>243</v>
      </c>
      <c r="E26" s="2" t="s">
        <v>85</v>
      </c>
      <c r="F26" s="21">
        <v>217</v>
      </c>
    </row>
    <row r="27" spans="1:6" ht="25.5" x14ac:dyDescent="0.25">
      <c r="A27" s="3" t="s">
        <v>56</v>
      </c>
      <c r="B27" s="1" t="s">
        <v>13</v>
      </c>
      <c r="C27" s="3" t="s">
        <v>12</v>
      </c>
      <c r="D27" s="21">
        <v>36.81344</v>
      </c>
      <c r="E27" s="2" t="s">
        <v>85</v>
      </c>
      <c r="F27" s="21">
        <v>42.798780000000001</v>
      </c>
    </row>
    <row r="28" spans="1:6" ht="63.75" x14ac:dyDescent="0.25">
      <c r="A28" s="3" t="s">
        <v>57</v>
      </c>
      <c r="B28" s="1" t="s">
        <v>58</v>
      </c>
      <c r="C28" s="3"/>
      <c r="D28" s="24" t="s">
        <v>114</v>
      </c>
      <c r="E28" s="2" t="s">
        <v>85</v>
      </c>
      <c r="F28" s="24" t="s">
        <v>116</v>
      </c>
    </row>
    <row r="29" spans="1:6" x14ac:dyDescent="0.25">
      <c r="A29" s="5" t="s">
        <v>10</v>
      </c>
      <c r="B29" s="6" t="s">
        <v>59</v>
      </c>
      <c r="C29" s="5" t="s">
        <v>5</v>
      </c>
      <c r="D29" s="40">
        <f>D30+D31</f>
        <v>1650.9994503450089</v>
      </c>
      <c r="E29" s="2" t="s">
        <v>85</v>
      </c>
      <c r="F29" s="40">
        <f>F30+F31</f>
        <v>541.72578075682895</v>
      </c>
    </row>
    <row r="30" spans="1:6" x14ac:dyDescent="0.25">
      <c r="A30" s="9" t="s">
        <v>60</v>
      </c>
      <c r="B30" s="7" t="s">
        <v>61</v>
      </c>
      <c r="C30" s="3" t="s">
        <v>5</v>
      </c>
      <c r="D30" s="21">
        <f>D16</f>
        <v>945.346281700242</v>
      </c>
      <c r="E30" s="2" t="s">
        <v>85</v>
      </c>
      <c r="F30" s="21">
        <f>F16</f>
        <v>257.65660353684001</v>
      </c>
    </row>
    <row r="31" spans="1:6" x14ac:dyDescent="0.25">
      <c r="A31" s="9" t="s">
        <v>64</v>
      </c>
      <c r="B31" s="1" t="s">
        <v>62</v>
      </c>
      <c r="C31" s="3" t="s">
        <v>5</v>
      </c>
      <c r="D31" s="21">
        <f>D17</f>
        <v>705.65316864476699</v>
      </c>
      <c r="E31" s="2" t="s">
        <v>85</v>
      </c>
      <c r="F31" s="21">
        <f>F17</f>
        <v>284.069177219989</v>
      </c>
    </row>
    <row r="32" spans="1:6" ht="25.5" x14ac:dyDescent="0.25">
      <c r="A32" s="9" t="s">
        <v>65</v>
      </c>
      <c r="B32" s="1" t="s">
        <v>63</v>
      </c>
      <c r="C32" s="3" t="s">
        <v>5</v>
      </c>
      <c r="D32" s="21">
        <f>D18</f>
        <v>1406.9078887784099</v>
      </c>
      <c r="E32" s="2" t="s">
        <v>85</v>
      </c>
      <c r="F32" s="21">
        <f>F18</f>
        <v>1933.1649274001302</v>
      </c>
    </row>
    <row r="33" spans="1:6" ht="25.5" x14ac:dyDescent="0.25">
      <c r="A33" s="8" t="s">
        <v>8</v>
      </c>
      <c r="B33" s="6" t="s">
        <v>9</v>
      </c>
      <c r="C33" s="5" t="s">
        <v>5</v>
      </c>
      <c r="D33" s="2" t="s">
        <v>85</v>
      </c>
      <c r="E33" s="2" t="s">
        <v>85</v>
      </c>
      <c r="F33" s="2" t="s">
        <v>85</v>
      </c>
    </row>
    <row r="34" spans="1:6" x14ac:dyDescent="0.25">
      <c r="A34" s="9" t="s">
        <v>68</v>
      </c>
      <c r="B34" s="16" t="s">
        <v>66</v>
      </c>
      <c r="C34" s="3" t="s">
        <v>5</v>
      </c>
      <c r="D34" s="2" t="s">
        <v>85</v>
      </c>
      <c r="E34" s="2" t="s">
        <v>85</v>
      </c>
      <c r="F34" s="2" t="s">
        <v>85</v>
      </c>
    </row>
    <row r="35" spans="1:6" x14ac:dyDescent="0.25">
      <c r="A35" s="9" t="s">
        <v>69</v>
      </c>
      <c r="B35" s="16" t="s">
        <v>67</v>
      </c>
      <c r="C35" s="3" t="s">
        <v>5</v>
      </c>
      <c r="D35" s="2" t="s">
        <v>85</v>
      </c>
      <c r="E35" s="2" t="s">
        <v>85</v>
      </c>
      <c r="F35" s="2" t="s">
        <v>85</v>
      </c>
    </row>
    <row r="36" spans="1:6" ht="25.5" x14ac:dyDescent="0.25">
      <c r="A36" s="5" t="s">
        <v>7</v>
      </c>
      <c r="B36" s="6" t="s">
        <v>70</v>
      </c>
      <c r="C36" s="5" t="s">
        <v>5</v>
      </c>
      <c r="D36" s="40"/>
      <c r="E36" s="2" t="s">
        <v>85</v>
      </c>
      <c r="F36" s="2" t="s">
        <v>85</v>
      </c>
    </row>
    <row r="37" spans="1:6" x14ac:dyDescent="0.25">
      <c r="A37" s="3" t="s">
        <v>71</v>
      </c>
      <c r="B37" s="7" t="s">
        <v>61</v>
      </c>
      <c r="C37" s="3" t="s">
        <v>5</v>
      </c>
      <c r="D37" s="21" t="s">
        <v>85</v>
      </c>
      <c r="E37" s="2" t="s">
        <v>85</v>
      </c>
      <c r="F37" s="21" t="s">
        <v>85</v>
      </c>
    </row>
    <row r="38" spans="1:6" x14ac:dyDescent="0.25">
      <c r="A38" s="3" t="s">
        <v>72</v>
      </c>
      <c r="B38" s="1" t="s">
        <v>62</v>
      </c>
      <c r="C38" s="3" t="s">
        <v>5</v>
      </c>
      <c r="D38" s="21" t="s">
        <v>85</v>
      </c>
      <c r="E38" s="2" t="s">
        <v>85</v>
      </c>
      <c r="F38" s="21" t="s">
        <v>85</v>
      </c>
    </row>
    <row r="39" spans="1:6" ht="25.5" x14ac:dyDescent="0.25">
      <c r="A39" s="3" t="s">
        <v>73</v>
      </c>
      <c r="B39" s="1" t="s">
        <v>63</v>
      </c>
      <c r="C39" s="3" t="s">
        <v>5</v>
      </c>
      <c r="D39" s="21"/>
      <c r="E39" s="2" t="s">
        <v>85</v>
      </c>
      <c r="F39" s="21" t="s">
        <v>85</v>
      </c>
    </row>
    <row r="40" spans="1:6" ht="25.5" x14ac:dyDescent="0.25">
      <c r="A40" s="5" t="s">
        <v>4</v>
      </c>
      <c r="B40" s="6" t="s">
        <v>74</v>
      </c>
      <c r="C40" s="5" t="s">
        <v>5</v>
      </c>
      <c r="D40" s="2" t="s">
        <v>85</v>
      </c>
      <c r="E40" s="2" t="s">
        <v>85</v>
      </c>
      <c r="F40" s="21" t="s">
        <v>85</v>
      </c>
    </row>
    <row r="41" spans="1:6" x14ac:dyDescent="0.25">
      <c r="A41" s="3" t="s">
        <v>75</v>
      </c>
      <c r="B41" s="7" t="s">
        <v>61</v>
      </c>
      <c r="C41" s="3" t="s">
        <v>5</v>
      </c>
      <c r="D41" s="2" t="s">
        <v>85</v>
      </c>
      <c r="E41" s="2" t="s">
        <v>85</v>
      </c>
      <c r="F41" s="2" t="s">
        <v>85</v>
      </c>
    </row>
    <row r="42" spans="1:6" x14ac:dyDescent="0.25">
      <c r="A42" s="3" t="s">
        <v>76</v>
      </c>
      <c r="B42" s="1" t="s">
        <v>62</v>
      </c>
      <c r="C42" s="3" t="s">
        <v>5</v>
      </c>
      <c r="D42" s="2" t="s">
        <v>85</v>
      </c>
      <c r="E42" s="2" t="s">
        <v>85</v>
      </c>
      <c r="F42" s="2" t="s">
        <v>85</v>
      </c>
    </row>
    <row r="43" spans="1:6" ht="25.5" x14ac:dyDescent="0.25">
      <c r="A43" s="3" t="s">
        <v>77</v>
      </c>
      <c r="B43" s="1" t="s">
        <v>63</v>
      </c>
      <c r="C43" s="3" t="s">
        <v>5</v>
      </c>
      <c r="D43" s="2" t="s">
        <v>85</v>
      </c>
      <c r="E43" s="2" t="s">
        <v>85</v>
      </c>
      <c r="F43" s="2" t="s">
        <v>85</v>
      </c>
    </row>
    <row r="44" spans="1:6" x14ac:dyDescent="0.25">
      <c r="A44" s="5" t="s">
        <v>1</v>
      </c>
      <c r="B44" s="6" t="s">
        <v>6</v>
      </c>
      <c r="C44" s="5" t="s">
        <v>5</v>
      </c>
      <c r="D44" s="2" t="s">
        <v>85</v>
      </c>
      <c r="E44" s="2" t="s">
        <v>85</v>
      </c>
      <c r="F44" s="2" t="s">
        <v>85</v>
      </c>
    </row>
    <row r="45" spans="1:6" ht="38.25" x14ac:dyDescent="0.25">
      <c r="A45" s="17" t="s">
        <v>78</v>
      </c>
      <c r="B45" s="6" t="s">
        <v>3</v>
      </c>
      <c r="C45" s="18" t="s">
        <v>2</v>
      </c>
      <c r="D45" s="2" t="s">
        <v>85</v>
      </c>
      <c r="E45" s="2" t="s">
        <v>85</v>
      </c>
      <c r="F45" s="2" t="s">
        <v>85</v>
      </c>
    </row>
    <row r="46" spans="1:6" ht="122.25" customHeight="1" x14ac:dyDescent="0.25">
      <c r="A46" s="98" t="s">
        <v>79</v>
      </c>
      <c r="B46" s="100" t="s">
        <v>0</v>
      </c>
      <c r="C46" s="102"/>
      <c r="D46" s="104" t="s">
        <v>89</v>
      </c>
      <c r="E46" s="105"/>
      <c r="F46" s="72"/>
    </row>
    <row r="47" spans="1:6" ht="83.25" customHeight="1" x14ac:dyDescent="0.25">
      <c r="A47" s="99"/>
      <c r="B47" s="101"/>
      <c r="C47" s="103"/>
      <c r="D47" s="106" t="s">
        <v>87</v>
      </c>
      <c r="E47" s="107"/>
      <c r="F47" s="73"/>
    </row>
    <row r="48" spans="1:6" ht="14.25" customHeight="1" x14ac:dyDescent="0.25">
      <c r="A48" s="19"/>
      <c r="B48" s="20"/>
    </row>
    <row r="49" spans="1:6" ht="13.5" customHeight="1" x14ac:dyDescent="0.25">
      <c r="A49" s="19"/>
      <c r="B49" s="20" t="s">
        <v>88</v>
      </c>
    </row>
    <row r="50" spans="1:6" ht="30" customHeight="1" x14ac:dyDescent="0.25">
      <c r="A50" s="27" t="s">
        <v>90</v>
      </c>
      <c r="B50" s="111" t="s">
        <v>81</v>
      </c>
      <c r="C50" s="111"/>
      <c r="D50" s="111"/>
      <c r="E50" s="111"/>
      <c r="F50" s="111"/>
    </row>
    <row r="51" spans="1:6" ht="29.25" customHeight="1" x14ac:dyDescent="0.25">
      <c r="A51" s="27" t="s">
        <v>135</v>
      </c>
      <c r="B51" s="111" t="s">
        <v>146</v>
      </c>
      <c r="C51" s="111"/>
      <c r="D51" s="111"/>
      <c r="E51" s="111"/>
      <c r="F51" s="111"/>
    </row>
    <row r="52" spans="1:6" ht="15" customHeight="1" x14ac:dyDescent="0.25">
      <c r="A52" s="27" t="s">
        <v>143</v>
      </c>
      <c r="B52" s="111" t="s">
        <v>137</v>
      </c>
      <c r="C52" s="111"/>
      <c r="D52" s="111"/>
      <c r="E52" s="111"/>
      <c r="F52" s="111"/>
    </row>
    <row r="53" spans="1:6" ht="15.75" customHeight="1" x14ac:dyDescent="0.25">
      <c r="A53" s="27"/>
      <c r="B53" s="111" t="s">
        <v>138</v>
      </c>
      <c r="C53" s="111"/>
      <c r="D53" s="111"/>
      <c r="E53" s="111"/>
      <c r="F53" s="111"/>
    </row>
    <row r="54" spans="1:6" ht="13.5" customHeight="1" x14ac:dyDescent="0.25">
      <c r="A54" s="27"/>
      <c r="B54" s="111" t="s">
        <v>139</v>
      </c>
      <c r="C54" s="111"/>
      <c r="D54" s="111"/>
      <c r="E54" s="111"/>
      <c r="F54" s="111"/>
    </row>
    <row r="55" spans="1:6" ht="39.75" customHeight="1" x14ac:dyDescent="0.25">
      <c r="A55" s="27"/>
      <c r="B55" s="111" t="s">
        <v>140</v>
      </c>
      <c r="C55" s="111"/>
      <c r="D55" s="111"/>
      <c r="E55" s="111"/>
      <c r="F55" s="111"/>
    </row>
  </sheetData>
  <mergeCells count="16">
    <mergeCell ref="B50:F50"/>
    <mergeCell ref="B52:F52"/>
    <mergeCell ref="B53:F53"/>
    <mergeCell ref="B54:F54"/>
    <mergeCell ref="B55:F55"/>
    <mergeCell ref="B51:F51"/>
    <mergeCell ref="D1:F1"/>
    <mergeCell ref="D2:F2"/>
    <mergeCell ref="A4:F4"/>
    <mergeCell ref="A5:F5"/>
    <mergeCell ref="A6:F6"/>
    <mergeCell ref="A46:A47"/>
    <mergeCell ref="B46:B47"/>
    <mergeCell ref="C46:C47"/>
    <mergeCell ref="D46:E46"/>
    <mergeCell ref="D47:E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6" workbookViewId="0">
      <selection activeCell="J50" sqref="J50"/>
    </sheetView>
  </sheetViews>
  <sheetFormatPr defaultRowHeight="15" x14ac:dyDescent="0.25"/>
  <cols>
    <col min="1" max="1" width="5.85546875" customWidth="1"/>
    <col min="2" max="2" width="38.85546875" customWidth="1"/>
    <col min="4" max="4" width="13.42578125" customWidth="1"/>
    <col min="5" max="5" width="14" customWidth="1"/>
    <col min="6" max="6" width="15.42578125" customWidth="1"/>
    <col min="9" max="9" width="21" customWidth="1"/>
    <col min="10" max="10" width="12.140625" customWidth="1"/>
    <col min="11" max="11" width="11.85546875" customWidth="1"/>
    <col min="12" max="12" width="11.7109375" customWidth="1"/>
  </cols>
  <sheetData>
    <row r="1" spans="1:12" x14ac:dyDescent="0.25">
      <c r="D1" s="108" t="s">
        <v>133</v>
      </c>
      <c r="E1" s="108"/>
      <c r="F1" s="108"/>
    </row>
    <row r="2" spans="1:12" ht="49.5" customHeight="1" x14ac:dyDescent="0.25">
      <c r="D2" s="109" t="s">
        <v>119</v>
      </c>
      <c r="E2" s="109"/>
      <c r="F2" s="109"/>
    </row>
    <row r="3" spans="1:12" ht="13.5" customHeight="1" x14ac:dyDescent="0.25">
      <c r="A3" s="15"/>
      <c r="B3" s="15"/>
      <c r="C3" s="15"/>
      <c r="D3" s="15"/>
      <c r="E3" s="14"/>
      <c r="F3" s="14"/>
    </row>
    <row r="4" spans="1:12" ht="16.5" customHeight="1" x14ac:dyDescent="0.25">
      <c r="A4" s="79" t="s">
        <v>120</v>
      </c>
      <c r="B4" s="79"/>
      <c r="C4" s="79"/>
      <c r="D4" s="79"/>
      <c r="E4" s="79"/>
      <c r="F4" s="79"/>
    </row>
    <row r="5" spans="1:12" ht="17.25" customHeight="1" x14ac:dyDescent="0.25">
      <c r="A5" s="79" t="s">
        <v>82</v>
      </c>
      <c r="B5" s="79"/>
      <c r="C5" s="79"/>
      <c r="D5" s="79"/>
      <c r="E5" s="79"/>
      <c r="F5" s="79"/>
    </row>
    <row r="6" spans="1:12" ht="17.25" customHeight="1" x14ac:dyDescent="0.25">
      <c r="A6" s="110" t="s">
        <v>91</v>
      </c>
      <c r="B6" s="110"/>
      <c r="C6" s="110"/>
      <c r="D6" s="110"/>
      <c r="E6" s="110"/>
      <c r="F6" s="110"/>
    </row>
    <row r="8" spans="1:12" ht="39" thickBot="1" x14ac:dyDescent="0.3">
      <c r="A8" s="13" t="s">
        <v>43</v>
      </c>
      <c r="B8" s="13" t="s">
        <v>42</v>
      </c>
      <c r="C8" s="13" t="s">
        <v>41</v>
      </c>
      <c r="D8" s="13" t="s">
        <v>145</v>
      </c>
      <c r="E8" s="13" t="s">
        <v>144</v>
      </c>
      <c r="F8" s="13" t="s">
        <v>44</v>
      </c>
    </row>
    <row r="9" spans="1:12" x14ac:dyDescent="0.25">
      <c r="A9" s="11" t="s">
        <v>40</v>
      </c>
      <c r="B9" s="12" t="s">
        <v>39</v>
      </c>
      <c r="C9" s="11" t="s">
        <v>36</v>
      </c>
      <c r="D9" s="22">
        <v>85</v>
      </c>
      <c r="E9" s="22">
        <v>85</v>
      </c>
      <c r="F9" s="22">
        <f>'[1]0.1'!$L$11</f>
        <v>85</v>
      </c>
    </row>
    <row r="10" spans="1:12" ht="63.75" x14ac:dyDescent="0.25">
      <c r="A10" s="3" t="s">
        <v>38</v>
      </c>
      <c r="B10" s="1" t="s">
        <v>37</v>
      </c>
      <c r="C10" s="3" t="s">
        <v>36</v>
      </c>
      <c r="D10" s="21">
        <v>49.352999999999994</v>
      </c>
      <c r="E10" s="21">
        <v>54.6</v>
      </c>
      <c r="F10" s="21">
        <v>49.296666666666667</v>
      </c>
    </row>
    <row r="11" spans="1:12" x14ac:dyDescent="0.25">
      <c r="A11" s="3" t="s">
        <v>35</v>
      </c>
      <c r="B11" s="1" t="s">
        <v>34</v>
      </c>
      <c r="C11" s="3" t="s">
        <v>31</v>
      </c>
      <c r="D11" s="21">
        <v>387.96387400000003</v>
      </c>
      <c r="E11" s="21">
        <v>482.66400000000004</v>
      </c>
      <c r="F11" s="21">
        <v>477.78539999999998</v>
      </c>
    </row>
    <row r="12" spans="1:12" ht="16.5" customHeight="1" x14ac:dyDescent="0.25">
      <c r="A12" s="3" t="s">
        <v>33</v>
      </c>
      <c r="B12" s="1" t="s">
        <v>32</v>
      </c>
      <c r="C12" s="3" t="s">
        <v>31</v>
      </c>
      <c r="D12" s="21">
        <v>319.56820800000008</v>
      </c>
      <c r="E12" s="21">
        <v>407.17140000000006</v>
      </c>
      <c r="F12" s="21">
        <v>401.68411600000002</v>
      </c>
      <c r="J12" s="32"/>
      <c r="K12" s="32"/>
      <c r="L12" s="33"/>
    </row>
    <row r="13" spans="1:12" x14ac:dyDescent="0.25">
      <c r="A13" s="3" t="s">
        <v>30</v>
      </c>
      <c r="B13" s="1" t="s">
        <v>29</v>
      </c>
      <c r="C13" s="3" t="s">
        <v>26</v>
      </c>
      <c r="D13" s="21">
        <v>1360.835</v>
      </c>
      <c r="E13" s="21">
        <v>1612.93</v>
      </c>
      <c r="F13" s="21">
        <v>1465.991667</v>
      </c>
      <c r="J13" s="25"/>
      <c r="K13" s="25"/>
      <c r="L13" s="25"/>
    </row>
    <row r="14" spans="1:12" x14ac:dyDescent="0.25">
      <c r="A14" s="3" t="s">
        <v>28</v>
      </c>
      <c r="B14" s="1" t="s">
        <v>27</v>
      </c>
      <c r="C14" s="3" t="s">
        <v>26</v>
      </c>
      <c r="D14" s="21">
        <v>1359.665</v>
      </c>
      <c r="E14" s="21">
        <v>1612.93</v>
      </c>
      <c r="F14" s="21">
        <v>1464.749667</v>
      </c>
      <c r="J14" s="25"/>
      <c r="K14" s="25"/>
      <c r="L14" s="25"/>
    </row>
    <row r="15" spans="1:12" ht="16.5" customHeight="1" x14ac:dyDescent="0.25">
      <c r="A15" s="5" t="s">
        <v>25</v>
      </c>
      <c r="B15" s="6" t="s">
        <v>48</v>
      </c>
      <c r="C15" s="5" t="s">
        <v>5</v>
      </c>
      <c r="D15" s="40">
        <f>D16+D17+D18</f>
        <v>1472.9810128437912</v>
      </c>
      <c r="E15" s="40" t="s">
        <v>85</v>
      </c>
      <c r="F15" s="40">
        <f>F16+F17+F18</f>
        <v>1730.895956136651</v>
      </c>
      <c r="J15" s="25"/>
      <c r="K15" s="25"/>
      <c r="L15" s="25"/>
    </row>
    <row r="16" spans="1:12" x14ac:dyDescent="0.25">
      <c r="A16" s="3" t="s">
        <v>49</v>
      </c>
      <c r="B16" s="1" t="s">
        <v>50</v>
      </c>
      <c r="C16" s="3" t="s">
        <v>5</v>
      </c>
      <c r="D16" s="21">
        <v>394.64498217515813</v>
      </c>
      <c r="E16" s="40" t="s">
        <v>85</v>
      </c>
      <c r="F16" s="21">
        <v>524.64778000000001</v>
      </c>
    </row>
    <row r="17" spans="1:6" ht="16.5" customHeight="1" x14ac:dyDescent="0.25">
      <c r="A17" s="3" t="s">
        <v>51</v>
      </c>
      <c r="B17" s="1" t="s">
        <v>52</v>
      </c>
      <c r="C17" s="3" t="s">
        <v>5</v>
      </c>
      <c r="D17" s="21">
        <v>185.29926804068702</v>
      </c>
      <c r="E17" s="40" t="s">
        <v>85</v>
      </c>
      <c r="F17" s="21">
        <v>222.16111000000001</v>
      </c>
    </row>
    <row r="18" spans="1:6" ht="25.5" x14ac:dyDescent="0.25">
      <c r="A18" s="3" t="s">
        <v>53</v>
      </c>
      <c r="B18" s="1" t="s">
        <v>54</v>
      </c>
      <c r="C18" s="3" t="s">
        <v>5</v>
      </c>
      <c r="D18" s="21">
        <f>893036.762627946/1000</f>
        <v>893.03676262794602</v>
      </c>
      <c r="E18" s="40" t="s">
        <v>85</v>
      </c>
      <c r="F18" s="21">
        <f>984087.066136651/1000</f>
        <v>984.08706613665095</v>
      </c>
    </row>
    <row r="19" spans="1:6" x14ac:dyDescent="0.25">
      <c r="A19" s="3" t="s">
        <v>24</v>
      </c>
      <c r="B19" s="1" t="s">
        <v>23</v>
      </c>
      <c r="C19" s="3" t="s">
        <v>5</v>
      </c>
      <c r="D19" s="21">
        <f>394382.87940531/1000</f>
        <v>394.38287940531001</v>
      </c>
      <c r="E19" s="40" t="s">
        <v>85</v>
      </c>
      <c r="F19" s="21">
        <f>524218.796227425/1000</f>
        <v>524.21879622742495</v>
      </c>
    </row>
    <row r="20" spans="1:6" ht="25.5" x14ac:dyDescent="0.25">
      <c r="A20" s="3"/>
      <c r="B20" s="1" t="s">
        <v>45</v>
      </c>
      <c r="C20" s="10" t="s">
        <v>22</v>
      </c>
      <c r="D20" s="23">
        <v>335.51</v>
      </c>
      <c r="E20" s="23">
        <v>301.2</v>
      </c>
      <c r="F20" s="23">
        <v>317.96388831797088</v>
      </c>
    </row>
    <row r="21" spans="1:6" x14ac:dyDescent="0.25">
      <c r="A21" s="3" t="s">
        <v>19</v>
      </c>
      <c r="B21" s="1" t="s">
        <v>21</v>
      </c>
      <c r="C21" s="3" t="s">
        <v>5</v>
      </c>
      <c r="D21" s="21">
        <f>688308.871652641/1000</f>
        <v>688.30887165264096</v>
      </c>
      <c r="E21" s="21" t="s">
        <v>85</v>
      </c>
      <c r="F21" s="21">
        <f>769478.474448224/1000</f>
        <v>769.47847444822389</v>
      </c>
    </row>
    <row r="22" spans="1:6" ht="25.5" x14ac:dyDescent="0.25">
      <c r="A22" s="3"/>
      <c r="B22" s="1" t="s">
        <v>46</v>
      </c>
      <c r="C22" s="10" t="s">
        <v>20</v>
      </c>
      <c r="D22" s="23">
        <v>141.10599999999999</v>
      </c>
      <c r="E22" s="23">
        <v>131.30000000000001</v>
      </c>
      <c r="F22" s="23">
        <v>130.79400000000001</v>
      </c>
    </row>
    <row r="23" spans="1:6" ht="51" x14ac:dyDescent="0.25">
      <c r="A23" s="3"/>
      <c r="B23" s="1" t="s">
        <v>47</v>
      </c>
      <c r="C23" s="10"/>
      <c r="D23" s="2" t="s">
        <v>85</v>
      </c>
      <c r="E23" s="24" t="s">
        <v>86</v>
      </c>
      <c r="F23" s="24" t="s">
        <v>147</v>
      </c>
    </row>
    <row r="24" spans="1:6" x14ac:dyDescent="0.25">
      <c r="A24" s="5" t="s">
        <v>17</v>
      </c>
      <c r="B24" s="6" t="s">
        <v>18</v>
      </c>
      <c r="C24" s="5" t="s">
        <v>5</v>
      </c>
      <c r="D24" s="40">
        <f>[2]амортизация!$C$10/1000</f>
        <v>59.323999999999998</v>
      </c>
      <c r="E24" s="2" t="s">
        <v>85</v>
      </c>
      <c r="F24" s="40">
        <f>47711.9999761774/1000</f>
        <v>47.711999976177403</v>
      </c>
    </row>
    <row r="25" spans="1:6" ht="38.25" x14ac:dyDescent="0.25">
      <c r="A25" s="5" t="s">
        <v>11</v>
      </c>
      <c r="B25" s="6" t="s">
        <v>16</v>
      </c>
      <c r="C25" s="3"/>
      <c r="D25" s="2"/>
      <c r="E25" s="2"/>
      <c r="F25" s="2"/>
    </row>
    <row r="26" spans="1:6" x14ac:dyDescent="0.25">
      <c r="A26" s="3" t="s">
        <v>55</v>
      </c>
      <c r="B26" s="1" t="s">
        <v>15</v>
      </c>
      <c r="C26" s="3" t="s">
        <v>14</v>
      </c>
      <c r="D26" s="21">
        <v>164</v>
      </c>
      <c r="E26" s="2" t="s">
        <v>85</v>
      </c>
      <c r="F26" s="21">
        <v>164</v>
      </c>
    </row>
    <row r="27" spans="1:6" ht="25.5" x14ac:dyDescent="0.25">
      <c r="A27" s="3" t="s">
        <v>56</v>
      </c>
      <c r="B27" s="1" t="s">
        <v>13</v>
      </c>
      <c r="C27" s="3" t="s">
        <v>12</v>
      </c>
      <c r="D27" s="21">
        <f>39813.2176974/1000</f>
        <v>39.813217697400006</v>
      </c>
      <c r="E27" s="2" t="s">
        <v>85</v>
      </c>
      <c r="F27" s="21">
        <f>44916.1368820302/1000</f>
        <v>44.916136882030202</v>
      </c>
    </row>
    <row r="28" spans="1:6" ht="63.75" x14ac:dyDescent="0.25">
      <c r="A28" s="3" t="s">
        <v>57</v>
      </c>
      <c r="B28" s="1" t="s">
        <v>58</v>
      </c>
      <c r="C28" s="3"/>
      <c r="D28" s="24" t="s">
        <v>114</v>
      </c>
      <c r="E28" s="2" t="s">
        <v>85</v>
      </c>
      <c r="F28" s="24" t="s">
        <v>116</v>
      </c>
    </row>
    <row r="29" spans="1:6" x14ac:dyDescent="0.25">
      <c r="A29" s="5" t="s">
        <v>10</v>
      </c>
      <c r="B29" s="6" t="s">
        <v>59</v>
      </c>
      <c r="C29" s="5" t="s">
        <v>5</v>
      </c>
      <c r="D29" s="40">
        <f>D30+D31+D32</f>
        <v>1472.9810128437909</v>
      </c>
      <c r="E29" s="2" t="s">
        <v>85</v>
      </c>
      <c r="F29" s="40">
        <f>F30+F31+F32</f>
        <v>1730.8959571688049</v>
      </c>
    </row>
    <row r="30" spans="1:6" x14ac:dyDescent="0.25">
      <c r="A30" s="9" t="s">
        <v>60</v>
      </c>
      <c r="B30" s="7" t="s">
        <v>61</v>
      </c>
      <c r="C30" s="3" t="s">
        <v>5</v>
      </c>
      <c r="D30" s="21">
        <f>394644.982175158/1000</f>
        <v>394.64498217515796</v>
      </c>
      <c r="E30" s="2" t="s">
        <v>85</v>
      </c>
      <c r="F30" s="21">
        <f>524647.781206053/1000</f>
        <v>524.64778120605297</v>
      </c>
    </row>
    <row r="31" spans="1:6" x14ac:dyDescent="0.25">
      <c r="A31" s="9" t="s">
        <v>64</v>
      </c>
      <c r="B31" s="1" t="s">
        <v>62</v>
      </c>
      <c r="C31" s="3" t="s">
        <v>5</v>
      </c>
      <c r="D31" s="21">
        <f>185299.268040687/1000</f>
        <v>185.299268040687</v>
      </c>
      <c r="E31" s="2" t="s">
        <v>85</v>
      </c>
      <c r="F31" s="21">
        <f>222161.109826101/1000</f>
        <v>222.16110982610098</v>
      </c>
    </row>
    <row r="32" spans="1:6" ht="25.5" x14ac:dyDescent="0.25">
      <c r="A32" s="9" t="s">
        <v>65</v>
      </c>
      <c r="B32" s="1" t="s">
        <v>63</v>
      </c>
      <c r="C32" s="3" t="s">
        <v>5</v>
      </c>
      <c r="D32" s="21">
        <f>D18</f>
        <v>893.03676262794602</v>
      </c>
      <c r="E32" s="2" t="s">
        <v>85</v>
      </c>
      <c r="F32" s="21">
        <f>F18</f>
        <v>984.08706613665095</v>
      </c>
    </row>
    <row r="33" spans="1:6" ht="25.5" x14ac:dyDescent="0.25">
      <c r="A33" s="8" t="s">
        <v>8</v>
      </c>
      <c r="B33" s="6" t="s">
        <v>9</v>
      </c>
      <c r="C33" s="5" t="s">
        <v>5</v>
      </c>
      <c r="D33" s="2" t="s">
        <v>85</v>
      </c>
      <c r="E33" s="2" t="s">
        <v>85</v>
      </c>
      <c r="F33" s="2" t="s">
        <v>85</v>
      </c>
    </row>
    <row r="34" spans="1:6" x14ac:dyDescent="0.25">
      <c r="A34" s="9" t="s">
        <v>68</v>
      </c>
      <c r="B34" s="16" t="s">
        <v>66</v>
      </c>
      <c r="C34" s="3" t="s">
        <v>5</v>
      </c>
      <c r="D34" s="2" t="s">
        <v>85</v>
      </c>
      <c r="E34" s="2" t="s">
        <v>85</v>
      </c>
      <c r="F34" s="2" t="s">
        <v>85</v>
      </c>
    </row>
    <row r="35" spans="1:6" x14ac:dyDescent="0.25">
      <c r="A35" s="9" t="s">
        <v>69</v>
      </c>
      <c r="B35" s="16" t="s">
        <v>67</v>
      </c>
      <c r="C35" s="3" t="s">
        <v>5</v>
      </c>
      <c r="D35" s="2" t="s">
        <v>85</v>
      </c>
      <c r="E35" s="2" t="s">
        <v>85</v>
      </c>
      <c r="F35" s="2" t="s">
        <v>85</v>
      </c>
    </row>
    <row r="36" spans="1:6" ht="25.5" x14ac:dyDescent="0.25">
      <c r="A36" s="5" t="s">
        <v>7</v>
      </c>
      <c r="B36" s="6" t="s">
        <v>70</v>
      </c>
      <c r="C36" s="5" t="s">
        <v>5</v>
      </c>
      <c r="D36" s="2" t="s">
        <v>85</v>
      </c>
      <c r="E36" s="2" t="s">
        <v>85</v>
      </c>
      <c r="F36" s="2" t="s">
        <v>85</v>
      </c>
    </row>
    <row r="37" spans="1:6" x14ac:dyDescent="0.25">
      <c r="A37" s="3" t="s">
        <v>71</v>
      </c>
      <c r="B37" s="7" t="s">
        <v>61</v>
      </c>
      <c r="C37" s="3" t="s">
        <v>5</v>
      </c>
      <c r="D37" s="21" t="s">
        <v>85</v>
      </c>
      <c r="E37" s="2" t="s">
        <v>85</v>
      </c>
      <c r="F37" s="21" t="s">
        <v>85</v>
      </c>
    </row>
    <row r="38" spans="1:6" x14ac:dyDescent="0.25">
      <c r="A38" s="3" t="s">
        <v>72</v>
      </c>
      <c r="B38" s="1" t="s">
        <v>62</v>
      </c>
      <c r="C38" s="3" t="s">
        <v>5</v>
      </c>
      <c r="D38" s="21" t="s">
        <v>85</v>
      </c>
      <c r="E38" s="2" t="s">
        <v>85</v>
      </c>
      <c r="F38" s="21" t="s">
        <v>85</v>
      </c>
    </row>
    <row r="39" spans="1:6" ht="25.5" x14ac:dyDescent="0.25">
      <c r="A39" s="3" t="s">
        <v>73</v>
      </c>
      <c r="B39" s="1" t="s">
        <v>63</v>
      </c>
      <c r="C39" s="3" t="s">
        <v>5</v>
      </c>
      <c r="D39" s="21" t="s">
        <v>85</v>
      </c>
      <c r="E39" s="2" t="s">
        <v>85</v>
      </c>
      <c r="F39" s="21" t="s">
        <v>85</v>
      </c>
    </row>
    <row r="40" spans="1:6" ht="25.5" x14ac:dyDescent="0.25">
      <c r="A40" s="5" t="s">
        <v>4</v>
      </c>
      <c r="B40" s="6" t="s">
        <v>74</v>
      </c>
      <c r="C40" s="5" t="s">
        <v>5</v>
      </c>
      <c r="D40" s="2" t="s">
        <v>85</v>
      </c>
      <c r="E40" s="2" t="s">
        <v>85</v>
      </c>
      <c r="F40" s="21" t="s">
        <v>85</v>
      </c>
    </row>
    <row r="41" spans="1:6" x14ac:dyDescent="0.25">
      <c r="A41" s="3" t="s">
        <v>75</v>
      </c>
      <c r="B41" s="7" t="s">
        <v>61</v>
      </c>
      <c r="C41" s="3" t="s">
        <v>5</v>
      </c>
      <c r="D41" s="2" t="s">
        <v>85</v>
      </c>
      <c r="E41" s="2" t="s">
        <v>85</v>
      </c>
      <c r="F41" s="2" t="s">
        <v>85</v>
      </c>
    </row>
    <row r="42" spans="1:6" x14ac:dyDescent="0.25">
      <c r="A42" s="3" t="s">
        <v>76</v>
      </c>
      <c r="B42" s="1" t="s">
        <v>62</v>
      </c>
      <c r="C42" s="3" t="s">
        <v>5</v>
      </c>
      <c r="D42" s="2" t="s">
        <v>85</v>
      </c>
      <c r="E42" s="2" t="s">
        <v>85</v>
      </c>
      <c r="F42" s="2" t="s">
        <v>85</v>
      </c>
    </row>
    <row r="43" spans="1:6" ht="25.5" x14ac:dyDescent="0.25">
      <c r="A43" s="3" t="s">
        <v>77</v>
      </c>
      <c r="B43" s="1" t="s">
        <v>63</v>
      </c>
      <c r="C43" s="3" t="s">
        <v>5</v>
      </c>
      <c r="D43" s="2" t="s">
        <v>85</v>
      </c>
      <c r="E43" s="2" t="s">
        <v>85</v>
      </c>
      <c r="F43" s="2" t="s">
        <v>85</v>
      </c>
    </row>
    <row r="44" spans="1:6" x14ac:dyDescent="0.25">
      <c r="A44" s="5" t="s">
        <v>1</v>
      </c>
      <c r="B44" s="6" t="s">
        <v>6</v>
      </c>
      <c r="C44" s="5" t="s">
        <v>5</v>
      </c>
      <c r="D44" s="2" t="s">
        <v>85</v>
      </c>
      <c r="E44" s="2" t="s">
        <v>85</v>
      </c>
      <c r="F44" s="2" t="s">
        <v>85</v>
      </c>
    </row>
    <row r="45" spans="1:6" ht="38.25" x14ac:dyDescent="0.25">
      <c r="A45" s="17" t="s">
        <v>78</v>
      </c>
      <c r="B45" s="6" t="s">
        <v>3</v>
      </c>
      <c r="C45" s="18" t="s">
        <v>2</v>
      </c>
      <c r="D45" s="2" t="s">
        <v>85</v>
      </c>
      <c r="E45" s="2" t="s">
        <v>85</v>
      </c>
      <c r="F45" s="2" t="s">
        <v>85</v>
      </c>
    </row>
    <row r="46" spans="1:6" ht="122.25" customHeight="1" x14ac:dyDescent="0.25">
      <c r="A46" s="98" t="s">
        <v>79</v>
      </c>
      <c r="B46" s="100" t="s">
        <v>0</v>
      </c>
      <c r="C46" s="102"/>
      <c r="D46" s="104" t="s">
        <v>89</v>
      </c>
      <c r="E46" s="105"/>
      <c r="F46" s="72"/>
    </row>
    <row r="47" spans="1:6" ht="83.25" customHeight="1" x14ac:dyDescent="0.25">
      <c r="A47" s="99"/>
      <c r="B47" s="101"/>
      <c r="C47" s="103"/>
      <c r="D47" s="106" t="s">
        <v>87</v>
      </c>
      <c r="E47" s="107"/>
      <c r="F47" s="73"/>
    </row>
    <row r="48" spans="1:6" ht="14.25" customHeight="1" x14ac:dyDescent="0.25">
      <c r="A48" s="19"/>
      <c r="B48" s="20"/>
    </row>
    <row r="49" spans="1:6" ht="13.5" customHeight="1" x14ac:dyDescent="0.25">
      <c r="A49" s="19"/>
      <c r="B49" s="20" t="s">
        <v>88</v>
      </c>
    </row>
    <row r="50" spans="1:6" ht="30" customHeight="1" x14ac:dyDescent="0.25">
      <c r="A50" s="27" t="s">
        <v>90</v>
      </c>
      <c r="B50" s="111" t="s">
        <v>81</v>
      </c>
      <c r="C50" s="111"/>
      <c r="D50" s="111"/>
      <c r="E50" s="111"/>
      <c r="F50" s="111"/>
    </row>
    <row r="51" spans="1:6" ht="27.75" customHeight="1" x14ac:dyDescent="0.25">
      <c r="A51" s="27" t="s">
        <v>135</v>
      </c>
      <c r="B51" s="111" t="s">
        <v>146</v>
      </c>
      <c r="C51" s="111"/>
      <c r="D51" s="111"/>
      <c r="E51" s="111"/>
      <c r="F51" s="111"/>
    </row>
    <row r="52" spans="1:6" ht="15.75" customHeight="1" x14ac:dyDescent="0.25">
      <c r="A52" s="27" t="s">
        <v>143</v>
      </c>
      <c r="B52" s="111" t="s">
        <v>137</v>
      </c>
      <c r="C52" s="111"/>
      <c r="D52" s="111"/>
      <c r="E52" s="111"/>
      <c r="F52" s="111"/>
    </row>
    <row r="53" spans="1:6" ht="13.5" customHeight="1" x14ac:dyDescent="0.25">
      <c r="A53" s="27"/>
      <c r="B53" s="111" t="s">
        <v>138</v>
      </c>
      <c r="C53" s="111"/>
      <c r="D53" s="111"/>
      <c r="E53" s="111"/>
      <c r="F53" s="111"/>
    </row>
    <row r="54" spans="1:6" ht="12" customHeight="1" x14ac:dyDescent="0.25">
      <c r="A54" s="27"/>
      <c r="B54" s="111" t="s">
        <v>139</v>
      </c>
      <c r="C54" s="111"/>
      <c r="D54" s="111"/>
      <c r="E54" s="111"/>
      <c r="F54" s="111"/>
    </row>
    <row r="55" spans="1:6" ht="40.5" customHeight="1" x14ac:dyDescent="0.25">
      <c r="A55" s="27"/>
      <c r="B55" s="111" t="s">
        <v>140</v>
      </c>
      <c r="C55" s="111"/>
      <c r="D55" s="111"/>
      <c r="E55" s="111"/>
      <c r="F55" s="111"/>
    </row>
  </sheetData>
  <mergeCells count="16">
    <mergeCell ref="B55:F55"/>
    <mergeCell ref="B53:F53"/>
    <mergeCell ref="B54:F54"/>
    <mergeCell ref="B50:F50"/>
    <mergeCell ref="B51:F51"/>
    <mergeCell ref="B52:F52"/>
    <mergeCell ref="D1:F1"/>
    <mergeCell ref="A4:F4"/>
    <mergeCell ref="A5:F5"/>
    <mergeCell ref="A6:F6"/>
    <mergeCell ref="D2:F2"/>
    <mergeCell ref="A46:A47"/>
    <mergeCell ref="B46:B47"/>
    <mergeCell ref="C46:C47"/>
    <mergeCell ref="D46:E46"/>
    <mergeCell ref="D47:E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opLeftCell="A13" workbookViewId="0">
      <selection activeCell="F19" sqref="F19"/>
    </sheetView>
  </sheetViews>
  <sheetFormatPr defaultRowHeight="15" x14ac:dyDescent="0.25"/>
  <cols>
    <col min="1" max="1" width="5.85546875" customWidth="1"/>
    <col min="2" max="2" width="38.85546875" customWidth="1"/>
    <col min="4" max="4" width="13.42578125" customWidth="1"/>
    <col min="5" max="5" width="14" customWidth="1"/>
    <col min="6" max="6" width="15.42578125" customWidth="1"/>
  </cols>
  <sheetData>
    <row r="1" spans="1:6" x14ac:dyDescent="0.25">
      <c r="D1" s="108" t="s">
        <v>133</v>
      </c>
      <c r="E1" s="108"/>
      <c r="F1" s="108"/>
    </row>
    <row r="2" spans="1:6" ht="51.75" customHeight="1" x14ac:dyDescent="0.25">
      <c r="A2" s="15"/>
      <c r="B2" s="15"/>
      <c r="C2" s="15"/>
      <c r="D2" s="109" t="s">
        <v>119</v>
      </c>
      <c r="E2" s="109"/>
      <c r="F2" s="109"/>
    </row>
    <row r="3" spans="1:6" ht="15" customHeight="1" x14ac:dyDescent="0.25">
      <c r="A3" s="15"/>
      <c r="B3" s="15"/>
      <c r="C3" s="15"/>
      <c r="D3" s="26"/>
      <c r="E3" s="26"/>
      <c r="F3" s="26"/>
    </row>
    <row r="4" spans="1:6" ht="16.5" customHeight="1" x14ac:dyDescent="0.25">
      <c r="A4" s="79" t="s">
        <v>120</v>
      </c>
      <c r="B4" s="79"/>
      <c r="C4" s="79"/>
      <c r="D4" s="79"/>
      <c r="E4" s="79"/>
      <c r="F4" s="79"/>
    </row>
    <row r="5" spans="1:6" ht="17.25" customHeight="1" x14ac:dyDescent="0.25">
      <c r="A5" s="79" t="s">
        <v>83</v>
      </c>
      <c r="B5" s="79"/>
      <c r="C5" s="79"/>
      <c r="D5" s="79"/>
      <c r="E5" s="79"/>
      <c r="F5" s="79"/>
    </row>
    <row r="6" spans="1:6" ht="17.25" customHeight="1" x14ac:dyDescent="0.25">
      <c r="A6" s="110" t="s">
        <v>91</v>
      </c>
      <c r="B6" s="110"/>
      <c r="C6" s="110"/>
      <c r="D6" s="110"/>
      <c r="E6" s="110"/>
      <c r="F6" s="110"/>
    </row>
    <row r="8" spans="1:6" ht="39" thickBot="1" x14ac:dyDescent="0.3">
      <c r="A8" s="13" t="s">
        <v>43</v>
      </c>
      <c r="B8" s="13" t="s">
        <v>42</v>
      </c>
      <c r="C8" s="13" t="s">
        <v>41</v>
      </c>
      <c r="D8" s="13" t="s">
        <v>145</v>
      </c>
      <c r="E8" s="13" t="s">
        <v>144</v>
      </c>
      <c r="F8" s="13" t="s">
        <v>44</v>
      </c>
    </row>
    <row r="9" spans="1:6" x14ac:dyDescent="0.25">
      <c r="A9" s="11" t="s">
        <v>40</v>
      </c>
      <c r="B9" s="12" t="s">
        <v>39</v>
      </c>
      <c r="C9" s="11" t="s">
        <v>36</v>
      </c>
      <c r="D9" s="22">
        <v>164</v>
      </c>
      <c r="E9" s="22">
        <v>164</v>
      </c>
      <c r="F9" s="22">
        <f>'[3]0.1'!$L$11</f>
        <v>164</v>
      </c>
    </row>
    <row r="10" spans="1:6" ht="63.75" x14ac:dyDescent="0.25">
      <c r="A10" s="3" t="s">
        <v>38</v>
      </c>
      <c r="B10" s="1" t="s">
        <v>37</v>
      </c>
      <c r="C10" s="3" t="s">
        <v>36</v>
      </c>
      <c r="D10" s="21">
        <v>66.11</v>
      </c>
      <c r="E10" s="21">
        <v>70.067833333333297</v>
      </c>
      <c r="F10" s="21">
        <f>'[3]0.1'!$L$12</f>
        <v>73.618750000000006</v>
      </c>
    </row>
    <row r="11" spans="1:6" x14ac:dyDescent="0.25">
      <c r="A11" s="3" t="s">
        <v>35</v>
      </c>
      <c r="B11" s="1" t="s">
        <v>34</v>
      </c>
      <c r="C11" s="3" t="s">
        <v>31</v>
      </c>
      <c r="D11" s="21">
        <v>364.13</v>
      </c>
      <c r="E11" s="21">
        <v>484.59200000000004</v>
      </c>
      <c r="F11" s="21">
        <v>338.52000000000004</v>
      </c>
    </row>
    <row r="12" spans="1:6" x14ac:dyDescent="0.25">
      <c r="A12" s="3" t="s">
        <v>33</v>
      </c>
      <c r="B12" s="1" t="s">
        <v>32</v>
      </c>
      <c r="C12" s="3" t="s">
        <v>31</v>
      </c>
      <c r="D12" s="21">
        <v>280.2</v>
      </c>
      <c r="E12" s="21">
        <v>393.35899443000005</v>
      </c>
      <c r="F12" s="21">
        <v>241.33650400000005</v>
      </c>
    </row>
    <row r="13" spans="1:6" x14ac:dyDescent="0.25">
      <c r="A13" s="3" t="s">
        <v>30</v>
      </c>
      <c r="B13" s="1" t="s">
        <v>29</v>
      </c>
      <c r="C13" s="3" t="s">
        <v>26</v>
      </c>
      <c r="D13" s="21">
        <v>983.226</v>
      </c>
      <c r="E13" s="21">
        <v>1123.19</v>
      </c>
      <c r="F13" s="21">
        <v>1305.875333</v>
      </c>
    </row>
    <row r="14" spans="1:6" x14ac:dyDescent="0.25">
      <c r="A14" s="3" t="s">
        <v>28</v>
      </c>
      <c r="B14" s="1" t="s">
        <v>27</v>
      </c>
      <c r="C14" s="3" t="s">
        <v>26</v>
      </c>
      <c r="D14" s="21">
        <v>969.34320000000002</v>
      </c>
      <c r="E14" s="21">
        <v>1123.19</v>
      </c>
      <c r="F14" s="21">
        <v>1295.585333</v>
      </c>
    </row>
    <row r="15" spans="1:6" ht="21" customHeight="1" x14ac:dyDescent="0.25">
      <c r="A15" s="5" t="s">
        <v>25</v>
      </c>
      <c r="B15" s="6" t="s">
        <v>48</v>
      </c>
      <c r="C15" s="5" t="s">
        <v>5</v>
      </c>
      <c r="D15" s="40">
        <f>D16+D17+D18</f>
        <v>1482.092518317713</v>
      </c>
      <c r="E15" s="40" t="s">
        <v>85</v>
      </c>
      <c r="F15" s="40">
        <f>F16+F17+F18</f>
        <v>1784.962713807827</v>
      </c>
    </row>
    <row r="16" spans="1:6" x14ac:dyDescent="0.25">
      <c r="A16" s="3" t="s">
        <v>49</v>
      </c>
      <c r="B16" s="1" t="s">
        <v>50</v>
      </c>
      <c r="C16" s="3" t="s">
        <v>5</v>
      </c>
      <c r="D16" s="21">
        <f>340884.056496542/1000</f>
        <v>340.88405649654203</v>
      </c>
      <c r="E16" s="40" t="s">
        <v>85</v>
      </c>
      <c r="F16" s="21">
        <f>333818.169564272/1000</f>
        <v>333.81816956427201</v>
      </c>
    </row>
    <row r="17" spans="1:6" ht="16.5" customHeight="1" x14ac:dyDescent="0.25">
      <c r="A17" s="3" t="s">
        <v>51</v>
      </c>
      <c r="B17" s="1" t="s">
        <v>52</v>
      </c>
      <c r="C17" s="3" t="s">
        <v>5</v>
      </c>
      <c r="D17" s="21">
        <f>269709.681129892/1000</f>
        <v>269.70968112989203</v>
      </c>
      <c r="E17" s="40" t="s">
        <v>85</v>
      </c>
      <c r="F17" s="21">
        <f>279051.244114045/1000</f>
        <v>279.05124411404501</v>
      </c>
    </row>
    <row r="18" spans="1:6" ht="25.5" x14ac:dyDescent="0.25">
      <c r="A18" s="3" t="s">
        <v>53</v>
      </c>
      <c r="B18" s="1" t="s">
        <v>54</v>
      </c>
      <c r="C18" s="3" t="s">
        <v>5</v>
      </c>
      <c r="D18" s="21">
        <f>871498.780691279/1000</f>
        <v>871.49878069127897</v>
      </c>
      <c r="E18" s="40" t="s">
        <v>85</v>
      </c>
      <c r="F18" s="21">
        <f>1172093.30012951/1000</f>
        <v>1172.09330012951</v>
      </c>
    </row>
    <row r="19" spans="1:6" x14ac:dyDescent="0.25">
      <c r="A19" s="3" t="s">
        <v>24</v>
      </c>
      <c r="B19" s="1" t="s">
        <v>23</v>
      </c>
      <c r="C19" s="3" t="s">
        <v>5</v>
      </c>
      <c r="D19" s="21">
        <f>340650.04204039/1000</f>
        <v>340.65004204039002</v>
      </c>
      <c r="E19" s="40" t="s">
        <v>85</v>
      </c>
      <c r="F19" s="21">
        <f>331589.594486675/1000</f>
        <v>331.58959448667497</v>
      </c>
    </row>
    <row r="20" spans="1:6" ht="25.5" x14ac:dyDescent="0.25">
      <c r="A20" s="3"/>
      <c r="B20" s="1" t="s">
        <v>45</v>
      </c>
      <c r="C20" s="10" t="s">
        <v>22</v>
      </c>
      <c r="D20" s="23">
        <v>329.01100000000002</v>
      </c>
      <c r="E20" s="23">
        <v>321.60000000000002</v>
      </c>
      <c r="F20" s="23">
        <v>338.6</v>
      </c>
    </row>
    <row r="21" spans="1:6" x14ac:dyDescent="0.25">
      <c r="A21" s="3" t="s">
        <v>19</v>
      </c>
      <c r="B21" s="1" t="s">
        <v>21</v>
      </c>
      <c r="C21" s="3" t="s">
        <v>5</v>
      </c>
      <c r="D21" s="21">
        <f>610649.352962073/1000</f>
        <v>610.64935296207307</v>
      </c>
      <c r="E21" s="21" t="s">
        <v>85</v>
      </c>
      <c r="F21" s="21">
        <f>838867.34151702/1000</f>
        <v>838.86734151702001</v>
      </c>
    </row>
    <row r="22" spans="1:6" ht="25.5" x14ac:dyDescent="0.25">
      <c r="A22" s="3"/>
      <c r="B22" s="1" t="s">
        <v>46</v>
      </c>
      <c r="C22" s="10" t="s">
        <v>20</v>
      </c>
      <c r="D22" s="23">
        <v>173.07599999999999</v>
      </c>
      <c r="E22" s="23">
        <v>145.80000000000001</v>
      </c>
      <c r="F22" s="23">
        <v>160</v>
      </c>
    </row>
    <row r="23" spans="1:6" ht="51" x14ac:dyDescent="0.25">
      <c r="A23" s="3"/>
      <c r="B23" s="1" t="s">
        <v>47</v>
      </c>
      <c r="C23" s="10"/>
      <c r="D23" s="4" t="s">
        <v>85</v>
      </c>
      <c r="E23" s="24" t="s">
        <v>86</v>
      </c>
      <c r="F23" s="24" t="s">
        <v>147</v>
      </c>
    </row>
    <row r="24" spans="1:6" x14ac:dyDescent="0.25">
      <c r="A24" s="5" t="s">
        <v>17</v>
      </c>
      <c r="B24" s="6" t="s">
        <v>18</v>
      </c>
      <c r="C24" s="5" t="s">
        <v>5</v>
      </c>
      <c r="D24" s="40">
        <f>[2]амортизация!$C$12/1000</f>
        <v>87.406999999999996</v>
      </c>
      <c r="E24" s="2" t="s">
        <v>85</v>
      </c>
      <c r="F24" s="40">
        <f>99363.9999992877/1000</f>
        <v>99.363999999287699</v>
      </c>
    </row>
    <row r="25" spans="1:6" ht="38.25" x14ac:dyDescent="0.25">
      <c r="A25" s="5" t="s">
        <v>11</v>
      </c>
      <c r="B25" s="6" t="s">
        <v>16</v>
      </c>
      <c r="C25" s="3"/>
      <c r="D25" s="2"/>
      <c r="E25" s="2" t="s">
        <v>85</v>
      </c>
      <c r="F25" s="2" t="s">
        <v>85</v>
      </c>
    </row>
    <row r="26" spans="1:6" x14ac:dyDescent="0.25">
      <c r="A26" s="3" t="s">
        <v>55</v>
      </c>
      <c r="B26" s="1" t="s">
        <v>15</v>
      </c>
      <c r="C26" s="3" t="s">
        <v>14</v>
      </c>
      <c r="D26" s="21">
        <v>379</v>
      </c>
      <c r="E26" s="2" t="s">
        <v>85</v>
      </c>
      <c r="F26" s="21">
        <v>353</v>
      </c>
    </row>
    <row r="27" spans="1:6" ht="25.5" x14ac:dyDescent="0.25">
      <c r="A27" s="3" t="s">
        <v>56</v>
      </c>
      <c r="B27" s="1" t="s">
        <v>13</v>
      </c>
      <c r="C27" s="3" t="s">
        <v>12</v>
      </c>
      <c r="D27" s="21">
        <f>23341.2881874/1000</f>
        <v>23.3412881874</v>
      </c>
      <c r="E27" s="2" t="s">
        <v>85</v>
      </c>
      <c r="F27" s="21">
        <f>26332.975726718/1000</f>
        <v>26.332975726718001</v>
      </c>
    </row>
    <row r="28" spans="1:6" ht="63.75" x14ac:dyDescent="0.25">
      <c r="A28" s="3" t="s">
        <v>57</v>
      </c>
      <c r="B28" s="1" t="s">
        <v>58</v>
      </c>
      <c r="C28" s="3"/>
      <c r="D28" s="24" t="s">
        <v>114</v>
      </c>
      <c r="E28" s="2" t="s">
        <v>85</v>
      </c>
      <c r="F28" s="24" t="s">
        <v>116</v>
      </c>
    </row>
    <row r="29" spans="1:6" x14ac:dyDescent="0.25">
      <c r="A29" s="5" t="s">
        <v>10</v>
      </c>
      <c r="B29" s="6" t="s">
        <v>59</v>
      </c>
      <c r="C29" s="5" t="s">
        <v>5</v>
      </c>
      <c r="D29" s="40">
        <f>D30+D31+D32</f>
        <v>1482.092518317713</v>
      </c>
      <c r="E29" s="2" t="s">
        <v>85</v>
      </c>
      <c r="F29" s="40">
        <f t="shared" ref="F29" si="0">F30+F31+F32</f>
        <v>1784.962713807827</v>
      </c>
    </row>
    <row r="30" spans="1:6" x14ac:dyDescent="0.25">
      <c r="A30" s="9" t="s">
        <v>60</v>
      </c>
      <c r="B30" s="7" t="s">
        <v>61</v>
      </c>
      <c r="C30" s="3" t="s">
        <v>5</v>
      </c>
      <c r="D30" s="21">
        <f>D16</f>
        <v>340.88405649654203</v>
      </c>
      <c r="E30" s="2" t="s">
        <v>85</v>
      </c>
      <c r="F30" s="21">
        <f>F16</f>
        <v>333.81816956427201</v>
      </c>
    </row>
    <row r="31" spans="1:6" x14ac:dyDescent="0.25">
      <c r="A31" s="9" t="s">
        <v>64</v>
      </c>
      <c r="B31" s="1" t="s">
        <v>62</v>
      </c>
      <c r="C31" s="3" t="s">
        <v>5</v>
      </c>
      <c r="D31" s="21">
        <f t="shared" ref="D31:D32" si="1">D17</f>
        <v>269.70968112989203</v>
      </c>
      <c r="E31" s="2" t="s">
        <v>85</v>
      </c>
      <c r="F31" s="21">
        <f t="shared" ref="F31:F32" si="2">F17</f>
        <v>279.05124411404501</v>
      </c>
    </row>
    <row r="32" spans="1:6" ht="25.5" x14ac:dyDescent="0.25">
      <c r="A32" s="9" t="s">
        <v>65</v>
      </c>
      <c r="B32" s="1" t="s">
        <v>63</v>
      </c>
      <c r="C32" s="3" t="s">
        <v>5</v>
      </c>
      <c r="D32" s="21">
        <f t="shared" si="1"/>
        <v>871.49878069127897</v>
      </c>
      <c r="E32" s="2" t="s">
        <v>85</v>
      </c>
      <c r="F32" s="21">
        <f t="shared" si="2"/>
        <v>1172.09330012951</v>
      </c>
    </row>
    <row r="33" spans="1:6" ht="25.5" x14ac:dyDescent="0.25">
      <c r="A33" s="8" t="s">
        <v>8</v>
      </c>
      <c r="B33" s="6" t="s">
        <v>9</v>
      </c>
      <c r="C33" s="5" t="s">
        <v>5</v>
      </c>
      <c r="D33" s="2" t="s">
        <v>85</v>
      </c>
      <c r="E33" s="2" t="s">
        <v>85</v>
      </c>
      <c r="F33" s="2" t="s">
        <v>85</v>
      </c>
    </row>
    <row r="34" spans="1:6" x14ac:dyDescent="0.25">
      <c r="A34" s="9" t="s">
        <v>68</v>
      </c>
      <c r="B34" s="16" t="s">
        <v>66</v>
      </c>
      <c r="C34" s="3" t="s">
        <v>5</v>
      </c>
      <c r="D34" s="2" t="s">
        <v>85</v>
      </c>
      <c r="E34" s="2" t="s">
        <v>85</v>
      </c>
      <c r="F34" s="2" t="s">
        <v>85</v>
      </c>
    </row>
    <row r="35" spans="1:6" x14ac:dyDescent="0.25">
      <c r="A35" s="9" t="s">
        <v>69</v>
      </c>
      <c r="B35" s="16" t="s">
        <v>67</v>
      </c>
      <c r="C35" s="3" t="s">
        <v>5</v>
      </c>
      <c r="D35" s="2" t="s">
        <v>85</v>
      </c>
      <c r="E35" s="2" t="s">
        <v>85</v>
      </c>
      <c r="F35" s="2" t="s">
        <v>85</v>
      </c>
    </row>
    <row r="36" spans="1:6" ht="25.5" x14ac:dyDescent="0.25">
      <c r="A36" s="5" t="s">
        <v>7</v>
      </c>
      <c r="B36" s="6" t="s">
        <v>70</v>
      </c>
      <c r="C36" s="5" t="s">
        <v>5</v>
      </c>
      <c r="D36" s="2" t="s">
        <v>85</v>
      </c>
      <c r="E36" s="2" t="s">
        <v>85</v>
      </c>
      <c r="F36" s="2" t="s">
        <v>85</v>
      </c>
    </row>
    <row r="37" spans="1:6" x14ac:dyDescent="0.25">
      <c r="A37" s="3" t="s">
        <v>71</v>
      </c>
      <c r="B37" s="7" t="s">
        <v>61</v>
      </c>
      <c r="C37" s="3" t="s">
        <v>5</v>
      </c>
      <c r="D37" s="2" t="s">
        <v>85</v>
      </c>
      <c r="E37" s="2" t="s">
        <v>85</v>
      </c>
      <c r="F37" s="21" t="s">
        <v>85</v>
      </c>
    </row>
    <row r="38" spans="1:6" x14ac:dyDescent="0.25">
      <c r="A38" s="3" t="s">
        <v>72</v>
      </c>
      <c r="B38" s="1" t="s">
        <v>62</v>
      </c>
      <c r="C38" s="3" t="s">
        <v>5</v>
      </c>
      <c r="D38" s="2" t="s">
        <v>85</v>
      </c>
      <c r="E38" s="2" t="s">
        <v>85</v>
      </c>
      <c r="F38" s="21" t="s">
        <v>85</v>
      </c>
    </row>
    <row r="39" spans="1:6" ht="25.5" x14ac:dyDescent="0.25">
      <c r="A39" s="3" t="s">
        <v>73</v>
      </c>
      <c r="B39" s="1" t="s">
        <v>63</v>
      </c>
      <c r="C39" s="3" t="s">
        <v>5</v>
      </c>
      <c r="D39" s="2" t="s">
        <v>85</v>
      </c>
      <c r="E39" s="2" t="s">
        <v>85</v>
      </c>
      <c r="F39" s="21" t="s">
        <v>85</v>
      </c>
    </row>
    <row r="40" spans="1:6" ht="25.5" x14ac:dyDescent="0.25">
      <c r="A40" s="5" t="s">
        <v>4</v>
      </c>
      <c r="B40" s="6" t="s">
        <v>74</v>
      </c>
      <c r="C40" s="5" t="s">
        <v>5</v>
      </c>
      <c r="D40" s="2" t="s">
        <v>85</v>
      </c>
      <c r="E40" s="2" t="s">
        <v>85</v>
      </c>
      <c r="F40" s="2" t="s">
        <v>85</v>
      </c>
    </row>
    <row r="41" spans="1:6" x14ac:dyDescent="0.25">
      <c r="A41" s="3" t="s">
        <v>75</v>
      </c>
      <c r="B41" s="7" t="s">
        <v>61</v>
      </c>
      <c r="C41" s="3" t="s">
        <v>5</v>
      </c>
      <c r="D41" s="2" t="s">
        <v>85</v>
      </c>
      <c r="E41" s="2" t="s">
        <v>85</v>
      </c>
      <c r="F41" s="2" t="s">
        <v>85</v>
      </c>
    </row>
    <row r="42" spans="1:6" x14ac:dyDescent="0.25">
      <c r="A42" s="3" t="s">
        <v>76</v>
      </c>
      <c r="B42" s="1" t="s">
        <v>62</v>
      </c>
      <c r="C42" s="3" t="s">
        <v>5</v>
      </c>
      <c r="D42" s="2" t="s">
        <v>85</v>
      </c>
      <c r="E42" s="2" t="s">
        <v>85</v>
      </c>
      <c r="F42" s="2" t="s">
        <v>85</v>
      </c>
    </row>
    <row r="43" spans="1:6" ht="25.5" x14ac:dyDescent="0.25">
      <c r="A43" s="3" t="s">
        <v>77</v>
      </c>
      <c r="B43" s="1" t="s">
        <v>63</v>
      </c>
      <c r="C43" s="3" t="s">
        <v>5</v>
      </c>
      <c r="D43" s="2" t="s">
        <v>85</v>
      </c>
      <c r="E43" s="2" t="s">
        <v>85</v>
      </c>
      <c r="F43" s="2" t="s">
        <v>85</v>
      </c>
    </row>
    <row r="44" spans="1:6" x14ac:dyDescent="0.25">
      <c r="A44" s="5" t="s">
        <v>1</v>
      </c>
      <c r="B44" s="6" t="s">
        <v>6</v>
      </c>
      <c r="C44" s="5" t="s">
        <v>5</v>
      </c>
      <c r="D44" s="2" t="s">
        <v>85</v>
      </c>
      <c r="E44" s="2" t="s">
        <v>85</v>
      </c>
      <c r="F44" s="2" t="s">
        <v>85</v>
      </c>
    </row>
    <row r="45" spans="1:6" ht="38.25" x14ac:dyDescent="0.25">
      <c r="A45" s="17" t="s">
        <v>78</v>
      </c>
      <c r="B45" s="6" t="s">
        <v>3</v>
      </c>
      <c r="C45" s="18" t="s">
        <v>2</v>
      </c>
      <c r="D45" s="2" t="s">
        <v>85</v>
      </c>
      <c r="E45" s="2" t="s">
        <v>85</v>
      </c>
      <c r="F45" s="2" t="s">
        <v>85</v>
      </c>
    </row>
    <row r="46" spans="1:6" ht="118.5" customHeight="1" x14ac:dyDescent="0.25">
      <c r="A46" s="98" t="s">
        <v>79</v>
      </c>
      <c r="B46" s="100" t="s">
        <v>0</v>
      </c>
      <c r="C46" s="102"/>
      <c r="D46" s="104" t="s">
        <v>89</v>
      </c>
      <c r="E46" s="112"/>
      <c r="F46" s="71"/>
    </row>
    <row r="47" spans="1:6" ht="81" customHeight="1" x14ac:dyDescent="0.25">
      <c r="A47" s="99"/>
      <c r="B47" s="101"/>
      <c r="C47" s="103"/>
      <c r="D47" s="106" t="s">
        <v>87</v>
      </c>
      <c r="E47" s="113"/>
      <c r="F47" s="73"/>
    </row>
    <row r="48" spans="1:6" ht="15.75" customHeight="1" x14ac:dyDescent="0.25">
      <c r="A48" s="28"/>
      <c r="B48" s="43"/>
      <c r="C48" s="29"/>
      <c r="D48" s="30"/>
      <c r="E48" s="31"/>
      <c r="F48" s="31"/>
    </row>
    <row r="49" spans="1:6" x14ac:dyDescent="0.25">
      <c r="A49" s="19"/>
      <c r="B49" s="20" t="s">
        <v>80</v>
      </c>
    </row>
    <row r="50" spans="1:6" ht="30" customHeight="1" x14ac:dyDescent="0.25">
      <c r="A50" s="27" t="s">
        <v>90</v>
      </c>
      <c r="B50" s="111" t="s">
        <v>81</v>
      </c>
      <c r="C50" s="111"/>
      <c r="D50" s="111"/>
      <c r="E50" s="111"/>
      <c r="F50" s="111"/>
    </row>
    <row r="51" spans="1:6" ht="27" customHeight="1" x14ac:dyDescent="0.25">
      <c r="A51" s="27" t="s">
        <v>135</v>
      </c>
      <c r="B51" s="111" t="s">
        <v>146</v>
      </c>
      <c r="C51" s="111"/>
      <c r="D51" s="111"/>
      <c r="E51" s="111"/>
      <c r="F51" s="111"/>
    </row>
    <row r="52" spans="1:6" ht="15" customHeight="1" x14ac:dyDescent="0.25">
      <c r="A52" s="27" t="s">
        <v>143</v>
      </c>
      <c r="B52" s="111" t="s">
        <v>137</v>
      </c>
      <c r="C52" s="111"/>
      <c r="D52" s="111"/>
      <c r="E52" s="111"/>
      <c r="F52" s="111"/>
    </row>
    <row r="53" spans="1:6" ht="15" customHeight="1" x14ac:dyDescent="0.25">
      <c r="A53" s="27"/>
      <c r="B53" s="111" t="s">
        <v>138</v>
      </c>
      <c r="C53" s="111"/>
      <c r="D53" s="111"/>
      <c r="E53" s="111"/>
      <c r="F53" s="111"/>
    </row>
    <row r="54" spans="1:6" ht="13.5" customHeight="1" x14ac:dyDescent="0.25">
      <c r="A54" s="27"/>
      <c r="B54" s="111" t="s">
        <v>139</v>
      </c>
      <c r="C54" s="111"/>
      <c r="D54" s="111"/>
      <c r="E54" s="111"/>
      <c r="F54" s="111"/>
    </row>
    <row r="55" spans="1:6" ht="40.5" customHeight="1" x14ac:dyDescent="0.25">
      <c r="A55" s="27"/>
      <c r="B55" s="111" t="s">
        <v>140</v>
      </c>
      <c r="C55" s="111"/>
      <c r="D55" s="111"/>
      <c r="E55" s="111"/>
      <c r="F55" s="111"/>
    </row>
  </sheetData>
  <mergeCells count="16">
    <mergeCell ref="B55:F55"/>
    <mergeCell ref="B51:F51"/>
    <mergeCell ref="B52:F52"/>
    <mergeCell ref="B53:F53"/>
    <mergeCell ref="B54:F54"/>
    <mergeCell ref="D1:F1"/>
    <mergeCell ref="A4:F4"/>
    <mergeCell ref="A5:F5"/>
    <mergeCell ref="A6:F6"/>
    <mergeCell ref="B50:F50"/>
    <mergeCell ref="A46:A47"/>
    <mergeCell ref="B46:B47"/>
    <mergeCell ref="C46:C47"/>
    <mergeCell ref="D2:F2"/>
    <mergeCell ref="D46:E46"/>
    <mergeCell ref="D47:E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13" workbookViewId="0">
      <selection activeCell="F22" sqref="F22"/>
    </sheetView>
  </sheetViews>
  <sheetFormatPr defaultRowHeight="15" x14ac:dyDescent="0.25"/>
  <cols>
    <col min="1" max="1" width="5.85546875" customWidth="1"/>
    <col min="2" max="2" width="38.85546875" customWidth="1"/>
    <col min="4" max="4" width="13.42578125" customWidth="1"/>
    <col min="5" max="5" width="14" customWidth="1"/>
    <col min="6" max="6" width="15.42578125" customWidth="1"/>
    <col min="7" max="7" width="11.85546875" customWidth="1"/>
    <col min="8" max="8" width="12" customWidth="1"/>
  </cols>
  <sheetData>
    <row r="1" spans="1:6" x14ac:dyDescent="0.25">
      <c r="D1" s="108" t="s">
        <v>134</v>
      </c>
      <c r="E1" s="108"/>
      <c r="F1" s="108"/>
    </row>
    <row r="2" spans="1:6" ht="51" customHeight="1" x14ac:dyDescent="0.25">
      <c r="D2" s="109" t="s">
        <v>119</v>
      </c>
      <c r="E2" s="109"/>
      <c r="F2" s="109"/>
    </row>
    <row r="3" spans="1:6" ht="13.5" customHeight="1" x14ac:dyDescent="0.25">
      <c r="A3" s="15"/>
      <c r="B3" s="15"/>
      <c r="C3" s="15"/>
      <c r="D3" s="15"/>
      <c r="E3" s="14"/>
      <c r="F3" s="14"/>
    </row>
    <row r="4" spans="1:6" ht="16.5" customHeight="1" x14ac:dyDescent="0.25">
      <c r="A4" s="79" t="s">
        <v>120</v>
      </c>
      <c r="B4" s="79"/>
      <c r="C4" s="79"/>
      <c r="D4" s="79"/>
      <c r="E4" s="79"/>
      <c r="F4" s="79"/>
    </row>
    <row r="5" spans="1:6" ht="17.25" customHeight="1" x14ac:dyDescent="0.25">
      <c r="A5" s="79" t="s">
        <v>84</v>
      </c>
      <c r="B5" s="79"/>
      <c r="C5" s="79"/>
      <c r="D5" s="79"/>
      <c r="E5" s="79"/>
      <c r="F5" s="79"/>
    </row>
    <row r="6" spans="1:6" ht="17.25" customHeight="1" x14ac:dyDescent="0.25">
      <c r="A6" s="110" t="s">
        <v>93</v>
      </c>
      <c r="B6" s="110"/>
      <c r="C6" s="110"/>
      <c r="D6" s="110"/>
      <c r="E6" s="110"/>
      <c r="F6" s="110"/>
    </row>
    <row r="8" spans="1:6" ht="39" thickBot="1" x14ac:dyDescent="0.3">
      <c r="A8" s="13" t="s">
        <v>43</v>
      </c>
      <c r="B8" s="13" t="s">
        <v>42</v>
      </c>
      <c r="C8" s="13" t="s">
        <v>41</v>
      </c>
      <c r="D8" s="13" t="s">
        <v>145</v>
      </c>
      <c r="E8" s="13" t="s">
        <v>144</v>
      </c>
      <c r="F8" s="13" t="s">
        <v>44</v>
      </c>
    </row>
    <row r="9" spans="1:6" x14ac:dyDescent="0.25">
      <c r="A9" s="11" t="s">
        <v>40</v>
      </c>
      <c r="B9" s="12" t="s">
        <v>39</v>
      </c>
      <c r="C9" s="11" t="s">
        <v>36</v>
      </c>
      <c r="D9" s="22">
        <v>500</v>
      </c>
      <c r="E9" s="22">
        <v>500</v>
      </c>
      <c r="F9" s="22">
        <f>'[4]0.1'!$L$11</f>
        <v>500</v>
      </c>
    </row>
    <row r="10" spans="1:6" ht="63.75" x14ac:dyDescent="0.25">
      <c r="A10" s="3" t="s">
        <v>38</v>
      </c>
      <c r="B10" s="1" t="s">
        <v>37</v>
      </c>
      <c r="C10" s="3" t="s">
        <v>36</v>
      </c>
      <c r="D10" s="21">
        <v>353.6</v>
      </c>
      <c r="E10" s="21">
        <v>351.95608333333371</v>
      </c>
      <c r="F10" s="21">
        <f>'[4]0.1'!$L$12</f>
        <v>353.67458333333337</v>
      </c>
    </row>
    <row r="11" spans="1:6" x14ac:dyDescent="0.25">
      <c r="A11" s="3" t="s">
        <v>35</v>
      </c>
      <c r="B11" s="1" t="s">
        <v>34</v>
      </c>
      <c r="C11" s="3" t="s">
        <v>31</v>
      </c>
      <c r="D11" s="21">
        <v>2212.83</v>
      </c>
      <c r="E11" s="21">
        <v>2214.7739999999999</v>
      </c>
      <c r="F11" s="21">
        <f>'[4]0.1'!$L$13</f>
        <v>2157.6143999999999</v>
      </c>
    </row>
    <row r="12" spans="1:6" x14ac:dyDescent="0.25">
      <c r="A12" s="3" t="s">
        <v>33</v>
      </c>
      <c r="B12" s="1" t="s">
        <v>32</v>
      </c>
      <c r="C12" s="3" t="s">
        <v>31</v>
      </c>
      <c r="D12" s="21">
        <v>1979.429112</v>
      </c>
      <c r="E12" s="21">
        <v>1974.7711028099998</v>
      </c>
      <c r="F12" s="21">
        <v>1918.057462</v>
      </c>
    </row>
    <row r="13" spans="1:6" x14ac:dyDescent="0.25">
      <c r="A13" s="3" t="s">
        <v>30</v>
      </c>
      <c r="B13" s="1" t="s">
        <v>29</v>
      </c>
      <c r="C13" s="3" t="s">
        <v>26</v>
      </c>
      <c r="D13" s="21">
        <v>3104.52</v>
      </c>
      <c r="E13" s="21">
        <v>3148.85</v>
      </c>
      <c r="F13" s="21">
        <v>3096.54</v>
      </c>
    </row>
    <row r="14" spans="1:6" x14ac:dyDescent="0.25">
      <c r="A14" s="3" t="s">
        <v>28</v>
      </c>
      <c r="B14" s="1" t="s">
        <v>27</v>
      </c>
      <c r="C14" s="3" t="s">
        <v>26</v>
      </c>
      <c r="D14" s="21">
        <v>3096.7976699999999</v>
      </c>
      <c r="E14" s="21">
        <v>3139.4366666599999</v>
      </c>
      <c r="F14" s="21">
        <v>3088.06</v>
      </c>
    </row>
    <row r="15" spans="1:6" ht="21" customHeight="1" x14ac:dyDescent="0.25">
      <c r="A15" s="5" t="s">
        <v>25</v>
      </c>
      <c r="B15" s="6" t="s">
        <v>48</v>
      </c>
      <c r="C15" s="5" t="s">
        <v>5</v>
      </c>
      <c r="D15" s="40">
        <f>D16+D17+D18</f>
        <v>4467.1967356495652</v>
      </c>
      <c r="E15" s="40" t="s">
        <v>85</v>
      </c>
      <c r="F15" s="40">
        <f>F16+F17+F18</f>
        <v>5080.5177949811132</v>
      </c>
    </row>
    <row r="16" spans="1:6" x14ac:dyDescent="0.25">
      <c r="A16" s="3" t="s">
        <v>49</v>
      </c>
      <c r="B16" s="1" t="s">
        <v>50</v>
      </c>
      <c r="C16" s="3" t="s">
        <v>5</v>
      </c>
      <c r="D16" s="21">
        <f>2015347.23890656/1000</f>
        <v>2015.3472389065601</v>
      </c>
      <c r="E16" s="40" t="s">
        <v>85</v>
      </c>
      <c r="F16" s="21">
        <f>2145380.37341653/1000</f>
        <v>2145.3803734165299</v>
      </c>
    </row>
    <row r="17" spans="1:9" ht="16.5" customHeight="1" x14ac:dyDescent="0.25">
      <c r="A17" s="3" t="s">
        <v>51</v>
      </c>
      <c r="B17" s="1" t="s">
        <v>52</v>
      </c>
      <c r="C17" s="3" t="s">
        <v>5</v>
      </c>
      <c r="D17" s="21">
        <f>714412.804065675/1000</f>
        <v>714.412804065675</v>
      </c>
      <c r="E17" s="40" t="s">
        <v>85</v>
      </c>
      <c r="F17" s="21">
        <f>967823.281032513/1000</f>
        <v>967.82328103251302</v>
      </c>
      <c r="G17" s="49"/>
      <c r="H17" s="49"/>
      <c r="I17" s="49"/>
    </row>
    <row r="18" spans="1:9" ht="25.5" x14ac:dyDescent="0.25">
      <c r="A18" s="3" t="s">
        <v>53</v>
      </c>
      <c r="B18" s="1" t="s">
        <v>54</v>
      </c>
      <c r="C18" s="3" t="s">
        <v>5</v>
      </c>
      <c r="D18" s="21">
        <f>1737436.69267733/1000</f>
        <v>1737.43669267733</v>
      </c>
      <c r="E18" s="40" t="s">
        <v>85</v>
      </c>
      <c r="F18" s="21">
        <f>1967314.14053207/1000</f>
        <v>1967.31414053207</v>
      </c>
      <c r="G18" s="48"/>
      <c r="H18" s="48"/>
      <c r="I18" s="48"/>
    </row>
    <row r="19" spans="1:9" x14ac:dyDescent="0.25">
      <c r="A19" s="3" t="s">
        <v>24</v>
      </c>
      <c r="B19" s="1" t="s">
        <v>23</v>
      </c>
      <c r="C19" s="3" t="s">
        <v>5</v>
      </c>
      <c r="D19" s="21">
        <f>2013691.07561656/1000</f>
        <v>2013.6910756165601</v>
      </c>
      <c r="E19" s="40" t="s">
        <v>85</v>
      </c>
      <c r="F19" s="21">
        <f>2143331.95326106/1000</f>
        <v>2143.3319532610603</v>
      </c>
    </row>
    <row r="20" spans="1:9" ht="25.5" x14ac:dyDescent="0.25">
      <c r="A20" s="3"/>
      <c r="B20" s="1" t="s">
        <v>45</v>
      </c>
      <c r="C20" s="10" t="s">
        <v>22</v>
      </c>
      <c r="D20" s="23">
        <v>279.37900000000002</v>
      </c>
      <c r="E20" s="23">
        <v>280</v>
      </c>
      <c r="F20" s="23">
        <v>275.69770018434389</v>
      </c>
    </row>
    <row r="21" spans="1:9" x14ac:dyDescent="0.25">
      <c r="A21" s="3" t="s">
        <v>19</v>
      </c>
      <c r="B21" s="1" t="s">
        <v>21</v>
      </c>
      <c r="C21" s="3" t="s">
        <v>5</v>
      </c>
      <c r="D21" s="21">
        <f>1419196.29202866/1000</f>
        <v>1419.1962920286599</v>
      </c>
      <c r="E21" s="21" t="s">
        <v>85</v>
      </c>
      <c r="F21" s="21">
        <f>1582598.71487629/1000</f>
        <v>1582.5987148762899</v>
      </c>
    </row>
    <row r="22" spans="1:9" ht="25.5" x14ac:dyDescent="0.25">
      <c r="A22" s="3"/>
      <c r="B22" s="1" t="s">
        <v>46</v>
      </c>
      <c r="C22" s="10" t="s">
        <v>20</v>
      </c>
      <c r="D22" s="23">
        <v>125.56341239938698</v>
      </c>
      <c r="E22" s="23">
        <v>125</v>
      </c>
      <c r="F22" s="23">
        <v>126</v>
      </c>
    </row>
    <row r="23" spans="1:9" ht="51" x14ac:dyDescent="0.25">
      <c r="A23" s="3"/>
      <c r="B23" s="1" t="s">
        <v>47</v>
      </c>
      <c r="C23" s="10"/>
      <c r="D23" s="4" t="s">
        <v>85</v>
      </c>
      <c r="E23" s="24" t="s">
        <v>86</v>
      </c>
      <c r="F23" s="24" t="s">
        <v>147</v>
      </c>
    </row>
    <row r="24" spans="1:9" x14ac:dyDescent="0.25">
      <c r="A24" s="5" t="s">
        <v>17</v>
      </c>
      <c r="B24" s="6" t="s">
        <v>18</v>
      </c>
      <c r="C24" s="5" t="s">
        <v>5</v>
      </c>
      <c r="D24" s="40">
        <f>[2]амортизация!$C$17/1000</f>
        <v>108.206</v>
      </c>
      <c r="E24" s="2" t="s">
        <v>85</v>
      </c>
      <c r="F24" s="40">
        <f>123081/1000</f>
        <v>123.081</v>
      </c>
    </row>
    <row r="25" spans="1:9" ht="38.25" x14ac:dyDescent="0.25">
      <c r="A25" s="5" t="s">
        <v>11</v>
      </c>
      <c r="B25" s="6" t="s">
        <v>16</v>
      </c>
      <c r="C25" s="3"/>
      <c r="D25" s="2"/>
      <c r="E25" s="2" t="s">
        <v>85</v>
      </c>
      <c r="F25" s="2" t="s">
        <v>85</v>
      </c>
    </row>
    <row r="26" spans="1:9" x14ac:dyDescent="0.25">
      <c r="A26" s="3" t="s">
        <v>55</v>
      </c>
      <c r="B26" s="1" t="s">
        <v>15</v>
      </c>
      <c r="C26" s="3" t="s">
        <v>14</v>
      </c>
      <c r="D26" s="21">
        <v>337.8</v>
      </c>
      <c r="E26" s="2" t="s">
        <v>85</v>
      </c>
      <c r="F26" s="21">
        <v>342.2</v>
      </c>
    </row>
    <row r="27" spans="1:9" ht="25.5" x14ac:dyDescent="0.25">
      <c r="A27" s="3" t="s">
        <v>56</v>
      </c>
      <c r="B27" s="1" t="s">
        <v>13</v>
      </c>
      <c r="C27" s="3" t="s">
        <v>12</v>
      </c>
      <c r="D27" s="21">
        <v>37.548189999999998</v>
      </c>
      <c r="E27" s="2" t="s">
        <v>85</v>
      </c>
      <c r="F27" s="21">
        <v>42.360790000000001</v>
      </c>
    </row>
    <row r="28" spans="1:9" ht="63.75" x14ac:dyDescent="0.25">
      <c r="A28" s="3" t="s">
        <v>57</v>
      </c>
      <c r="B28" s="1" t="s">
        <v>58</v>
      </c>
      <c r="C28" s="3"/>
      <c r="D28" s="24" t="s">
        <v>114</v>
      </c>
      <c r="E28" s="2" t="s">
        <v>85</v>
      </c>
      <c r="F28" s="24" t="s">
        <v>116</v>
      </c>
    </row>
    <row r="29" spans="1:9" x14ac:dyDescent="0.25">
      <c r="A29" s="5" t="s">
        <v>10</v>
      </c>
      <c r="B29" s="6" t="s">
        <v>59</v>
      </c>
      <c r="C29" s="5" t="s">
        <v>5</v>
      </c>
      <c r="D29" s="40">
        <f>D30+D31+D32</f>
        <v>4467.1967356495652</v>
      </c>
      <c r="E29" s="2" t="s">
        <v>85</v>
      </c>
      <c r="F29" s="40">
        <f>F30+F31+F32</f>
        <v>5080.5177949811132</v>
      </c>
    </row>
    <row r="30" spans="1:9" x14ac:dyDescent="0.25">
      <c r="A30" s="9" t="s">
        <v>60</v>
      </c>
      <c r="B30" s="7" t="s">
        <v>61</v>
      </c>
      <c r="C30" s="3" t="s">
        <v>5</v>
      </c>
      <c r="D30" s="21">
        <f>D16</f>
        <v>2015.3472389065601</v>
      </c>
      <c r="E30" s="2" t="s">
        <v>85</v>
      </c>
      <c r="F30" s="21">
        <f>F16</f>
        <v>2145.3803734165299</v>
      </c>
    </row>
    <row r="31" spans="1:9" x14ac:dyDescent="0.25">
      <c r="A31" s="9" t="s">
        <v>64</v>
      </c>
      <c r="B31" s="1" t="s">
        <v>62</v>
      </c>
      <c r="C31" s="3" t="s">
        <v>5</v>
      </c>
      <c r="D31" s="21">
        <f t="shared" ref="D31:D32" si="0">D17</f>
        <v>714.412804065675</v>
      </c>
      <c r="E31" s="2" t="s">
        <v>85</v>
      </c>
      <c r="F31" s="21">
        <f t="shared" ref="F31:F32" si="1">F17</f>
        <v>967.82328103251302</v>
      </c>
    </row>
    <row r="32" spans="1:9" ht="25.5" x14ac:dyDescent="0.25">
      <c r="A32" s="9" t="s">
        <v>65</v>
      </c>
      <c r="B32" s="1" t="s">
        <v>63</v>
      </c>
      <c r="C32" s="3" t="s">
        <v>5</v>
      </c>
      <c r="D32" s="21">
        <f t="shared" si="0"/>
        <v>1737.43669267733</v>
      </c>
      <c r="E32" s="2" t="s">
        <v>85</v>
      </c>
      <c r="F32" s="21">
        <f t="shared" si="1"/>
        <v>1967.31414053207</v>
      </c>
      <c r="G32" s="48"/>
      <c r="H32" s="48"/>
      <c r="I32" s="48"/>
    </row>
    <row r="33" spans="1:9" ht="25.5" x14ac:dyDescent="0.25">
      <c r="A33" s="8" t="s">
        <v>8</v>
      </c>
      <c r="B33" s="6" t="s">
        <v>9</v>
      </c>
      <c r="C33" s="5" t="s">
        <v>5</v>
      </c>
      <c r="D33" s="2" t="s">
        <v>85</v>
      </c>
      <c r="E33" s="2" t="s">
        <v>85</v>
      </c>
      <c r="F33" s="2" t="s">
        <v>85</v>
      </c>
    </row>
    <row r="34" spans="1:9" x14ac:dyDescent="0.25">
      <c r="A34" s="9" t="s">
        <v>68</v>
      </c>
      <c r="B34" s="16" t="s">
        <v>66</v>
      </c>
      <c r="C34" s="3" t="s">
        <v>5</v>
      </c>
      <c r="D34" s="2" t="s">
        <v>85</v>
      </c>
      <c r="E34" s="2" t="s">
        <v>85</v>
      </c>
      <c r="F34" s="2" t="s">
        <v>85</v>
      </c>
    </row>
    <row r="35" spans="1:9" x14ac:dyDescent="0.25">
      <c r="A35" s="9" t="s">
        <v>69</v>
      </c>
      <c r="B35" s="16" t="s">
        <v>67</v>
      </c>
      <c r="C35" s="3" t="s">
        <v>5</v>
      </c>
      <c r="D35" s="2" t="s">
        <v>85</v>
      </c>
      <c r="E35" s="2" t="s">
        <v>85</v>
      </c>
      <c r="F35" s="2" t="s">
        <v>85</v>
      </c>
    </row>
    <row r="36" spans="1:9" ht="25.5" x14ac:dyDescent="0.25">
      <c r="A36" s="5" t="s">
        <v>7</v>
      </c>
      <c r="B36" s="6" t="s">
        <v>70</v>
      </c>
      <c r="C36" s="5" t="s">
        <v>5</v>
      </c>
      <c r="D36" s="2" t="s">
        <v>85</v>
      </c>
      <c r="E36" s="2" t="s">
        <v>85</v>
      </c>
      <c r="F36" s="2" t="s">
        <v>85</v>
      </c>
    </row>
    <row r="37" spans="1:9" x14ac:dyDescent="0.25">
      <c r="A37" s="3" t="s">
        <v>71</v>
      </c>
      <c r="B37" s="7" t="s">
        <v>61</v>
      </c>
      <c r="C37" s="3" t="s">
        <v>5</v>
      </c>
      <c r="D37" s="2" t="s">
        <v>85</v>
      </c>
      <c r="E37" s="2" t="s">
        <v>85</v>
      </c>
      <c r="F37" s="2" t="s">
        <v>85</v>
      </c>
    </row>
    <row r="38" spans="1:9" x14ac:dyDescent="0.25">
      <c r="A38" s="3" t="s">
        <v>72</v>
      </c>
      <c r="B38" s="1" t="s">
        <v>62</v>
      </c>
      <c r="C38" s="3" t="s">
        <v>5</v>
      </c>
      <c r="D38" s="2" t="s">
        <v>85</v>
      </c>
      <c r="E38" s="2" t="s">
        <v>85</v>
      </c>
      <c r="F38" s="2" t="s">
        <v>85</v>
      </c>
    </row>
    <row r="39" spans="1:9" ht="25.5" x14ac:dyDescent="0.25">
      <c r="A39" s="3" t="s">
        <v>73</v>
      </c>
      <c r="B39" s="1" t="s">
        <v>63</v>
      </c>
      <c r="C39" s="3" t="s">
        <v>5</v>
      </c>
      <c r="D39" s="2" t="s">
        <v>85</v>
      </c>
      <c r="E39" s="2" t="s">
        <v>85</v>
      </c>
      <c r="F39" s="2" t="s">
        <v>85</v>
      </c>
      <c r="G39" s="48"/>
      <c r="H39" s="48"/>
      <c r="I39" s="48"/>
    </row>
    <row r="40" spans="1:9" ht="25.5" x14ac:dyDescent="0.25">
      <c r="A40" s="5" t="s">
        <v>4</v>
      </c>
      <c r="B40" s="6" t="s">
        <v>74</v>
      </c>
      <c r="C40" s="5" t="s">
        <v>5</v>
      </c>
      <c r="D40" s="2" t="s">
        <v>85</v>
      </c>
      <c r="E40" s="2" t="s">
        <v>85</v>
      </c>
      <c r="F40" s="2" t="s">
        <v>85</v>
      </c>
    </row>
    <row r="41" spans="1:9" x14ac:dyDescent="0.25">
      <c r="A41" s="3" t="s">
        <v>75</v>
      </c>
      <c r="B41" s="7" t="s">
        <v>61</v>
      </c>
      <c r="C41" s="3" t="s">
        <v>5</v>
      </c>
      <c r="D41" s="2" t="s">
        <v>85</v>
      </c>
      <c r="E41" s="2" t="s">
        <v>85</v>
      </c>
      <c r="F41" s="2" t="s">
        <v>85</v>
      </c>
    </row>
    <row r="42" spans="1:9" x14ac:dyDescent="0.25">
      <c r="A42" s="3" t="s">
        <v>76</v>
      </c>
      <c r="B42" s="1" t="s">
        <v>62</v>
      </c>
      <c r="C42" s="3" t="s">
        <v>5</v>
      </c>
      <c r="D42" s="2" t="s">
        <v>85</v>
      </c>
      <c r="E42" s="2" t="s">
        <v>85</v>
      </c>
      <c r="F42" s="2" t="s">
        <v>85</v>
      </c>
    </row>
    <row r="43" spans="1:9" ht="25.5" x14ac:dyDescent="0.25">
      <c r="A43" s="3" t="s">
        <v>77</v>
      </c>
      <c r="B43" s="1" t="s">
        <v>63</v>
      </c>
      <c r="C43" s="3" t="s">
        <v>5</v>
      </c>
      <c r="D43" s="2" t="s">
        <v>85</v>
      </c>
      <c r="E43" s="2" t="s">
        <v>85</v>
      </c>
      <c r="F43" s="2" t="s">
        <v>85</v>
      </c>
      <c r="G43" s="48"/>
      <c r="H43" s="48"/>
      <c r="I43" s="48"/>
    </row>
    <row r="44" spans="1:9" x14ac:dyDescent="0.25">
      <c r="A44" s="5" t="s">
        <v>1</v>
      </c>
      <c r="B44" s="6" t="s">
        <v>6</v>
      </c>
      <c r="C44" s="5" t="s">
        <v>5</v>
      </c>
      <c r="D44" s="2" t="s">
        <v>85</v>
      </c>
      <c r="E44" s="2" t="s">
        <v>85</v>
      </c>
      <c r="F44" s="2" t="s">
        <v>85</v>
      </c>
      <c r="G44" s="41"/>
    </row>
    <row r="45" spans="1:9" ht="38.25" x14ac:dyDescent="0.25">
      <c r="A45" s="17" t="s">
        <v>78</v>
      </c>
      <c r="B45" s="6" t="s">
        <v>3</v>
      </c>
      <c r="C45" s="18" t="s">
        <v>2</v>
      </c>
      <c r="D45" s="2" t="s">
        <v>85</v>
      </c>
      <c r="E45" s="2" t="s">
        <v>85</v>
      </c>
      <c r="F45" s="2" t="s">
        <v>85</v>
      </c>
      <c r="I45" s="48"/>
    </row>
    <row r="46" spans="1:9" ht="79.5" customHeight="1" x14ac:dyDescent="0.25">
      <c r="A46" s="98" t="s">
        <v>79</v>
      </c>
      <c r="B46" s="100" t="s">
        <v>0</v>
      </c>
      <c r="C46" s="102"/>
      <c r="D46" s="104" t="s">
        <v>89</v>
      </c>
      <c r="E46" s="105"/>
      <c r="F46" s="112"/>
    </row>
    <row r="47" spans="1:9" ht="93.75" customHeight="1" x14ac:dyDescent="0.25">
      <c r="A47" s="114"/>
      <c r="B47" s="115"/>
      <c r="C47" s="116"/>
      <c r="D47" s="104" t="s">
        <v>92</v>
      </c>
      <c r="E47" s="105"/>
      <c r="F47" s="112"/>
    </row>
    <row r="48" spans="1:9" ht="51" customHeight="1" x14ac:dyDescent="0.25">
      <c r="A48" s="99"/>
      <c r="B48" s="101"/>
      <c r="C48" s="103"/>
      <c r="D48" s="106" t="s">
        <v>87</v>
      </c>
      <c r="E48" s="117"/>
      <c r="F48" s="118"/>
    </row>
    <row r="49" spans="1:6" x14ac:dyDescent="0.25">
      <c r="A49" s="19"/>
      <c r="B49" s="20" t="s">
        <v>80</v>
      </c>
    </row>
    <row r="50" spans="1:6" ht="30" customHeight="1" x14ac:dyDescent="0.25">
      <c r="A50" s="27" t="s">
        <v>90</v>
      </c>
      <c r="B50" s="111" t="s">
        <v>81</v>
      </c>
      <c r="C50" s="111"/>
      <c r="D50" s="111"/>
      <c r="E50" s="111"/>
      <c r="F50" s="111"/>
    </row>
    <row r="51" spans="1:6" ht="25.5" customHeight="1" x14ac:dyDescent="0.25">
      <c r="A51" s="27" t="s">
        <v>135</v>
      </c>
      <c r="B51" s="111" t="s">
        <v>146</v>
      </c>
      <c r="C51" s="111"/>
      <c r="D51" s="111"/>
      <c r="E51" s="111"/>
      <c r="F51" s="111"/>
    </row>
    <row r="52" spans="1:6" ht="15" customHeight="1" x14ac:dyDescent="0.25">
      <c r="A52" s="27" t="s">
        <v>143</v>
      </c>
      <c r="B52" s="111" t="s">
        <v>137</v>
      </c>
      <c r="C52" s="111"/>
      <c r="D52" s="111"/>
      <c r="E52" s="111"/>
      <c r="F52" s="111"/>
    </row>
    <row r="53" spans="1:6" ht="15" customHeight="1" x14ac:dyDescent="0.25">
      <c r="A53" s="27"/>
      <c r="B53" s="111" t="s">
        <v>138</v>
      </c>
      <c r="C53" s="111"/>
      <c r="D53" s="111"/>
      <c r="E53" s="111"/>
      <c r="F53" s="111"/>
    </row>
    <row r="54" spans="1:6" ht="12.75" customHeight="1" x14ac:dyDescent="0.25">
      <c r="A54" s="27"/>
      <c r="B54" s="111" t="s">
        <v>139</v>
      </c>
      <c r="C54" s="111"/>
      <c r="D54" s="111"/>
      <c r="E54" s="111"/>
      <c r="F54" s="111"/>
    </row>
    <row r="55" spans="1:6" ht="39.75" customHeight="1" x14ac:dyDescent="0.25">
      <c r="A55" s="27"/>
      <c r="B55" s="111" t="s">
        <v>140</v>
      </c>
      <c r="C55" s="111"/>
      <c r="D55" s="111"/>
      <c r="E55" s="111"/>
      <c r="F55" s="111"/>
    </row>
  </sheetData>
  <mergeCells count="17">
    <mergeCell ref="B55:F55"/>
    <mergeCell ref="B51:F51"/>
    <mergeCell ref="B52:F52"/>
    <mergeCell ref="B53:F53"/>
    <mergeCell ref="B54:F54"/>
    <mergeCell ref="D1:F1"/>
    <mergeCell ref="A4:F4"/>
    <mergeCell ref="A5:F5"/>
    <mergeCell ref="A6:F6"/>
    <mergeCell ref="B50:F50"/>
    <mergeCell ref="A46:A48"/>
    <mergeCell ref="B46:B48"/>
    <mergeCell ref="C46:C48"/>
    <mergeCell ref="D46:F46"/>
    <mergeCell ref="D48:F48"/>
    <mergeCell ref="D47:F47"/>
    <mergeCell ref="D2:F2"/>
  </mergeCells>
  <hyperlinks>
    <hyperlink ref="D48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6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topLeftCell="A13" workbookViewId="0">
      <selection activeCell="F28" sqref="F28"/>
    </sheetView>
  </sheetViews>
  <sheetFormatPr defaultRowHeight="15" x14ac:dyDescent="0.25"/>
  <cols>
    <col min="1" max="1" width="5.85546875" customWidth="1"/>
    <col min="2" max="2" width="38.85546875" customWidth="1"/>
    <col min="4" max="4" width="13.42578125" customWidth="1"/>
    <col min="5" max="5" width="14" customWidth="1"/>
    <col min="6" max="6" width="15.42578125" customWidth="1"/>
    <col min="7" max="7" width="11.85546875" customWidth="1"/>
    <col min="8" max="8" width="12" customWidth="1"/>
  </cols>
  <sheetData>
    <row r="1" spans="1:6" x14ac:dyDescent="0.25">
      <c r="D1" s="108" t="s">
        <v>134</v>
      </c>
      <c r="E1" s="108"/>
      <c r="F1" s="108"/>
    </row>
    <row r="2" spans="1:6" ht="51" customHeight="1" x14ac:dyDescent="0.25">
      <c r="D2" s="109" t="s">
        <v>119</v>
      </c>
      <c r="E2" s="109"/>
      <c r="F2" s="109"/>
    </row>
    <row r="3" spans="1:6" ht="13.5" customHeight="1" x14ac:dyDescent="0.25">
      <c r="A3" s="15"/>
      <c r="B3" s="15"/>
      <c r="C3" s="15"/>
      <c r="D3" s="15"/>
      <c r="E3" s="70"/>
      <c r="F3" s="70"/>
    </row>
    <row r="4" spans="1:6" ht="16.5" customHeight="1" x14ac:dyDescent="0.25">
      <c r="A4" s="79" t="s">
        <v>120</v>
      </c>
      <c r="B4" s="79"/>
      <c r="C4" s="79"/>
      <c r="D4" s="79"/>
      <c r="E4" s="79"/>
      <c r="F4" s="79"/>
    </row>
    <row r="5" spans="1:6" ht="17.25" customHeight="1" x14ac:dyDescent="0.25">
      <c r="A5" s="79" t="s">
        <v>141</v>
      </c>
      <c r="B5" s="79"/>
      <c r="C5" s="79"/>
      <c r="D5" s="79"/>
      <c r="E5" s="79"/>
      <c r="F5" s="79"/>
    </row>
    <row r="6" spans="1:6" ht="17.25" customHeight="1" x14ac:dyDescent="0.25">
      <c r="A6" s="110" t="s">
        <v>91</v>
      </c>
      <c r="B6" s="110"/>
      <c r="C6" s="110"/>
      <c r="D6" s="110"/>
      <c r="E6" s="110"/>
      <c r="F6" s="110"/>
    </row>
    <row r="8" spans="1:6" ht="39" thickBot="1" x14ac:dyDescent="0.3">
      <c r="A8" s="13" t="s">
        <v>43</v>
      </c>
      <c r="B8" s="13" t="s">
        <v>42</v>
      </c>
      <c r="C8" s="13" t="s">
        <v>41</v>
      </c>
      <c r="D8" s="13" t="s">
        <v>145</v>
      </c>
      <c r="E8" s="13" t="s">
        <v>144</v>
      </c>
      <c r="F8" s="13" t="s">
        <v>44</v>
      </c>
    </row>
    <row r="9" spans="1:6" x14ac:dyDescent="0.25">
      <c r="A9" s="11" t="s">
        <v>40</v>
      </c>
      <c r="B9" s="12" t="s">
        <v>39</v>
      </c>
      <c r="C9" s="11" t="s">
        <v>36</v>
      </c>
      <c r="D9" s="22">
        <v>750</v>
      </c>
      <c r="E9" s="22">
        <v>750</v>
      </c>
      <c r="F9" s="22">
        <v>750</v>
      </c>
    </row>
    <row r="10" spans="1:6" ht="63.75" x14ac:dyDescent="0.25">
      <c r="A10" s="3" t="s">
        <v>38</v>
      </c>
      <c r="B10" s="1" t="s">
        <v>37</v>
      </c>
      <c r="C10" s="3" t="s">
        <v>36</v>
      </c>
      <c r="D10" s="21">
        <v>682.55866666666668</v>
      </c>
      <c r="E10" s="21">
        <v>674.95391666666671</v>
      </c>
      <c r="F10" s="21">
        <v>680.56383333333338</v>
      </c>
    </row>
    <row r="11" spans="1:6" x14ac:dyDescent="0.25">
      <c r="A11" s="3" t="s">
        <v>35</v>
      </c>
      <c r="B11" s="1" t="s">
        <v>34</v>
      </c>
      <c r="C11" s="3" t="s">
        <v>31</v>
      </c>
      <c r="D11" s="21">
        <v>2444.7099600000001</v>
      </c>
      <c r="E11" s="21">
        <v>3483.6220000000003</v>
      </c>
      <c r="F11" s="21">
        <v>2524.4159999999997</v>
      </c>
    </row>
    <row r="12" spans="1:6" x14ac:dyDescent="0.25">
      <c r="A12" s="3" t="s">
        <v>33</v>
      </c>
      <c r="B12" s="1" t="s">
        <v>32</v>
      </c>
      <c r="C12" s="3" t="s">
        <v>31</v>
      </c>
      <c r="D12" s="21">
        <v>2234.5688409999998</v>
      </c>
      <c r="E12" s="21">
        <v>3229.8913499200003</v>
      </c>
      <c r="F12" s="21">
        <v>2270.1954549999996</v>
      </c>
    </row>
    <row r="13" spans="1:6" x14ac:dyDescent="0.25">
      <c r="A13" s="3" t="s">
        <v>30</v>
      </c>
      <c r="B13" s="1" t="s">
        <v>29</v>
      </c>
      <c r="C13" s="3" t="s">
        <v>26</v>
      </c>
      <c r="D13" s="21">
        <v>2952.5750000000003</v>
      </c>
      <c r="E13" s="21">
        <v>3797.5</v>
      </c>
      <c r="F13" s="21">
        <v>3326.3083330000004</v>
      </c>
    </row>
    <row r="14" spans="1:6" x14ac:dyDescent="0.25">
      <c r="A14" s="3" t="s">
        <v>28</v>
      </c>
      <c r="B14" s="1" t="s">
        <v>27</v>
      </c>
      <c r="C14" s="3" t="s">
        <v>26</v>
      </c>
      <c r="D14" s="21">
        <v>2940.9584900000004</v>
      </c>
      <c r="E14" s="21">
        <v>3797.5</v>
      </c>
      <c r="F14" s="21">
        <v>3315.0413330000006</v>
      </c>
    </row>
    <row r="15" spans="1:6" ht="21" customHeight="1" x14ac:dyDescent="0.25">
      <c r="A15" s="5" t="s">
        <v>25</v>
      </c>
      <c r="B15" s="6" t="s">
        <v>48</v>
      </c>
      <c r="C15" s="5" t="s">
        <v>5</v>
      </c>
      <c r="D15" s="40">
        <f>D16+D17+D18</f>
        <v>4938.9672630672048</v>
      </c>
      <c r="E15" s="40" t="s">
        <v>85</v>
      </c>
      <c r="F15" s="40">
        <f>F16+F17+F18</f>
        <v>6180.8175722690203</v>
      </c>
    </row>
    <row r="16" spans="1:6" x14ac:dyDescent="0.25">
      <c r="A16" s="3" t="s">
        <v>49</v>
      </c>
      <c r="B16" s="1" t="s">
        <v>50</v>
      </c>
      <c r="C16" s="3" t="s">
        <v>5</v>
      </c>
      <c r="D16" s="21">
        <f>2276256.02639881/1000</f>
        <v>2276.2560263988103</v>
      </c>
      <c r="E16" s="40" t="s">
        <v>85</v>
      </c>
      <c r="F16" s="21">
        <f>2826380.69213127/1000</f>
        <v>2826.3806921312703</v>
      </c>
    </row>
    <row r="17" spans="1:9" ht="16.5" customHeight="1" x14ac:dyDescent="0.25">
      <c r="A17" s="3" t="s">
        <v>51</v>
      </c>
      <c r="B17" s="1" t="s">
        <v>52</v>
      </c>
      <c r="C17" s="3" t="s">
        <v>5</v>
      </c>
      <c r="D17" s="21">
        <f>896497.713106145/1000</f>
        <v>896.49771310614506</v>
      </c>
      <c r="E17" s="40" t="s">
        <v>85</v>
      </c>
      <c r="F17" s="21">
        <f>1151404.81305491/1000</f>
        <v>1151.4048130549099</v>
      </c>
      <c r="G17" s="49"/>
      <c r="H17" s="49"/>
      <c r="I17" s="49"/>
    </row>
    <row r="18" spans="1:9" ht="25.5" x14ac:dyDescent="0.25">
      <c r="A18" s="3" t="s">
        <v>53</v>
      </c>
      <c r="B18" s="1" t="s">
        <v>54</v>
      </c>
      <c r="C18" s="3" t="s">
        <v>5</v>
      </c>
      <c r="D18" s="21">
        <f>1766213.52356225/1000</f>
        <v>1766.21352356225</v>
      </c>
      <c r="E18" s="40" t="s">
        <v>85</v>
      </c>
      <c r="F18" s="21">
        <f>2203032.06708284/1000</f>
        <v>2203.0320670828401</v>
      </c>
      <c r="G18" s="48"/>
      <c r="H18" s="48"/>
      <c r="I18" s="48"/>
    </row>
    <row r="19" spans="1:9" x14ac:dyDescent="0.25">
      <c r="A19" s="3" t="s">
        <v>24</v>
      </c>
      <c r="B19" s="1" t="s">
        <v>23</v>
      </c>
      <c r="C19" s="3" t="s">
        <v>5</v>
      </c>
      <c r="D19" s="21">
        <f>2274423.63436675/1000</f>
        <v>2274.4236343667499</v>
      </c>
      <c r="E19" s="40" t="s">
        <v>85</v>
      </c>
      <c r="F19" s="21">
        <f>2823956.20057197/1000</f>
        <v>2823.9562005719699</v>
      </c>
    </row>
    <row r="20" spans="1:9" ht="25.5" x14ac:dyDescent="0.25">
      <c r="A20" s="3"/>
      <c r="B20" s="1" t="s">
        <v>45</v>
      </c>
      <c r="C20" s="10" t="s">
        <v>22</v>
      </c>
      <c r="D20" s="23">
        <v>283.57047739774714</v>
      </c>
      <c r="E20" s="23">
        <v>284.7</v>
      </c>
      <c r="F20" s="23">
        <v>295.40425165525642</v>
      </c>
    </row>
    <row r="21" spans="1:9" x14ac:dyDescent="0.25">
      <c r="A21" s="3" t="s">
        <v>19</v>
      </c>
      <c r="B21" s="1" t="s">
        <v>21</v>
      </c>
      <c r="C21" s="3" t="s">
        <v>5</v>
      </c>
      <c r="D21" s="21">
        <f>1478801.0254748/1000</f>
        <v>1478.8010254748001</v>
      </c>
      <c r="E21" s="21" t="s">
        <v>85</v>
      </c>
      <c r="F21" s="21">
        <f>1882287.22051872/1000</f>
        <v>1882.28722051872</v>
      </c>
    </row>
    <row r="22" spans="1:9" ht="25.5" x14ac:dyDescent="0.25">
      <c r="A22" s="3"/>
      <c r="B22" s="1" t="s">
        <v>46</v>
      </c>
      <c r="C22" s="10" t="s">
        <v>20</v>
      </c>
      <c r="D22" s="23">
        <v>140.17527073825389</v>
      </c>
      <c r="E22" s="23">
        <v>139</v>
      </c>
      <c r="F22" s="23">
        <v>135</v>
      </c>
    </row>
    <row r="23" spans="1:9" ht="51" x14ac:dyDescent="0.25">
      <c r="A23" s="3"/>
      <c r="B23" s="1" t="s">
        <v>47</v>
      </c>
      <c r="C23" s="10"/>
      <c r="D23" s="4" t="s">
        <v>85</v>
      </c>
      <c r="E23" s="24" t="s">
        <v>86</v>
      </c>
      <c r="F23" s="24" t="s">
        <v>147</v>
      </c>
    </row>
    <row r="24" spans="1:9" x14ac:dyDescent="0.25">
      <c r="A24" s="5" t="s">
        <v>17</v>
      </c>
      <c r="B24" s="6" t="s">
        <v>18</v>
      </c>
      <c r="C24" s="5" t="s">
        <v>5</v>
      </c>
      <c r="D24" s="40">
        <f>136857/1000</f>
        <v>136.857</v>
      </c>
      <c r="E24" s="2" t="s">
        <v>85</v>
      </c>
      <c r="F24" s="40">
        <f>184442/1000</f>
        <v>184.44200000000001</v>
      </c>
    </row>
    <row r="25" spans="1:9" ht="38.25" x14ac:dyDescent="0.25">
      <c r="A25" s="5" t="s">
        <v>11</v>
      </c>
      <c r="B25" s="6" t="s">
        <v>16</v>
      </c>
      <c r="C25" s="3"/>
      <c r="D25" s="2"/>
      <c r="E25" s="2" t="s">
        <v>85</v>
      </c>
      <c r="F25" s="2" t="s">
        <v>85</v>
      </c>
    </row>
    <row r="26" spans="1:9" x14ac:dyDescent="0.25">
      <c r="A26" s="3" t="s">
        <v>55</v>
      </c>
      <c r="B26" s="1" t="s">
        <v>15</v>
      </c>
      <c r="C26" s="3" t="s">
        <v>14</v>
      </c>
      <c r="D26" s="21">
        <v>488</v>
      </c>
      <c r="E26" s="2" t="s">
        <v>85</v>
      </c>
      <c r="F26" s="21">
        <v>418</v>
      </c>
    </row>
    <row r="27" spans="1:9" ht="25.5" x14ac:dyDescent="0.25">
      <c r="A27" s="3" t="s">
        <v>56</v>
      </c>
      <c r="B27" s="1" t="s">
        <v>13</v>
      </c>
      <c r="C27" s="3" t="s">
        <v>12</v>
      </c>
      <c r="D27" s="21">
        <v>38.336320000000001</v>
      </c>
      <c r="E27" s="2" t="s">
        <v>85</v>
      </c>
      <c r="F27" s="21">
        <v>44.042299999999997</v>
      </c>
    </row>
    <row r="28" spans="1:9" ht="63.75" x14ac:dyDescent="0.25">
      <c r="A28" s="3" t="s">
        <v>57</v>
      </c>
      <c r="B28" s="1" t="s">
        <v>58</v>
      </c>
      <c r="C28" s="3"/>
      <c r="D28" s="24" t="s">
        <v>114</v>
      </c>
      <c r="E28" s="2" t="s">
        <v>85</v>
      </c>
      <c r="F28" s="24" t="s">
        <v>116</v>
      </c>
    </row>
    <row r="29" spans="1:9" x14ac:dyDescent="0.25">
      <c r="A29" s="5" t="s">
        <v>10</v>
      </c>
      <c r="B29" s="6" t="s">
        <v>59</v>
      </c>
      <c r="C29" s="5" t="s">
        <v>5</v>
      </c>
      <c r="D29" s="40">
        <f>D30+D31+D32</f>
        <v>4938.9672630672048</v>
      </c>
      <c r="E29" s="2" t="s">
        <v>85</v>
      </c>
      <c r="F29" s="40">
        <f>F30+F31+F32</f>
        <v>6180.8175722690203</v>
      </c>
    </row>
    <row r="30" spans="1:9" x14ac:dyDescent="0.25">
      <c r="A30" s="9" t="s">
        <v>60</v>
      </c>
      <c r="B30" s="7" t="s">
        <v>61</v>
      </c>
      <c r="C30" s="3" t="s">
        <v>5</v>
      </c>
      <c r="D30" s="21">
        <f>D16</f>
        <v>2276.2560263988103</v>
      </c>
      <c r="E30" s="2" t="s">
        <v>85</v>
      </c>
      <c r="F30" s="21">
        <f>F16</f>
        <v>2826.3806921312703</v>
      </c>
    </row>
    <row r="31" spans="1:9" x14ac:dyDescent="0.25">
      <c r="A31" s="9" t="s">
        <v>64</v>
      </c>
      <c r="B31" s="1" t="s">
        <v>62</v>
      </c>
      <c r="C31" s="3" t="s">
        <v>5</v>
      </c>
      <c r="D31" s="21">
        <f>D17</f>
        <v>896.49771310614506</v>
      </c>
      <c r="E31" s="2" t="s">
        <v>85</v>
      </c>
      <c r="F31" s="21">
        <f>F17</f>
        <v>1151.4048130549099</v>
      </c>
    </row>
    <row r="32" spans="1:9" ht="25.5" x14ac:dyDescent="0.25">
      <c r="A32" s="9" t="s">
        <v>65</v>
      </c>
      <c r="B32" s="1" t="s">
        <v>63</v>
      </c>
      <c r="C32" s="3" t="s">
        <v>5</v>
      </c>
      <c r="D32" s="21">
        <f>D18</f>
        <v>1766.21352356225</v>
      </c>
      <c r="E32" s="2" t="s">
        <v>85</v>
      </c>
      <c r="F32" s="21">
        <f>F18</f>
        <v>2203.0320670828401</v>
      </c>
      <c r="G32" s="48"/>
      <c r="H32" s="48"/>
      <c r="I32" s="48"/>
    </row>
    <row r="33" spans="1:9" ht="25.5" x14ac:dyDescent="0.25">
      <c r="A33" s="8" t="s">
        <v>8</v>
      </c>
      <c r="B33" s="6" t="s">
        <v>9</v>
      </c>
      <c r="C33" s="5" t="s">
        <v>5</v>
      </c>
      <c r="D33" s="2" t="s">
        <v>85</v>
      </c>
      <c r="E33" s="2" t="s">
        <v>85</v>
      </c>
      <c r="F33" s="2" t="s">
        <v>85</v>
      </c>
    </row>
    <row r="34" spans="1:9" x14ac:dyDescent="0.25">
      <c r="A34" s="9" t="s">
        <v>68</v>
      </c>
      <c r="B34" s="16" t="s">
        <v>66</v>
      </c>
      <c r="C34" s="3" t="s">
        <v>5</v>
      </c>
      <c r="D34" s="2" t="s">
        <v>85</v>
      </c>
      <c r="E34" s="2" t="s">
        <v>85</v>
      </c>
      <c r="F34" s="2" t="s">
        <v>85</v>
      </c>
    </row>
    <row r="35" spans="1:9" x14ac:dyDescent="0.25">
      <c r="A35" s="9" t="s">
        <v>69</v>
      </c>
      <c r="B35" s="16" t="s">
        <v>67</v>
      </c>
      <c r="C35" s="3" t="s">
        <v>5</v>
      </c>
      <c r="D35" s="2" t="s">
        <v>85</v>
      </c>
      <c r="E35" s="2" t="s">
        <v>85</v>
      </c>
      <c r="F35" s="2" t="s">
        <v>85</v>
      </c>
    </row>
    <row r="36" spans="1:9" ht="25.5" x14ac:dyDescent="0.25">
      <c r="A36" s="5" t="s">
        <v>7</v>
      </c>
      <c r="B36" s="6" t="s">
        <v>70</v>
      </c>
      <c r="C36" s="5" t="s">
        <v>5</v>
      </c>
      <c r="D36" s="2" t="s">
        <v>85</v>
      </c>
      <c r="E36" s="2" t="s">
        <v>85</v>
      </c>
      <c r="F36" s="2" t="s">
        <v>85</v>
      </c>
    </row>
    <row r="37" spans="1:9" x14ac:dyDescent="0.25">
      <c r="A37" s="3" t="s">
        <v>71</v>
      </c>
      <c r="B37" s="7" t="s">
        <v>61</v>
      </c>
      <c r="C37" s="3" t="s">
        <v>5</v>
      </c>
      <c r="D37" s="2" t="s">
        <v>85</v>
      </c>
      <c r="E37" s="2" t="s">
        <v>85</v>
      </c>
      <c r="F37" s="2" t="s">
        <v>85</v>
      </c>
    </row>
    <row r="38" spans="1:9" x14ac:dyDescent="0.25">
      <c r="A38" s="3" t="s">
        <v>72</v>
      </c>
      <c r="B38" s="1" t="s">
        <v>62</v>
      </c>
      <c r="C38" s="3" t="s">
        <v>5</v>
      </c>
      <c r="D38" s="2" t="s">
        <v>85</v>
      </c>
      <c r="E38" s="2" t="s">
        <v>85</v>
      </c>
      <c r="F38" s="2" t="s">
        <v>85</v>
      </c>
    </row>
    <row r="39" spans="1:9" ht="25.5" x14ac:dyDescent="0.25">
      <c r="A39" s="3" t="s">
        <v>73</v>
      </c>
      <c r="B39" s="1" t="s">
        <v>63</v>
      </c>
      <c r="C39" s="3" t="s">
        <v>5</v>
      </c>
      <c r="D39" s="2" t="s">
        <v>85</v>
      </c>
      <c r="E39" s="2" t="s">
        <v>85</v>
      </c>
      <c r="F39" s="2" t="s">
        <v>85</v>
      </c>
      <c r="G39" s="48"/>
      <c r="H39" s="48"/>
      <c r="I39" s="48"/>
    </row>
    <row r="40" spans="1:9" ht="25.5" x14ac:dyDescent="0.25">
      <c r="A40" s="5" t="s">
        <v>4</v>
      </c>
      <c r="B40" s="6" t="s">
        <v>74</v>
      </c>
      <c r="C40" s="5" t="s">
        <v>5</v>
      </c>
      <c r="D40" s="2" t="s">
        <v>85</v>
      </c>
      <c r="E40" s="2" t="s">
        <v>85</v>
      </c>
      <c r="F40" s="2" t="s">
        <v>85</v>
      </c>
    </row>
    <row r="41" spans="1:9" x14ac:dyDescent="0.25">
      <c r="A41" s="3" t="s">
        <v>75</v>
      </c>
      <c r="B41" s="7" t="s">
        <v>61</v>
      </c>
      <c r="C41" s="3" t="s">
        <v>5</v>
      </c>
      <c r="D41" s="2" t="s">
        <v>85</v>
      </c>
      <c r="E41" s="2" t="s">
        <v>85</v>
      </c>
      <c r="F41" s="2" t="s">
        <v>85</v>
      </c>
    </row>
    <row r="42" spans="1:9" x14ac:dyDescent="0.25">
      <c r="A42" s="3" t="s">
        <v>76</v>
      </c>
      <c r="B42" s="1" t="s">
        <v>62</v>
      </c>
      <c r="C42" s="3" t="s">
        <v>5</v>
      </c>
      <c r="D42" s="2" t="s">
        <v>85</v>
      </c>
      <c r="E42" s="2" t="s">
        <v>85</v>
      </c>
      <c r="F42" s="2" t="s">
        <v>85</v>
      </c>
    </row>
    <row r="43" spans="1:9" ht="25.5" x14ac:dyDescent="0.25">
      <c r="A43" s="3" t="s">
        <v>77</v>
      </c>
      <c r="B43" s="1" t="s">
        <v>63</v>
      </c>
      <c r="C43" s="3" t="s">
        <v>5</v>
      </c>
      <c r="D43" s="2" t="s">
        <v>85</v>
      </c>
      <c r="E43" s="2" t="s">
        <v>85</v>
      </c>
      <c r="F43" s="2" t="s">
        <v>85</v>
      </c>
      <c r="G43" s="48"/>
      <c r="H43" s="48"/>
      <c r="I43" s="48"/>
    </row>
    <row r="44" spans="1:9" x14ac:dyDescent="0.25">
      <c r="A44" s="5" t="s">
        <v>1</v>
      </c>
      <c r="B44" s="6" t="s">
        <v>6</v>
      </c>
      <c r="C44" s="5" t="s">
        <v>5</v>
      </c>
      <c r="D44" s="2" t="s">
        <v>85</v>
      </c>
      <c r="E44" s="2" t="s">
        <v>85</v>
      </c>
      <c r="F44" s="2" t="s">
        <v>85</v>
      </c>
      <c r="G44" s="41"/>
    </row>
    <row r="45" spans="1:9" ht="38.25" x14ac:dyDescent="0.25">
      <c r="A45" s="17" t="s">
        <v>78</v>
      </c>
      <c r="B45" s="6" t="s">
        <v>3</v>
      </c>
      <c r="C45" s="18" t="s">
        <v>2</v>
      </c>
      <c r="D45" s="2" t="s">
        <v>85</v>
      </c>
      <c r="E45" s="2" t="s">
        <v>85</v>
      </c>
      <c r="F45" s="2" t="s">
        <v>85</v>
      </c>
      <c r="I45" s="48"/>
    </row>
    <row r="46" spans="1:9" ht="123" customHeight="1" x14ac:dyDescent="0.25">
      <c r="A46" s="98" t="s">
        <v>79</v>
      </c>
      <c r="B46" s="100" t="s">
        <v>0</v>
      </c>
      <c r="C46" s="102"/>
      <c r="D46" s="104" t="s">
        <v>89</v>
      </c>
      <c r="E46" s="105"/>
      <c r="F46" s="72"/>
    </row>
    <row r="47" spans="1:9" ht="80.25" customHeight="1" x14ac:dyDescent="0.25">
      <c r="A47" s="99"/>
      <c r="B47" s="101"/>
      <c r="C47" s="103"/>
      <c r="D47" s="106" t="s">
        <v>87</v>
      </c>
      <c r="E47" s="107"/>
      <c r="F47" s="74"/>
    </row>
    <row r="48" spans="1:9" x14ac:dyDescent="0.25">
      <c r="A48" s="19"/>
      <c r="B48" s="20" t="s">
        <v>80</v>
      </c>
    </row>
    <row r="49" spans="1:6" ht="30" customHeight="1" x14ac:dyDescent="0.25">
      <c r="A49" s="27" t="s">
        <v>90</v>
      </c>
      <c r="B49" s="109" t="s">
        <v>81</v>
      </c>
      <c r="C49" s="109"/>
      <c r="D49" s="109"/>
      <c r="E49" s="109"/>
      <c r="F49" s="109"/>
    </row>
    <row r="50" spans="1:6" ht="27.75" customHeight="1" x14ac:dyDescent="0.25">
      <c r="A50" s="27" t="s">
        <v>135</v>
      </c>
      <c r="B50" s="111" t="s">
        <v>146</v>
      </c>
      <c r="C50" s="111"/>
      <c r="D50" s="111"/>
      <c r="E50" s="111"/>
      <c r="F50" s="111"/>
    </row>
    <row r="51" spans="1:6" ht="15" customHeight="1" x14ac:dyDescent="0.25">
      <c r="A51" s="27" t="s">
        <v>143</v>
      </c>
      <c r="B51" s="111" t="s">
        <v>137</v>
      </c>
      <c r="C51" s="111"/>
      <c r="D51" s="111"/>
      <c r="E51" s="111"/>
      <c r="F51" s="111"/>
    </row>
    <row r="52" spans="1:6" ht="15" customHeight="1" x14ac:dyDescent="0.25">
      <c r="A52" s="27"/>
      <c r="B52" s="111" t="s">
        <v>138</v>
      </c>
      <c r="C52" s="111"/>
      <c r="D52" s="111"/>
      <c r="E52" s="111"/>
      <c r="F52" s="111"/>
    </row>
    <row r="53" spans="1:6" ht="13.5" customHeight="1" x14ac:dyDescent="0.25">
      <c r="A53" s="27"/>
      <c r="B53" s="111" t="s">
        <v>139</v>
      </c>
      <c r="C53" s="111"/>
      <c r="D53" s="111"/>
      <c r="E53" s="111"/>
      <c r="F53" s="111"/>
    </row>
    <row r="54" spans="1:6" ht="38.25" customHeight="1" x14ac:dyDescent="0.25">
      <c r="A54" s="27"/>
      <c r="B54" s="111" t="s">
        <v>140</v>
      </c>
      <c r="C54" s="111"/>
      <c r="D54" s="111"/>
      <c r="E54" s="111"/>
      <c r="F54" s="111"/>
    </row>
  </sheetData>
  <mergeCells count="16">
    <mergeCell ref="B54:F54"/>
    <mergeCell ref="B52:F52"/>
    <mergeCell ref="B53:F53"/>
    <mergeCell ref="D1:F1"/>
    <mergeCell ref="D2:F2"/>
    <mergeCell ref="A4:F4"/>
    <mergeCell ref="A5:F5"/>
    <mergeCell ref="A6:F6"/>
    <mergeCell ref="A46:A47"/>
    <mergeCell ref="B46:B47"/>
    <mergeCell ref="C46:C47"/>
    <mergeCell ref="D46:E46"/>
    <mergeCell ref="D47:E47"/>
    <mergeCell ref="B49:F49"/>
    <mergeCell ref="B50:F50"/>
    <mergeCell ref="B51:F51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6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I45" sqref="I45"/>
    </sheetView>
  </sheetViews>
  <sheetFormatPr defaultRowHeight="15" x14ac:dyDescent="0.25"/>
  <cols>
    <col min="1" max="1" width="5.85546875" customWidth="1"/>
    <col min="2" max="2" width="38.85546875" customWidth="1"/>
    <col min="4" max="4" width="13.42578125" customWidth="1"/>
    <col min="5" max="5" width="14.140625" customWidth="1"/>
    <col min="6" max="6" width="15.42578125" customWidth="1"/>
    <col min="7" max="7" width="13.140625" customWidth="1"/>
    <col min="8" max="8" width="16.85546875" customWidth="1"/>
    <col min="9" max="9" width="17.140625" bestFit="1" customWidth="1"/>
  </cols>
  <sheetData>
    <row r="1" spans="1:8" x14ac:dyDescent="0.25">
      <c r="D1" s="108" t="s">
        <v>133</v>
      </c>
      <c r="E1" s="108"/>
      <c r="F1" s="108"/>
    </row>
    <row r="2" spans="1:8" ht="53.25" customHeight="1" x14ac:dyDescent="0.25">
      <c r="A2" s="15"/>
      <c r="B2" s="15"/>
      <c r="C2" s="15"/>
      <c r="D2" s="109" t="s">
        <v>136</v>
      </c>
      <c r="E2" s="109"/>
      <c r="F2" s="109"/>
    </row>
    <row r="3" spans="1:8" ht="14.25" customHeight="1" x14ac:dyDescent="0.25">
      <c r="A3" s="15"/>
      <c r="B3" s="15"/>
      <c r="C3" s="15"/>
      <c r="D3" s="47"/>
      <c r="E3" s="47"/>
      <c r="F3" s="47"/>
    </row>
    <row r="4" spans="1:8" ht="16.5" customHeight="1" x14ac:dyDescent="0.25">
      <c r="A4" s="79" t="s">
        <v>120</v>
      </c>
      <c r="B4" s="79"/>
      <c r="C4" s="79"/>
      <c r="D4" s="79"/>
      <c r="E4" s="79"/>
      <c r="F4" s="79"/>
    </row>
    <row r="5" spans="1:8" ht="17.25" customHeight="1" x14ac:dyDescent="0.25">
      <c r="A5" s="79" t="s">
        <v>121</v>
      </c>
      <c r="B5" s="79"/>
      <c r="C5" s="79"/>
      <c r="D5" s="79"/>
      <c r="E5" s="79"/>
      <c r="F5" s="79"/>
    </row>
    <row r="6" spans="1:8" ht="17.25" customHeight="1" x14ac:dyDescent="0.25">
      <c r="A6" s="79" t="s">
        <v>122</v>
      </c>
      <c r="B6" s="79"/>
      <c r="C6" s="79"/>
      <c r="D6" s="79"/>
      <c r="E6" s="79"/>
      <c r="F6" s="79"/>
    </row>
    <row r="8" spans="1:8" ht="39" thickBot="1" x14ac:dyDescent="0.3">
      <c r="A8" s="13" t="s">
        <v>43</v>
      </c>
      <c r="B8" s="13" t="s">
        <v>42</v>
      </c>
      <c r="C8" s="13" t="s">
        <v>41</v>
      </c>
      <c r="D8" s="13" t="s">
        <v>145</v>
      </c>
      <c r="E8" s="13" t="s">
        <v>144</v>
      </c>
      <c r="F8" s="13" t="s">
        <v>44</v>
      </c>
    </row>
    <row r="9" spans="1:8" x14ac:dyDescent="0.25">
      <c r="A9" s="50" t="s">
        <v>40</v>
      </c>
      <c r="B9" s="51" t="s">
        <v>39</v>
      </c>
      <c r="C9" s="50" t="s">
        <v>36</v>
      </c>
      <c r="D9" s="44">
        <v>280</v>
      </c>
      <c r="E9" s="44">
        <v>280</v>
      </c>
      <c r="F9" s="44">
        <v>280</v>
      </c>
    </row>
    <row r="10" spans="1:8" ht="63.75" x14ac:dyDescent="0.25">
      <c r="A10" s="9" t="s">
        <v>38</v>
      </c>
      <c r="B10" s="7" t="s">
        <v>37</v>
      </c>
      <c r="C10" s="9" t="s">
        <v>36</v>
      </c>
      <c r="D10" s="45">
        <v>170.53</v>
      </c>
      <c r="E10" s="45">
        <v>170.9225000000003</v>
      </c>
      <c r="F10" s="45">
        <v>170.35591780821917</v>
      </c>
    </row>
    <row r="11" spans="1:8" x14ac:dyDescent="0.25">
      <c r="A11" s="9" t="s">
        <v>35</v>
      </c>
      <c r="B11" s="7" t="s">
        <v>34</v>
      </c>
      <c r="C11" s="9" t="s">
        <v>31</v>
      </c>
      <c r="D11" s="45">
        <v>1198.9494050000001</v>
      </c>
      <c r="E11" s="45">
        <v>1144</v>
      </c>
      <c r="F11" s="45">
        <v>1223.663</v>
      </c>
    </row>
    <row r="12" spans="1:8" x14ac:dyDescent="0.25">
      <c r="A12" s="9" t="s">
        <v>33</v>
      </c>
      <c r="B12" s="7" t="s">
        <v>32</v>
      </c>
      <c r="C12" s="9" t="s">
        <v>31</v>
      </c>
      <c r="D12" s="45">
        <v>1047.7620310000002</v>
      </c>
      <c r="E12" s="45">
        <v>1000.122</v>
      </c>
      <c r="F12" s="45">
        <v>1075.7417</v>
      </c>
    </row>
    <row r="13" spans="1:8" x14ac:dyDescent="0.25">
      <c r="A13" s="9" t="s">
        <v>30</v>
      </c>
      <c r="B13" s="7" t="s">
        <v>29</v>
      </c>
      <c r="C13" s="9" t="s">
        <v>26</v>
      </c>
      <c r="D13" s="45">
        <v>1664.2820000000002</v>
      </c>
      <c r="E13" s="45">
        <v>1747.1</v>
      </c>
      <c r="F13" s="45">
        <v>1698.0380000000002</v>
      </c>
    </row>
    <row r="14" spans="1:8" x14ac:dyDescent="0.25">
      <c r="A14" s="9" t="s">
        <v>28</v>
      </c>
      <c r="B14" s="7" t="s">
        <v>27</v>
      </c>
      <c r="C14" s="9" t="s">
        <v>26</v>
      </c>
      <c r="D14" s="45">
        <v>1661.3370000000002</v>
      </c>
      <c r="E14" s="45">
        <v>1744.0129999999999</v>
      </c>
      <c r="F14" s="45">
        <v>1694.9030000000002</v>
      </c>
    </row>
    <row r="15" spans="1:8" ht="21" customHeight="1" x14ac:dyDescent="0.25">
      <c r="A15" s="8" t="s">
        <v>25</v>
      </c>
      <c r="B15" s="52" t="s">
        <v>48</v>
      </c>
      <c r="C15" s="8" t="s">
        <v>5</v>
      </c>
      <c r="D15" s="46">
        <f>D16+D17+D18</f>
        <v>2491.6534570127251</v>
      </c>
      <c r="E15" s="46" t="s">
        <v>85</v>
      </c>
      <c r="F15" s="46">
        <f>F16+F17+F18</f>
        <v>2723.24741418331</v>
      </c>
      <c r="G15" s="48"/>
      <c r="H15" s="53"/>
    </row>
    <row r="16" spans="1:8" x14ac:dyDescent="0.25">
      <c r="A16" s="8" t="s">
        <v>49</v>
      </c>
      <c r="B16" s="52" t="s">
        <v>50</v>
      </c>
      <c r="C16" s="9" t="s">
        <v>5</v>
      </c>
      <c r="D16" s="45">
        <f>1035993.35841055/1000</f>
        <v>1035.9933584105499</v>
      </c>
      <c r="E16" s="45" t="s">
        <v>85</v>
      </c>
      <c r="F16" s="45">
        <f>1174091.22561422/1000</f>
        <v>1174.0912256142199</v>
      </c>
      <c r="G16" s="53"/>
    </row>
    <row r="17" spans="1:9" ht="16.5" customHeight="1" x14ac:dyDescent="0.25">
      <c r="A17" s="8" t="s">
        <v>51</v>
      </c>
      <c r="B17" s="52" t="s">
        <v>52</v>
      </c>
      <c r="C17" s="9" t="s">
        <v>5</v>
      </c>
      <c r="D17" s="45">
        <f>490209.308602175/1000</f>
        <v>490.20930860217499</v>
      </c>
      <c r="E17" s="45" t="s">
        <v>85</v>
      </c>
      <c r="F17" s="45">
        <f>514666.4513409/1000</f>
        <v>514.66645134089993</v>
      </c>
      <c r="G17" s="53"/>
    </row>
    <row r="18" spans="1:9" ht="27.75" customHeight="1" x14ac:dyDescent="0.25">
      <c r="A18" s="8" t="s">
        <v>53</v>
      </c>
      <c r="B18" s="52" t="s">
        <v>54</v>
      </c>
      <c r="C18" s="9" t="s">
        <v>5</v>
      </c>
      <c r="D18" s="45">
        <v>965.45078999999998</v>
      </c>
      <c r="E18" s="45" t="s">
        <v>85</v>
      </c>
      <c r="F18" s="45">
        <f>1034489.73722819/1000</f>
        <v>1034.4897372281901</v>
      </c>
    </row>
    <row r="19" spans="1:9" x14ac:dyDescent="0.25">
      <c r="A19" s="9" t="s">
        <v>24</v>
      </c>
      <c r="B19" s="7" t="s">
        <v>23</v>
      </c>
      <c r="C19" s="9" t="s">
        <v>5</v>
      </c>
      <c r="D19" s="45">
        <f>1035119.95209055/1000</f>
        <v>1035.11995209055</v>
      </c>
      <c r="E19" s="45" t="s">
        <v>85</v>
      </c>
      <c r="F19" s="45">
        <f>1172942.37005384/1000</f>
        <v>1172.94237005384</v>
      </c>
    </row>
    <row r="20" spans="1:9" ht="25.5" x14ac:dyDescent="0.25">
      <c r="A20" s="9"/>
      <c r="B20" s="7" t="s">
        <v>45</v>
      </c>
      <c r="C20" s="54" t="s">
        <v>22</v>
      </c>
      <c r="D20" s="76">
        <v>282.59177150334125</v>
      </c>
      <c r="E20" s="76">
        <v>279.90010879240435</v>
      </c>
      <c r="F20" s="76">
        <v>283</v>
      </c>
    </row>
    <row r="21" spans="1:9" x14ac:dyDescent="0.25">
      <c r="A21" s="9" t="s">
        <v>19</v>
      </c>
      <c r="B21" s="7" t="s">
        <v>21</v>
      </c>
      <c r="C21" s="9" t="s">
        <v>5</v>
      </c>
      <c r="D21" s="45">
        <f>743779.17405945/1000</f>
        <v>743.77917405945004</v>
      </c>
      <c r="E21" s="45" t="s">
        <v>85</v>
      </c>
      <c r="F21" s="45">
        <f>844159.9600514/1000</f>
        <v>844.15996005140005</v>
      </c>
    </row>
    <row r="22" spans="1:9" ht="25.5" x14ac:dyDescent="0.25">
      <c r="A22" s="9"/>
      <c r="B22" s="7" t="s">
        <v>46</v>
      </c>
      <c r="C22" s="54" t="s">
        <v>20</v>
      </c>
      <c r="D22" s="76">
        <v>130.43162156413393</v>
      </c>
      <c r="E22" s="76">
        <v>130.1997596016256</v>
      </c>
      <c r="F22" s="76">
        <v>131.19999999999999</v>
      </c>
    </row>
    <row r="23" spans="1:9" ht="67.5" customHeight="1" x14ac:dyDescent="0.25">
      <c r="A23" s="9"/>
      <c r="B23" s="7" t="s">
        <v>47</v>
      </c>
      <c r="C23" s="54"/>
      <c r="D23" s="46" t="s">
        <v>85</v>
      </c>
      <c r="E23" s="55" t="s">
        <v>123</v>
      </c>
      <c r="F23" s="24" t="s">
        <v>147</v>
      </c>
    </row>
    <row r="24" spans="1:9" x14ac:dyDescent="0.25">
      <c r="A24" s="8" t="s">
        <v>17</v>
      </c>
      <c r="B24" s="52" t="s">
        <v>18</v>
      </c>
      <c r="C24" s="8" t="s">
        <v>5</v>
      </c>
      <c r="D24" s="46">
        <v>116.98030165</v>
      </c>
      <c r="E24" s="45" t="s">
        <v>85</v>
      </c>
      <c r="F24" s="46">
        <f>138167.934782199/1000</f>
        <v>138.16793478219901</v>
      </c>
    </row>
    <row r="25" spans="1:9" ht="38.25" x14ac:dyDescent="0.25">
      <c r="A25" s="8" t="s">
        <v>11</v>
      </c>
      <c r="B25" s="52" t="s">
        <v>16</v>
      </c>
      <c r="C25" s="9"/>
      <c r="D25" s="45"/>
      <c r="E25" s="45" t="s">
        <v>85</v>
      </c>
      <c r="F25" s="45" t="s">
        <v>85</v>
      </c>
    </row>
    <row r="26" spans="1:9" ht="24.75" customHeight="1" x14ac:dyDescent="0.25">
      <c r="A26" s="9" t="s">
        <v>55</v>
      </c>
      <c r="B26" s="7" t="s">
        <v>15</v>
      </c>
      <c r="C26" s="9" t="s">
        <v>14</v>
      </c>
      <c r="D26" s="45">
        <v>373</v>
      </c>
      <c r="E26" s="45" t="s">
        <v>85</v>
      </c>
      <c r="F26" s="45">
        <v>373</v>
      </c>
    </row>
    <row r="27" spans="1:9" ht="25.5" x14ac:dyDescent="0.25">
      <c r="A27" s="9" t="s">
        <v>56</v>
      </c>
      <c r="B27" s="7" t="s">
        <v>13</v>
      </c>
      <c r="C27" s="9" t="s">
        <v>12</v>
      </c>
      <c r="D27" s="45">
        <v>33.99259</v>
      </c>
      <c r="E27" s="45" t="s">
        <v>85</v>
      </c>
      <c r="F27" s="45">
        <v>38.349469999999997</v>
      </c>
    </row>
    <row r="28" spans="1:9" ht="63.75" x14ac:dyDescent="0.25">
      <c r="A28" s="9" t="s">
        <v>57</v>
      </c>
      <c r="B28" s="7" t="s">
        <v>58</v>
      </c>
      <c r="C28" s="9"/>
      <c r="D28" s="56" t="s">
        <v>114</v>
      </c>
      <c r="E28" s="45" t="s">
        <v>85</v>
      </c>
      <c r="F28" s="24" t="s">
        <v>116</v>
      </c>
    </row>
    <row r="29" spans="1:9" x14ac:dyDescent="0.25">
      <c r="A29" s="8" t="s">
        <v>10</v>
      </c>
      <c r="B29" s="52" t="s">
        <v>59</v>
      </c>
      <c r="C29" s="8" t="s">
        <v>5</v>
      </c>
      <c r="D29" s="46">
        <f>D30+D31+D32</f>
        <v>2491.6534570127251</v>
      </c>
      <c r="E29" s="45" t="s">
        <v>85</v>
      </c>
      <c r="F29" s="46">
        <f>F30+F31+F32</f>
        <v>2723.24741418331</v>
      </c>
      <c r="H29" s="53"/>
    </row>
    <row r="30" spans="1:9" x14ac:dyDescent="0.25">
      <c r="A30" s="9" t="s">
        <v>60</v>
      </c>
      <c r="B30" s="7" t="s">
        <v>61</v>
      </c>
      <c r="C30" s="9" t="s">
        <v>5</v>
      </c>
      <c r="D30" s="45">
        <f>D16</f>
        <v>1035.9933584105499</v>
      </c>
      <c r="E30" s="45" t="s">
        <v>85</v>
      </c>
      <c r="F30" s="45">
        <f>F16</f>
        <v>1174.0912256142199</v>
      </c>
      <c r="G30" s="25"/>
      <c r="H30" s="53"/>
      <c r="I30" s="53"/>
    </row>
    <row r="31" spans="1:9" x14ac:dyDescent="0.25">
      <c r="A31" s="9" t="s">
        <v>64</v>
      </c>
      <c r="B31" s="7" t="s">
        <v>62</v>
      </c>
      <c r="C31" s="9" t="s">
        <v>5</v>
      </c>
      <c r="D31" s="45">
        <f t="shared" ref="D31:D32" si="0">D17</f>
        <v>490.20930860217499</v>
      </c>
      <c r="E31" s="45" t="s">
        <v>85</v>
      </c>
      <c r="F31" s="45">
        <f t="shared" ref="F31:F32" si="1">F17</f>
        <v>514.66645134089993</v>
      </c>
      <c r="G31" s="48"/>
    </row>
    <row r="32" spans="1:9" ht="25.5" x14ac:dyDescent="0.25">
      <c r="A32" s="9" t="s">
        <v>65</v>
      </c>
      <c r="B32" s="7" t="s">
        <v>63</v>
      </c>
      <c r="C32" s="9" t="s">
        <v>5</v>
      </c>
      <c r="D32" s="45">
        <f t="shared" si="0"/>
        <v>965.45078999999998</v>
      </c>
      <c r="E32" s="45" t="s">
        <v>85</v>
      </c>
      <c r="F32" s="45">
        <f t="shared" si="1"/>
        <v>1034.4897372281901</v>
      </c>
      <c r="G32" s="48"/>
      <c r="H32" s="48"/>
    </row>
    <row r="33" spans="1:8" ht="25.5" x14ac:dyDescent="0.25">
      <c r="A33" s="8" t="s">
        <v>8</v>
      </c>
      <c r="B33" s="52" t="s">
        <v>9</v>
      </c>
      <c r="C33" s="8" t="s">
        <v>5</v>
      </c>
      <c r="D33" s="45" t="s">
        <v>85</v>
      </c>
      <c r="E33" s="45" t="s">
        <v>85</v>
      </c>
      <c r="F33" s="45" t="s">
        <v>85</v>
      </c>
      <c r="G33" s="48"/>
    </row>
    <row r="34" spans="1:8" ht="13.5" customHeight="1" x14ac:dyDescent="0.25">
      <c r="A34" s="9" t="s">
        <v>68</v>
      </c>
      <c r="B34" s="57" t="s">
        <v>66</v>
      </c>
      <c r="C34" s="9" t="s">
        <v>5</v>
      </c>
      <c r="D34" s="45" t="s">
        <v>85</v>
      </c>
      <c r="E34" s="45" t="s">
        <v>85</v>
      </c>
      <c r="F34" s="45" t="s">
        <v>85</v>
      </c>
    </row>
    <row r="35" spans="1:8" ht="15.75" customHeight="1" x14ac:dyDescent="0.25">
      <c r="A35" s="9" t="s">
        <v>69</v>
      </c>
      <c r="B35" s="57" t="s">
        <v>67</v>
      </c>
      <c r="C35" s="9" t="s">
        <v>5</v>
      </c>
      <c r="D35" s="45" t="s">
        <v>85</v>
      </c>
      <c r="E35" s="45" t="s">
        <v>85</v>
      </c>
      <c r="F35" s="45" t="s">
        <v>85</v>
      </c>
    </row>
    <row r="36" spans="1:8" ht="25.5" x14ac:dyDescent="0.25">
      <c r="A36" s="8" t="s">
        <v>7</v>
      </c>
      <c r="B36" s="52" t="s">
        <v>70</v>
      </c>
      <c r="C36" s="8" t="s">
        <v>5</v>
      </c>
      <c r="D36" s="45" t="s">
        <v>85</v>
      </c>
      <c r="E36" s="45" t="s">
        <v>85</v>
      </c>
      <c r="F36" s="45" t="s">
        <v>85</v>
      </c>
    </row>
    <row r="37" spans="1:8" x14ac:dyDescent="0.25">
      <c r="A37" s="9" t="s">
        <v>71</v>
      </c>
      <c r="B37" s="7" t="s">
        <v>61</v>
      </c>
      <c r="C37" s="9" t="s">
        <v>5</v>
      </c>
      <c r="D37" s="45" t="s">
        <v>85</v>
      </c>
      <c r="E37" s="45" t="s">
        <v>85</v>
      </c>
      <c r="F37" s="45" t="s">
        <v>85</v>
      </c>
    </row>
    <row r="38" spans="1:8" x14ac:dyDescent="0.25">
      <c r="A38" s="9" t="s">
        <v>72</v>
      </c>
      <c r="B38" s="7" t="s">
        <v>62</v>
      </c>
      <c r="C38" s="9" t="s">
        <v>5</v>
      </c>
      <c r="D38" s="45" t="s">
        <v>85</v>
      </c>
      <c r="E38" s="45" t="s">
        <v>85</v>
      </c>
      <c r="F38" s="45" t="s">
        <v>85</v>
      </c>
    </row>
    <row r="39" spans="1:8" ht="25.5" x14ac:dyDescent="0.25">
      <c r="A39" s="9" t="s">
        <v>73</v>
      </c>
      <c r="B39" s="7" t="s">
        <v>63</v>
      </c>
      <c r="C39" s="9" t="s">
        <v>5</v>
      </c>
      <c r="D39" s="45" t="s">
        <v>85</v>
      </c>
      <c r="E39" s="45" t="s">
        <v>85</v>
      </c>
      <c r="F39" s="45" t="s">
        <v>85</v>
      </c>
    </row>
    <row r="40" spans="1:8" ht="25.5" x14ac:dyDescent="0.25">
      <c r="A40" s="8" t="s">
        <v>4</v>
      </c>
      <c r="B40" s="52" t="s">
        <v>74</v>
      </c>
      <c r="C40" s="8" t="s">
        <v>5</v>
      </c>
      <c r="D40" s="45" t="s">
        <v>85</v>
      </c>
      <c r="E40" s="45" t="s">
        <v>85</v>
      </c>
      <c r="F40" s="45" t="s">
        <v>85</v>
      </c>
    </row>
    <row r="41" spans="1:8" x14ac:dyDescent="0.25">
      <c r="A41" s="9" t="s">
        <v>75</v>
      </c>
      <c r="B41" s="7" t="s">
        <v>61</v>
      </c>
      <c r="C41" s="9" t="s">
        <v>5</v>
      </c>
      <c r="D41" s="45" t="s">
        <v>85</v>
      </c>
      <c r="E41" s="45" t="s">
        <v>85</v>
      </c>
      <c r="F41" s="45" t="s">
        <v>85</v>
      </c>
    </row>
    <row r="42" spans="1:8" x14ac:dyDescent="0.25">
      <c r="A42" s="9" t="s">
        <v>76</v>
      </c>
      <c r="B42" s="7" t="s">
        <v>62</v>
      </c>
      <c r="C42" s="9" t="s">
        <v>5</v>
      </c>
      <c r="D42" s="45" t="s">
        <v>85</v>
      </c>
      <c r="E42" s="45" t="s">
        <v>85</v>
      </c>
      <c r="F42" s="45" t="s">
        <v>85</v>
      </c>
    </row>
    <row r="43" spans="1:8" ht="25.5" x14ac:dyDescent="0.25">
      <c r="A43" s="9" t="s">
        <v>77</v>
      </c>
      <c r="B43" s="7" t="s">
        <v>63</v>
      </c>
      <c r="C43" s="9" t="s">
        <v>5</v>
      </c>
      <c r="D43" s="45" t="s">
        <v>85</v>
      </c>
      <c r="E43" s="45" t="s">
        <v>85</v>
      </c>
      <c r="F43" s="45" t="s">
        <v>85</v>
      </c>
      <c r="G43" s="48"/>
    </row>
    <row r="44" spans="1:8" x14ac:dyDescent="0.25">
      <c r="A44" s="8" t="s">
        <v>1</v>
      </c>
      <c r="B44" s="52" t="s">
        <v>6</v>
      </c>
      <c r="C44" s="8" t="s">
        <v>5</v>
      </c>
      <c r="D44" s="45" t="s">
        <v>85</v>
      </c>
      <c r="E44" s="45" t="s">
        <v>85</v>
      </c>
      <c r="F44" s="45" t="s">
        <v>85</v>
      </c>
      <c r="G44" s="48"/>
      <c r="H44" s="48"/>
    </row>
    <row r="45" spans="1:8" ht="38.25" x14ac:dyDescent="0.25">
      <c r="A45" s="58" t="s">
        <v>78</v>
      </c>
      <c r="B45" s="52" t="s">
        <v>3</v>
      </c>
      <c r="C45" s="59" t="s">
        <v>2</v>
      </c>
      <c r="D45" s="45" t="s">
        <v>85</v>
      </c>
      <c r="E45" s="45" t="s">
        <v>85</v>
      </c>
      <c r="F45" s="45" t="s">
        <v>85</v>
      </c>
    </row>
    <row r="46" spans="1:8" ht="117" customHeight="1" x14ac:dyDescent="0.25">
      <c r="A46" s="119" t="s">
        <v>79</v>
      </c>
      <c r="B46" s="121" t="s">
        <v>0</v>
      </c>
      <c r="C46" s="123"/>
      <c r="D46" s="125" t="s">
        <v>124</v>
      </c>
      <c r="E46" s="126"/>
      <c r="F46" s="127"/>
    </row>
    <row r="47" spans="1:8" ht="44.25" customHeight="1" x14ac:dyDescent="0.25">
      <c r="A47" s="120"/>
      <c r="B47" s="122"/>
      <c r="C47" s="124"/>
      <c r="D47" s="128" t="s">
        <v>125</v>
      </c>
      <c r="E47" s="126"/>
      <c r="F47" s="127"/>
    </row>
    <row r="48" spans="1:8" x14ac:dyDescent="0.25">
      <c r="D48" s="60"/>
      <c r="E48" s="60"/>
      <c r="F48" s="60"/>
    </row>
    <row r="49" spans="1:6" x14ac:dyDescent="0.25">
      <c r="A49" s="19"/>
      <c r="B49" s="20" t="s">
        <v>80</v>
      </c>
    </row>
    <row r="50" spans="1:6" ht="30" customHeight="1" x14ac:dyDescent="0.25">
      <c r="A50" s="27" t="s">
        <v>90</v>
      </c>
      <c r="B50" s="111" t="s">
        <v>81</v>
      </c>
      <c r="C50" s="111"/>
      <c r="D50" s="111"/>
      <c r="E50" s="111"/>
      <c r="F50" s="111"/>
    </row>
    <row r="51" spans="1:6" ht="28.5" customHeight="1" x14ac:dyDescent="0.25">
      <c r="A51" s="27" t="s">
        <v>135</v>
      </c>
      <c r="B51" s="111" t="s">
        <v>146</v>
      </c>
      <c r="C51" s="111"/>
      <c r="D51" s="111"/>
      <c r="E51" s="111"/>
      <c r="F51" s="111"/>
    </row>
    <row r="52" spans="1:6" ht="15" customHeight="1" x14ac:dyDescent="0.25">
      <c r="A52" s="27" t="s">
        <v>143</v>
      </c>
      <c r="B52" s="111" t="s">
        <v>137</v>
      </c>
      <c r="C52" s="111"/>
      <c r="D52" s="111"/>
      <c r="E52" s="111"/>
      <c r="F52" s="111"/>
    </row>
    <row r="53" spans="1:6" ht="15" customHeight="1" x14ac:dyDescent="0.25">
      <c r="A53" s="27"/>
      <c r="B53" s="111" t="s">
        <v>138</v>
      </c>
      <c r="C53" s="111"/>
      <c r="D53" s="111"/>
      <c r="E53" s="111"/>
      <c r="F53" s="111"/>
    </row>
    <row r="54" spans="1:6" ht="12.75" customHeight="1" x14ac:dyDescent="0.25">
      <c r="A54" s="27"/>
      <c r="B54" s="111" t="s">
        <v>139</v>
      </c>
      <c r="C54" s="111"/>
      <c r="D54" s="111"/>
      <c r="E54" s="111"/>
      <c r="F54" s="111"/>
    </row>
    <row r="55" spans="1:6" ht="38.25" customHeight="1" x14ac:dyDescent="0.25">
      <c r="A55" s="27"/>
      <c r="B55" s="111" t="s">
        <v>140</v>
      </c>
      <c r="C55" s="111"/>
      <c r="D55" s="111"/>
      <c r="E55" s="111"/>
      <c r="F55" s="111"/>
    </row>
  </sheetData>
  <mergeCells count="16">
    <mergeCell ref="B55:F55"/>
    <mergeCell ref="A46:A47"/>
    <mergeCell ref="B46:B47"/>
    <mergeCell ref="C46:C47"/>
    <mergeCell ref="D46:F46"/>
    <mergeCell ref="D47:F47"/>
    <mergeCell ref="B51:F51"/>
    <mergeCell ref="B52:F52"/>
    <mergeCell ref="B53:F53"/>
    <mergeCell ref="B54:F54"/>
    <mergeCell ref="B50:F50"/>
    <mergeCell ref="D1:F1"/>
    <mergeCell ref="D2:F2"/>
    <mergeCell ref="A4:F4"/>
    <mergeCell ref="A5:F5"/>
    <mergeCell ref="A6:F6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тарифы</vt:lpstr>
      <vt:lpstr>ТЭЦ-5 без ДПМ</vt:lpstr>
      <vt:lpstr>ТЭЦ-7 без ДПМ</vt:lpstr>
      <vt:lpstr>ТЭЦ-14 без ДПМ</vt:lpstr>
      <vt:lpstr>ТЭЦ-21</vt:lpstr>
      <vt:lpstr>ТЭЦ-22 без ДПМ</vt:lpstr>
      <vt:lpstr>ПТЭЦ</vt:lpstr>
      <vt:lpstr>ПТЭЦ!Заголовки_для_печати</vt:lpstr>
      <vt:lpstr>'ТЭЦ-14 без ДПМ'!Заголовки_для_печати</vt:lpstr>
      <vt:lpstr>'ТЭЦ-21'!Заголовки_для_печати</vt:lpstr>
      <vt:lpstr>'ТЭЦ-22 без ДПМ'!Заголовки_для_печати</vt:lpstr>
      <vt:lpstr>'ТЭЦ-5 без ДПМ'!Заголовки_для_печати</vt:lpstr>
      <vt:lpstr>'ТЭЦ-7 без ДПМ'!Заголовки_для_печати</vt:lpstr>
      <vt:lpstr>'ТЭЦ-5 без ДПМ'!Область_печати</vt:lpstr>
      <vt:lpstr>'ТЭЦ-7 без ДПМ'!Область_печати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Клементьева Наталья Александровна</dc:creator>
  <cp:lastModifiedBy>Клементьева Наталья Александровна</cp:lastModifiedBy>
  <cp:lastPrinted>2014-09-29T10:57:45Z</cp:lastPrinted>
  <dcterms:created xsi:type="dcterms:W3CDTF">2014-04-07T05:06:56Z</dcterms:created>
  <dcterms:modified xsi:type="dcterms:W3CDTF">2014-10-10T05:05:11Z</dcterms:modified>
</cp:coreProperties>
</file>